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79DA7445-5695-4059-9296-EBE3F57315D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imData_yield_beta_2025" sheetId="12" r:id="rId1"/>
    <sheet name="Main" sheetId="11" r:id="rId2"/>
  </sheets>
  <definedNames>
    <definedName name="_xlnm.Print_Area" localSheetId="1">Main!#REF!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" i="11" l="1"/>
  <c r="F159" i="11"/>
  <c r="B15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38" i="11"/>
  <c r="A204" i="11"/>
  <c r="B204" i="11"/>
  <c r="C204" i="11"/>
  <c r="A155" i="11"/>
  <c r="B155" i="11"/>
  <c r="H13" i="12"/>
  <c r="H11" i="12"/>
  <c r="B519" i="12"/>
  <c r="B517" i="12"/>
  <c r="B515" i="12"/>
  <c r="B513" i="12"/>
  <c r="B511" i="12"/>
  <c r="B8" i="12"/>
  <c r="H6" i="12" s="1"/>
  <c r="B7" i="12"/>
  <c r="B6" i="12"/>
  <c r="B4" i="12"/>
  <c r="B5" i="12" s="1"/>
  <c r="B3" i="12"/>
  <c r="B25" i="11"/>
  <c r="B47" i="11" s="1"/>
  <c r="C25" i="11"/>
  <c r="C47" i="11" s="1"/>
  <c r="A26" i="11"/>
  <c r="B26" i="11"/>
  <c r="B49" i="11" s="1"/>
  <c r="C26" i="11"/>
  <c r="A27" i="11"/>
  <c r="B27" i="11"/>
  <c r="C27" i="11"/>
  <c r="A28" i="11"/>
  <c r="B28" i="11"/>
  <c r="C28" i="11"/>
  <c r="A29" i="11"/>
  <c r="B29" i="11"/>
  <c r="C29" i="11"/>
  <c r="A30" i="11"/>
  <c r="B30" i="11"/>
  <c r="C30" i="11"/>
  <c r="A31" i="11"/>
  <c r="B31" i="11"/>
  <c r="C31" i="11"/>
  <c r="A32" i="11"/>
  <c r="B32" i="11"/>
  <c r="C32" i="11"/>
  <c r="A33" i="11"/>
  <c r="B33" i="11"/>
  <c r="C33" i="11"/>
  <c r="A34" i="11"/>
  <c r="B34" i="11"/>
  <c r="C34" i="11"/>
  <c r="A35" i="11"/>
  <c r="B35" i="11"/>
  <c r="C35" i="11"/>
  <c r="A36" i="11"/>
  <c r="B36" i="11"/>
  <c r="C36" i="11"/>
  <c r="A37" i="11"/>
  <c r="B37" i="11"/>
  <c r="C37" i="11"/>
  <c r="A38" i="11"/>
  <c r="B38" i="11"/>
  <c r="C38" i="11"/>
  <c r="A39" i="11"/>
  <c r="B39" i="11"/>
  <c r="C39" i="11"/>
  <c r="A40" i="11"/>
  <c r="B40" i="11"/>
  <c r="C40" i="11"/>
  <c r="A41" i="11"/>
  <c r="B41" i="11"/>
  <c r="C41" i="11"/>
  <c r="A42" i="11"/>
  <c r="B42" i="11"/>
  <c r="C42" i="11"/>
  <c r="A43" i="11"/>
  <c r="B43" i="11"/>
  <c r="C43" i="11"/>
  <c r="A44" i="11"/>
  <c r="B44" i="11"/>
  <c r="C44" i="11"/>
  <c r="C159" i="11" a="1"/>
  <c r="G146" i="11" a="1"/>
  <c r="G147" i="11" a="1"/>
  <c r="G148" i="11" a="1"/>
  <c r="G149" i="11" a="1"/>
  <c r="G150" i="11" a="1"/>
  <c r="G140" i="11" a="1"/>
  <c r="G139" i="11" a="1"/>
  <c r="H9" i="12"/>
  <c r="H14" i="12"/>
  <c r="I14" i="12" s="1"/>
  <c r="B2" i="12"/>
  <c r="H8" i="12"/>
  <c r="I13" i="12"/>
  <c r="H7" i="12"/>
  <c r="C159" i="11" l="1"/>
  <c r="B159" i="11" s="1"/>
  <c r="G146" i="11"/>
  <c r="H146" i="11"/>
  <c r="I146" i="11"/>
  <c r="I150" i="11"/>
  <c r="H150" i="11"/>
  <c r="G150" i="11"/>
  <c r="G149" i="11"/>
  <c r="H149" i="11"/>
  <c r="I149" i="11"/>
  <c r="G148" i="11"/>
  <c r="H148" i="11"/>
  <c r="I148" i="11"/>
  <c r="H147" i="11"/>
  <c r="I147" i="11"/>
  <c r="G147" i="11"/>
  <c r="G140" i="11"/>
  <c r="G139" i="11"/>
  <c r="H15" i="12"/>
  <c r="C48" i="11"/>
  <c r="B48" i="11"/>
  <c r="B53" i="11"/>
  <c r="B54" i="11" s="1"/>
  <c r="B55" i="11" s="1"/>
  <c r="B51" i="11"/>
  <c r="B52" i="11" s="1"/>
  <c r="C49" i="11"/>
  <c r="C59" i="11" s="1"/>
  <c r="B50" i="11"/>
  <c r="C53" i="11"/>
  <c r="C54" i="11" s="1"/>
  <c r="C55" i="11" s="1"/>
  <c r="C51" i="11"/>
  <c r="C52" i="11" s="1"/>
  <c r="C50" i="11"/>
  <c r="B57" i="11"/>
  <c r="A80" i="11" s="1"/>
  <c r="C57" i="11"/>
  <c r="B58" i="11"/>
  <c r="C58" i="11"/>
  <c r="B59" i="11"/>
  <c r="B60" i="11"/>
  <c r="B61" i="11"/>
  <c r="B62" i="11"/>
  <c r="B63" i="11"/>
  <c r="C63" i="11"/>
  <c r="B64" i="11"/>
  <c r="C64" i="11"/>
  <c r="B65" i="11"/>
  <c r="C65" i="11"/>
  <c r="B66" i="11"/>
  <c r="C66" i="11"/>
  <c r="B67" i="11"/>
  <c r="B68" i="11"/>
  <c r="B69" i="11"/>
  <c r="B70" i="11"/>
  <c r="B71" i="11"/>
  <c r="C71" i="11"/>
  <c r="B72" i="11"/>
  <c r="C72" i="11"/>
  <c r="B73" i="11"/>
  <c r="C73" i="11"/>
  <c r="B74" i="11"/>
  <c r="C74" i="11"/>
  <c r="B75" i="11"/>
  <c r="B76" i="11"/>
  <c r="H12" i="12"/>
  <c r="I12" i="12" s="1"/>
  <c r="I15" i="12"/>
  <c r="B83" i="11" a="1"/>
  <c r="H16" i="12" l="1"/>
  <c r="B56" i="11"/>
  <c r="C61" i="11"/>
  <c r="C60" i="11"/>
  <c r="C70" i="11"/>
  <c r="C62" i="11"/>
  <c r="C56" i="11" s="1"/>
  <c r="C69" i="11"/>
  <c r="C76" i="11"/>
  <c r="C68" i="11"/>
  <c r="C75" i="11"/>
  <c r="C67" i="11"/>
  <c r="B83" i="11"/>
  <c r="C83" i="11"/>
  <c r="D83" i="11"/>
  <c r="I16" i="12"/>
  <c r="E53" i="11" a="1"/>
  <c r="B84" i="11" a="1"/>
  <c r="H17" i="12" l="1"/>
  <c r="E53" i="11"/>
  <c r="B84" i="11"/>
  <c r="C84" i="11"/>
  <c r="D84" i="11"/>
  <c r="I17" i="12"/>
  <c r="B85" i="11" a="1"/>
  <c r="H18" i="12" l="1"/>
  <c r="B85" i="11"/>
  <c r="C85" i="11"/>
  <c r="D85" i="11"/>
  <c r="I18" i="12"/>
  <c r="B86" i="11" a="1"/>
  <c r="H19" i="12" l="1"/>
  <c r="B86" i="11"/>
  <c r="C86" i="11"/>
  <c r="D86" i="11"/>
  <c r="I19" i="12"/>
  <c r="B87" i="11" a="1"/>
  <c r="H20" i="12" l="1"/>
  <c r="B87" i="11"/>
  <c r="C87" i="11"/>
  <c r="D87" i="11"/>
  <c r="A90" i="11"/>
  <c r="I20" i="12"/>
  <c r="B93" i="11" a="1"/>
  <c r="H21" i="12" l="1"/>
  <c r="B93" i="11"/>
  <c r="C93" i="11"/>
  <c r="D93" i="11"/>
  <c r="I21" i="12"/>
  <c r="B94" i="11" a="1"/>
  <c r="H22" i="12" l="1"/>
  <c r="B94" i="11"/>
  <c r="C94" i="11"/>
  <c r="D94" i="11"/>
  <c r="I22" i="12"/>
  <c r="B95" i="11" a="1"/>
  <c r="H23" i="12" l="1"/>
  <c r="B95" i="11"/>
  <c r="C95" i="11"/>
  <c r="D95" i="11"/>
  <c r="I23" i="12"/>
  <c r="B96" i="11" a="1"/>
  <c r="H24" i="12" l="1"/>
  <c r="B96" i="11"/>
  <c r="C96" i="11"/>
  <c r="D96" i="11"/>
  <c r="I24" i="12"/>
  <c r="B97" i="11" a="1"/>
  <c r="H25" i="12" l="1"/>
  <c r="B97" i="11"/>
  <c r="C97" i="11"/>
  <c r="D97" i="11"/>
  <c r="A104" i="11"/>
  <c r="I25" i="12"/>
  <c r="C104" i="11" a="1"/>
  <c r="H26" i="12" l="1"/>
  <c r="C104" i="11"/>
  <c r="D104" i="11" s="1"/>
  <c r="I26" i="12"/>
  <c r="E104" i="11" a="1"/>
  <c r="H27" i="12" l="1"/>
  <c r="E104" i="11"/>
  <c r="A105" i="11"/>
  <c r="I27" i="12"/>
  <c r="C105" i="11" a="1"/>
  <c r="H28" i="12" l="1"/>
  <c r="C105" i="11"/>
  <c r="D105" i="11" s="1"/>
  <c r="A106" i="11"/>
  <c r="I28" i="12"/>
  <c r="C106" i="11" a="1"/>
  <c r="H29" i="12" l="1"/>
  <c r="C106" i="11"/>
  <c r="D106" i="11" s="1"/>
  <c r="A107" i="11"/>
  <c r="I29" i="12"/>
  <c r="C107" i="11" a="1"/>
  <c r="H30" i="12" l="1"/>
  <c r="C107" i="11"/>
  <c r="D107" i="11" s="1"/>
  <c r="A108" i="11"/>
  <c r="I30" i="12"/>
  <c r="C108" i="11" a="1"/>
  <c r="H31" i="12" l="1"/>
  <c r="C108" i="11"/>
  <c r="D108" i="11" s="1"/>
  <c r="I31" i="12"/>
  <c r="C109" i="11" a="1"/>
  <c r="H32" i="12" l="1"/>
  <c r="C109" i="11"/>
  <c r="C116" i="11"/>
  <c r="I32" i="12"/>
  <c r="C117" i="11" a="1"/>
  <c r="H33" i="12" l="1"/>
  <c r="C117" i="11"/>
  <c r="C118" i="11"/>
  <c r="C119" i="11"/>
  <c r="I33" i="12"/>
  <c r="D119" i="11" a="1"/>
  <c r="H34" i="12" l="1"/>
  <c r="D119" i="11"/>
  <c r="C120" i="11"/>
  <c r="I34" i="12"/>
  <c r="D120" i="11" a="1"/>
  <c r="H35" i="12" l="1"/>
  <c r="D120" i="11"/>
  <c r="A123" i="11"/>
  <c r="A124" i="11"/>
  <c r="B124" i="11"/>
  <c r="I35" i="12"/>
  <c r="E124" i="11" a="1"/>
  <c r="H36" i="12" l="1"/>
  <c r="E124" i="11"/>
  <c r="C124" i="11" s="1"/>
  <c r="D124" i="11" s="1"/>
  <c r="I36" i="12"/>
  <c r="F124" i="11" a="1"/>
  <c r="H37" i="12" l="1"/>
  <c r="F124" i="11"/>
  <c r="A125" i="11"/>
  <c r="B125" i="11"/>
  <c r="I37" i="12"/>
  <c r="E125" i="11" a="1"/>
  <c r="H38" i="12" l="1"/>
  <c r="E125" i="11"/>
  <c r="C125" i="11" s="1"/>
  <c r="D125" i="11" s="1"/>
  <c r="A126" i="11"/>
  <c r="B126" i="11"/>
  <c r="I38" i="12"/>
  <c r="E126" i="11" a="1"/>
  <c r="H39" i="12" l="1"/>
  <c r="E126" i="11"/>
  <c r="C126" i="11" s="1"/>
  <c r="D126" i="11" s="1"/>
  <c r="A127" i="11"/>
  <c r="B127" i="11"/>
  <c r="I39" i="12"/>
  <c r="E127" i="11" a="1"/>
  <c r="H40" i="12" l="1"/>
  <c r="E127" i="11"/>
  <c r="C127" i="11" s="1"/>
  <c r="D127" i="11" s="1"/>
  <c r="A128" i="11"/>
  <c r="B128" i="11"/>
  <c r="I40" i="12"/>
  <c r="E128" i="11" a="1"/>
  <c r="H41" i="12" l="1"/>
  <c r="E128" i="11"/>
  <c r="C128" i="11" s="1"/>
  <c r="D128" i="11" s="1"/>
  <c r="I41" i="12"/>
  <c r="C129" i="11" a="1"/>
  <c r="H42" i="12" l="1"/>
  <c r="C129" i="11"/>
  <c r="I42" i="12"/>
  <c r="D129" i="11" a="1"/>
  <c r="H43" i="12" l="1"/>
  <c r="D129" i="11"/>
  <c r="I43" i="12"/>
  <c r="B130" i="11" a="1"/>
  <c r="H44" i="12" l="1"/>
  <c r="B130" i="11"/>
  <c r="A136" i="11"/>
  <c r="B136" i="11"/>
  <c r="A137" i="11"/>
  <c r="B137" i="11"/>
  <c r="A138" i="11"/>
  <c r="B138" i="11"/>
  <c r="A139" i="11"/>
  <c r="B139" i="11"/>
  <c r="A140" i="11"/>
  <c r="B140" i="11"/>
  <c r="A141" i="11"/>
  <c r="B141" i="11"/>
  <c r="A142" i="11"/>
  <c r="B142" i="11"/>
  <c r="A143" i="11"/>
  <c r="B143" i="11"/>
  <c r="A144" i="11"/>
  <c r="B144" i="11"/>
  <c r="A145" i="11"/>
  <c r="B145" i="11"/>
  <c r="A146" i="11"/>
  <c r="B146" i="11"/>
  <c r="A147" i="11"/>
  <c r="B147" i="11"/>
  <c r="A148" i="11"/>
  <c r="B148" i="11"/>
  <c r="A149" i="11"/>
  <c r="B149" i="11"/>
  <c r="A150" i="11"/>
  <c r="B150" i="11"/>
  <c r="A151" i="11"/>
  <c r="B151" i="11"/>
  <c r="A152" i="11"/>
  <c r="B152" i="11"/>
  <c r="A153" i="11"/>
  <c r="B153" i="11"/>
  <c r="A154" i="11"/>
  <c r="B154" i="11"/>
  <c r="A175" i="11"/>
  <c r="A176" i="11" s="1"/>
  <c r="A177" i="11" s="1"/>
  <c r="A178" i="11" s="1"/>
  <c r="A179" i="11" s="1"/>
  <c r="A185" i="11"/>
  <c r="B185" i="11"/>
  <c r="C185" i="11"/>
  <c r="A186" i="11"/>
  <c r="B186" i="11"/>
  <c r="C186" i="11"/>
  <c r="A187" i="11"/>
  <c r="B187" i="11"/>
  <c r="C187" i="11"/>
  <c r="A188" i="11"/>
  <c r="B188" i="11"/>
  <c r="C188" i="11"/>
  <c r="A189" i="11"/>
  <c r="B189" i="11"/>
  <c r="C189" i="11"/>
  <c r="A190" i="11"/>
  <c r="B190" i="11"/>
  <c r="C190" i="11"/>
  <c r="A191" i="11"/>
  <c r="B191" i="11"/>
  <c r="C191" i="11"/>
  <c r="A192" i="11"/>
  <c r="B192" i="11"/>
  <c r="C192" i="11"/>
  <c r="A193" i="11"/>
  <c r="B193" i="11"/>
  <c r="C193" i="11"/>
  <c r="A194" i="11"/>
  <c r="B194" i="11"/>
  <c r="C194" i="11"/>
  <c r="A195" i="11"/>
  <c r="B195" i="11"/>
  <c r="C195" i="11"/>
  <c r="A196" i="11"/>
  <c r="B196" i="11"/>
  <c r="C196" i="11"/>
  <c r="A197" i="11"/>
  <c r="B197" i="11"/>
  <c r="C197" i="11"/>
  <c r="A198" i="11"/>
  <c r="B198" i="11"/>
  <c r="C198" i="11"/>
  <c r="A199" i="11"/>
  <c r="B199" i="11"/>
  <c r="C199" i="11"/>
  <c r="A200" i="11"/>
  <c r="B200" i="11"/>
  <c r="C200" i="11"/>
  <c r="A201" i="11"/>
  <c r="B201" i="11"/>
  <c r="C201" i="11"/>
  <c r="A202" i="11"/>
  <c r="B202" i="11"/>
  <c r="C202" i="11"/>
  <c r="A203" i="11"/>
  <c r="B203" i="11"/>
  <c r="C203" i="11"/>
  <c r="A261" i="11"/>
  <c r="A262" i="11" s="1"/>
  <c r="A263" i="11" s="1"/>
  <c r="A264" i="11" s="1"/>
  <c r="I44" i="12"/>
  <c r="H45" i="12" l="1"/>
  <c r="I45" i="12"/>
  <c r="H46" i="12" l="1"/>
  <c r="I46" i="12"/>
  <c r="H47" i="12" l="1"/>
  <c r="I47" i="12"/>
  <c r="H48" i="12" l="1"/>
  <c r="I48" i="12"/>
  <c r="H49" i="12" l="1"/>
  <c r="I49" i="12"/>
  <c r="H50" i="12" l="1"/>
  <c r="I50" i="12"/>
  <c r="H51" i="12" l="1"/>
  <c r="I51" i="12"/>
  <c r="H52" i="12" l="1"/>
  <c r="I52" i="12"/>
  <c r="H53" i="12" l="1"/>
  <c r="I53" i="12"/>
  <c r="H54" i="12" l="1"/>
  <c r="I54" i="12"/>
  <c r="H55" i="12" l="1"/>
  <c r="I55" i="12"/>
  <c r="H56" i="12" l="1"/>
  <c r="I56" i="12"/>
  <c r="H57" i="12" l="1"/>
  <c r="I57" i="12"/>
  <c r="H58" i="12" l="1"/>
  <c r="I58" i="12"/>
  <c r="H59" i="12" l="1"/>
  <c r="I59" i="12"/>
  <c r="H60" i="12" l="1"/>
  <c r="I60" i="12"/>
  <c r="H61" i="12" l="1"/>
  <c r="I61" i="12"/>
  <c r="H62" i="12" l="1"/>
  <c r="I62" i="12"/>
  <c r="H63" i="12" l="1"/>
  <c r="I63" i="12"/>
  <c r="H64" i="12" l="1"/>
  <c r="I64" i="12"/>
  <c r="H65" i="12" l="1"/>
  <c r="I65" i="12"/>
  <c r="H66" i="12" l="1"/>
  <c r="I66" i="12"/>
  <c r="H67" i="12" l="1"/>
  <c r="I67" i="12"/>
  <c r="H68" i="12" l="1"/>
  <c r="I68" i="12"/>
  <c r="H69" i="12" l="1"/>
  <c r="I69" i="12"/>
  <c r="H70" i="12" l="1"/>
  <c r="I70" i="12"/>
  <c r="H71" i="12" l="1"/>
  <c r="I71" i="12"/>
  <c r="H72" i="12" l="1"/>
  <c r="I72" i="12"/>
  <c r="H73" i="12" l="1"/>
  <c r="I73" i="12"/>
  <c r="H74" i="12" l="1"/>
  <c r="I74" i="12"/>
  <c r="H75" i="12" l="1"/>
  <c r="I75" i="12"/>
  <c r="H76" i="12" l="1"/>
  <c r="I76" i="12"/>
  <c r="H77" i="12" l="1"/>
  <c r="I77" i="12"/>
  <c r="H78" i="12" l="1"/>
  <c r="I78" i="12"/>
  <c r="H79" i="12" l="1"/>
  <c r="I79" i="12"/>
  <c r="H80" i="12" l="1"/>
  <c r="I80" i="12"/>
  <c r="H81" i="12" l="1"/>
  <c r="I81" i="12"/>
  <c r="H82" i="12" l="1"/>
  <c r="I82" i="12"/>
  <c r="H83" i="12" l="1"/>
  <c r="I83" i="12"/>
  <c r="H84" i="12" l="1"/>
  <c r="I84" i="12"/>
  <c r="H85" i="12" l="1"/>
  <c r="I85" i="12"/>
  <c r="H86" i="12" l="1"/>
  <c r="I86" i="12"/>
  <c r="H87" i="12" l="1"/>
  <c r="I87" i="12"/>
  <c r="H88" i="12" l="1"/>
  <c r="I88" i="12"/>
  <c r="H89" i="12" l="1"/>
  <c r="I89" i="12"/>
  <c r="H90" i="12" l="1"/>
  <c r="I90" i="12"/>
  <c r="H91" i="12" l="1"/>
  <c r="I91" i="12"/>
  <c r="H92" i="12" l="1"/>
  <c r="I92" i="12"/>
  <c r="H93" i="12" l="1"/>
  <c r="I93" i="12"/>
  <c r="H94" i="12" l="1"/>
  <c r="I94" i="12"/>
  <c r="H95" i="12" l="1"/>
  <c r="I95" i="12"/>
  <c r="H96" i="12" l="1"/>
  <c r="I96" i="12"/>
  <c r="H97" i="12" l="1"/>
  <c r="I97" i="12"/>
  <c r="H98" i="12" l="1"/>
  <c r="I98" i="12"/>
  <c r="H99" i="12" l="1"/>
  <c r="I99" i="12"/>
  <c r="H100" i="12" l="1"/>
  <c r="I100" i="12"/>
  <c r="H101" i="12" l="1"/>
  <c r="I101" i="12"/>
  <c r="H102" i="12" l="1"/>
  <c r="I102" i="12"/>
  <c r="H103" i="12" l="1"/>
  <c r="I103" i="12"/>
  <c r="H104" i="12" l="1"/>
  <c r="I104" i="12"/>
  <c r="H105" i="12" l="1"/>
  <c r="I105" i="12"/>
  <c r="H106" i="12" l="1"/>
  <c r="I106" i="12"/>
  <c r="H107" i="12" l="1"/>
  <c r="I107" i="12"/>
  <c r="H108" i="12" l="1"/>
  <c r="I108" i="12"/>
  <c r="H109" i="12" l="1"/>
  <c r="I109" i="12"/>
  <c r="H110" i="12" l="1"/>
  <c r="I110" i="12"/>
  <c r="H111" i="12" l="1"/>
  <c r="I111" i="12"/>
  <c r="H112" i="12" l="1"/>
  <c r="I112" i="12"/>
  <c r="H113" i="12" l="1"/>
  <c r="I113" i="12"/>
  <c r="H114" i="12" l="1"/>
  <c r="I114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<sst xmlns="http://schemas.openxmlformats.org/spreadsheetml/2006/main" count="146" uniqueCount="123">
  <si>
    <t>Year</t>
  </si>
  <si>
    <t>Corn price</t>
  </si>
  <si>
    <t>Corn yield</t>
  </si>
  <si>
    <t>Corn VC</t>
  </si>
  <si>
    <t>Diesel ($/gallon)</t>
  </si>
  <si>
    <t>Detrend Corn Price and Yield</t>
  </si>
  <si>
    <t>Simulate Corn Price using Empirical</t>
  </si>
  <si>
    <t>Simulate Yield Using Beta Distribution</t>
  </si>
  <si>
    <t>Conditional mean</t>
  </si>
  <si>
    <t>Stochastic term</t>
  </si>
  <si>
    <t>Mean</t>
  </si>
  <si>
    <t>Simulate Diesel Prices using AR</t>
  </si>
  <si>
    <t>Check for stationarity</t>
  </si>
  <si>
    <t>Diff</t>
  </si>
  <si>
    <t>Trend</t>
  </si>
  <si>
    <t>DF-value</t>
  </si>
  <si>
    <t>Check for number of Lags</t>
  </si>
  <si>
    <t>Lags</t>
  </si>
  <si>
    <t>beta</t>
  </si>
  <si>
    <t>t-stat</t>
  </si>
  <si>
    <t>s.e</t>
  </si>
  <si>
    <t>D1</t>
  </si>
  <si>
    <t>AR</t>
  </si>
  <si>
    <t>Stoch Diesel</t>
  </si>
  <si>
    <t>Standard deviation</t>
  </si>
  <si>
    <t>Regress Corn VC = f(Diesel, Trend)</t>
  </si>
  <si>
    <t>Test the Residuals for Normality</t>
  </si>
  <si>
    <t>Test D1 for Normality</t>
  </si>
  <si>
    <t>Stochastic VC</t>
  </si>
  <si>
    <t>Test the VC Residuals for Normality</t>
  </si>
  <si>
    <t xml:space="preserve">Forecast VC </t>
  </si>
  <si>
    <t>2. Test for Normality</t>
  </si>
  <si>
    <t>3. Generate stochastic price and yield variables</t>
  </si>
  <si>
    <t>4. Simulate Diesel price using AR model</t>
  </si>
  <si>
    <t>5. Model Corn VC as a function of trend and diesel price and generate stochastic e</t>
  </si>
  <si>
    <t>1. Detrend corn price and yield</t>
  </si>
  <si>
    <t>Intercept</t>
  </si>
  <si>
    <t>Slope</t>
  </si>
  <si>
    <t>R-Square</t>
  </si>
  <si>
    <t>F-Ratio</t>
  </si>
  <si>
    <t>Prob(F)</t>
  </si>
  <si>
    <t>S.E.</t>
  </si>
  <si>
    <t>T-Test</t>
  </si>
  <si>
    <t>Prob(T)</t>
  </si>
  <si>
    <t>S.D. Residuals</t>
  </si>
  <si>
    <t>Resid. 1</t>
  </si>
  <si>
    <t>Resid. 2</t>
  </si>
  <si>
    <t>Resid. 3</t>
  </si>
  <si>
    <t>Resid. 4</t>
  </si>
  <si>
    <t>Resid. 5</t>
  </si>
  <si>
    <t>Resid. 6</t>
  </si>
  <si>
    <t>Resid. 7</t>
  </si>
  <si>
    <t>Resid. 8</t>
  </si>
  <si>
    <t>Resid. 9</t>
  </si>
  <si>
    <t>Resid. 10</t>
  </si>
  <si>
    <t>Resid. 11</t>
  </si>
  <si>
    <t>Resid. 12</t>
  </si>
  <si>
    <t>Resid. 13</t>
  </si>
  <si>
    <t>Resid. 14</t>
  </si>
  <si>
    <t>Resid. 15</t>
  </si>
  <si>
    <t>Resid. 16</t>
  </si>
  <si>
    <t>Resid. 17</t>
  </si>
  <si>
    <t>Resid. 18</t>
  </si>
  <si>
    <t>Resid. 19</t>
  </si>
  <si>
    <t>Confidence Level</t>
  </si>
  <si>
    <t>Procedure</t>
  </si>
  <si>
    <t>Test Value</t>
  </si>
  <si>
    <t>p-Value</t>
  </si>
  <si>
    <t>S-W</t>
  </si>
  <si>
    <t>A-D</t>
  </si>
  <si>
    <t>CvM</t>
  </si>
  <si>
    <t>K-S</t>
  </si>
  <si>
    <t>Chi-Squared</t>
  </si>
  <si>
    <t>*Based on approximate p-values</t>
  </si>
  <si>
    <t>Shapiro-Wilk</t>
  </si>
  <si>
    <t>Anderson-Darling</t>
  </si>
  <si>
    <t>Cramer von Misses</t>
  </si>
  <si>
    <t>Kolmogorov-Smironv</t>
  </si>
  <si>
    <t>Chi-squared</t>
  </si>
  <si>
    <t>P-value = 0.05 and H0 is data are normally distributed</t>
  </si>
  <si>
    <t>Stochastic error</t>
  </si>
  <si>
    <t>Stochastic prices</t>
  </si>
  <si>
    <t>Beta</t>
  </si>
  <si>
    <t>Uniform</t>
  </si>
  <si>
    <t>Empirical</t>
  </si>
  <si>
    <t>CDFDEV</t>
  </si>
  <si>
    <t>Parameter Estimation, 3/25/2025 1:27:55 PM</t>
  </si>
  <si>
    <t>Method of Moments (MOM) Estimates</t>
  </si>
  <si>
    <t>Distribution</t>
  </si>
  <si>
    <t>Parameter</t>
  </si>
  <si>
    <r>
      <t>α</t>
    </r>
    <r>
      <rPr>
        <sz val="11"/>
        <color theme="1"/>
        <rFont val="Calibri"/>
        <family val="2"/>
        <scheme val="minor"/>
      </rPr>
      <t>;α&gt;0, A≤x≤B</t>
    </r>
  </si>
  <si>
    <r>
      <t>β</t>
    </r>
    <r>
      <rPr>
        <sz val="11"/>
        <color theme="1"/>
        <rFont val="Calibri"/>
        <family val="2"/>
        <scheme val="minor"/>
      </rPr>
      <t>;β&gt;0</t>
    </r>
  </si>
  <si>
    <t>Min</t>
  </si>
  <si>
    <t>Max</t>
  </si>
  <si>
    <t>Stochastic yield</t>
  </si>
  <si>
    <t>USD</t>
  </si>
  <si>
    <t>special case of uniform with minimum of 0 and maximum of 1</t>
  </si>
  <si>
    <t>Variable</t>
  </si>
  <si>
    <t>StDev</t>
  </si>
  <si>
    <t>CV</t>
  </si>
  <si>
    <t>Iteration</t>
  </si>
  <si>
    <t>x1-value</t>
  </si>
  <si>
    <t>Prob(X&lt;=x1)</t>
  </si>
  <si>
    <t>x2-value</t>
  </si>
  <si>
    <t>Prob(X&lt;=x2)</t>
  </si>
  <si>
    <t>x3-value</t>
  </si>
  <si>
    <t>Prob(X&lt;=x3)</t>
  </si>
  <si>
    <t>x4-value</t>
  </si>
  <si>
    <t>Prob(X&lt;=x4)</t>
  </si>
  <si>
    <t>x5-value</t>
  </si>
  <si>
    <t>Prob(X&lt;=x5)</t>
  </si>
  <si>
    <t>Simetar Simulation Results for 500 Iterations. 1:49:06 PM 3/25/2025 (2 sec.).  © 2019.</t>
  </si>
  <si>
    <t>PDF Approximation</t>
  </si>
  <si>
    <t>Start</t>
  </si>
  <si>
    <t>End</t>
  </si>
  <si>
    <t>Band Width</t>
  </si>
  <si>
    <t>Kernel</t>
  </si>
  <si>
    <t>Lower Quantile</t>
  </si>
  <si>
    <t>Average</t>
  </si>
  <si>
    <t>Upper Quantile</t>
  </si>
  <si>
    <t>Gaussian</t>
  </si>
  <si>
    <t>&lt;-3.4</t>
  </si>
  <si>
    <t>Y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</si>
</sst>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%"/>
    <numFmt numFmtId="166" formatCode="0.00000"/>
    <numFmt numFmtId="167" formatCode="0.0000"/>
    <numFmt numFmtId="168" formatCode="0.000"/>
    <numFmt numFmtId="170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4" fillId="0" borderId="0" xfId="0" applyFont="1"/>
    <xf numFmtId="0" fontId="1" fillId="3" borderId="0" xfId="0" applyFont="1" applyFill="1"/>
    <xf numFmtId="164" fontId="1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2" fillId="3" borderId="0" xfId="0" applyFont="1" applyFill="1"/>
    <xf numFmtId="0" fontId="5" fillId="0" borderId="0" xfId="0" applyFont="1"/>
    <xf numFmtId="168" fontId="1" fillId="0" borderId="0" xfId="0" applyNumberFormat="1" applyFont="1"/>
    <xf numFmtId="168" fontId="2" fillId="0" borderId="0" xfId="0" applyNumberFormat="1" applyFont="1"/>
    <xf numFmtId="9" fontId="2" fillId="0" borderId="0" xfId="0" applyNumberFormat="1" applyFont="1"/>
    <xf numFmtId="0" fontId="6" fillId="0" borderId="0" xfId="0" applyFont="1"/>
    <xf numFmtId="164" fontId="0" fillId="0" borderId="0" xfId="0" applyNumberFormat="1"/>
    <xf numFmtId="0" fontId="0" fillId="0" borderId="1" xfId="0" applyBorder="1"/>
    <xf numFmtId="0" fontId="7" fillId="0" borderId="0" xfId="0" applyFont="1"/>
    <xf numFmtId="0" fontId="7" fillId="0" borderId="0" xfId="0" quotePrefix="1" applyFont="1"/>
    <xf numFmtId="0" fontId="8" fillId="0" borderId="0" xfId="0" applyFont="1"/>
    <xf numFmtId="168" fontId="1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left"/>
    </xf>
    <xf numFmtId="0" fontId="0" fillId="0" borderId="2" xfId="0" applyBorder="1"/>
    <xf numFmtId="170" fontId="0" fillId="0" borderId="0" xfId="0" applyNumberFormat="1"/>
    <xf numFmtId="168" fontId="0" fillId="0" borderId="0" xfId="0" applyNumberFormat="1" applyAlignment="1">
      <alignment shrinkToFit="1"/>
    </xf>
    <xf numFmtId="168" fontId="0" fillId="0" borderId="0" xfId="0" applyNumberFormat="1"/>
    <xf numFmtId="0" fontId="1" fillId="2" borderId="0" xfId="0" applyFont="1" applyFill="1"/>
    <xf numFmtId="0" fontId="1" fillId="2" borderId="0" xfId="0" applyNumberFormat="1" applyFont="1" applyFill="1"/>
    <xf numFmtId="0" fontId="1" fillId="4" borderId="0" xfId="0" applyFont="1" applyFill="1"/>
  </cellXfs>
  <cellStyles count="1"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SimData_yield_beta_2025!$G$5</c:f>
          <c:strCache>
            <c:ptCount val="1"/>
            <c:pt idx="0">
              <c:v>PDF Approximation</c:v>
            </c:pt>
          </c:strCache>
        </c:strRef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SimData_yield_beta_2025!$H$6</c:f>
              <c:strCache>
                <c:ptCount val="1"/>
                <c:pt idx="0">
                  <c:v>Stochastic yield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SimData_yield_beta_2025!$H$15:$H$114</c:f>
              <c:numCache>
                <c:formatCode>0.000</c:formatCode>
                <c:ptCount val="100"/>
                <c:pt idx="0">
                  <c:v>143.36941086483603</c:v>
                </c:pt>
                <c:pt idx="1">
                  <c:v>143.99331351194269</c:v>
                </c:pt>
                <c:pt idx="2">
                  <c:v>144.61721615904935</c:v>
                </c:pt>
                <c:pt idx="3">
                  <c:v>145.24111880615601</c:v>
                </c:pt>
                <c:pt idx="4">
                  <c:v>145.86502145326267</c:v>
                </c:pt>
                <c:pt idx="5">
                  <c:v>146.48892410036933</c:v>
                </c:pt>
                <c:pt idx="6">
                  <c:v>147.11282674747599</c:v>
                </c:pt>
                <c:pt idx="7">
                  <c:v>147.73672939458265</c:v>
                </c:pt>
                <c:pt idx="8">
                  <c:v>148.36063204168931</c:v>
                </c:pt>
                <c:pt idx="9">
                  <c:v>148.98453468879597</c:v>
                </c:pt>
                <c:pt idx="10">
                  <c:v>149.60843733590264</c:v>
                </c:pt>
                <c:pt idx="11">
                  <c:v>150.2323399830093</c:v>
                </c:pt>
                <c:pt idx="12">
                  <c:v>150.85624263011596</c:v>
                </c:pt>
                <c:pt idx="13">
                  <c:v>151.48014527722262</c:v>
                </c:pt>
                <c:pt idx="14">
                  <c:v>152.10404792432928</c:v>
                </c:pt>
                <c:pt idx="15">
                  <c:v>152.72795057143594</c:v>
                </c:pt>
                <c:pt idx="16">
                  <c:v>153.3518532185426</c:v>
                </c:pt>
                <c:pt idx="17">
                  <c:v>153.97575586564926</c:v>
                </c:pt>
                <c:pt idx="18">
                  <c:v>154.59965851275592</c:v>
                </c:pt>
                <c:pt idx="19">
                  <c:v>155.22356115986258</c:v>
                </c:pt>
                <c:pt idx="20">
                  <c:v>155.84746380696924</c:v>
                </c:pt>
                <c:pt idx="21">
                  <c:v>156.47136645407591</c:v>
                </c:pt>
                <c:pt idx="22">
                  <c:v>157.09526910118257</c:v>
                </c:pt>
                <c:pt idx="23">
                  <c:v>157.71917174828923</c:v>
                </c:pt>
                <c:pt idx="24">
                  <c:v>158.34307439539589</c:v>
                </c:pt>
                <c:pt idx="25">
                  <c:v>158.96697704250255</c:v>
                </c:pt>
                <c:pt idx="26">
                  <c:v>159.59087968960921</c:v>
                </c:pt>
                <c:pt idx="27">
                  <c:v>160.21478233671587</c:v>
                </c:pt>
                <c:pt idx="28">
                  <c:v>160.83868498382253</c:v>
                </c:pt>
                <c:pt idx="29">
                  <c:v>161.46258763092919</c:v>
                </c:pt>
                <c:pt idx="30">
                  <c:v>162.08649027803585</c:v>
                </c:pt>
                <c:pt idx="31">
                  <c:v>162.71039292514251</c:v>
                </c:pt>
                <c:pt idx="32">
                  <c:v>163.33429557224918</c:v>
                </c:pt>
                <c:pt idx="33">
                  <c:v>163.95819821935584</c:v>
                </c:pt>
                <c:pt idx="34">
                  <c:v>164.5821008664625</c:v>
                </c:pt>
                <c:pt idx="35">
                  <c:v>165.20600351356916</c:v>
                </c:pt>
                <c:pt idx="36">
                  <c:v>165.82990616067582</c:v>
                </c:pt>
                <c:pt idx="37">
                  <c:v>166.45380880778248</c:v>
                </c:pt>
                <c:pt idx="38">
                  <c:v>167.07771145488914</c:v>
                </c:pt>
                <c:pt idx="39">
                  <c:v>167.7016141019958</c:v>
                </c:pt>
                <c:pt idx="40">
                  <c:v>168.32551674910246</c:v>
                </c:pt>
                <c:pt idx="41">
                  <c:v>168.94941939620912</c:v>
                </c:pt>
                <c:pt idx="42">
                  <c:v>169.57332204331578</c:v>
                </c:pt>
                <c:pt idx="43">
                  <c:v>170.19722469042244</c:v>
                </c:pt>
                <c:pt idx="44">
                  <c:v>170.82112733752911</c:v>
                </c:pt>
                <c:pt idx="45">
                  <c:v>171.44502998463577</c:v>
                </c:pt>
                <c:pt idx="46">
                  <c:v>172.06893263174243</c:v>
                </c:pt>
                <c:pt idx="47">
                  <c:v>172.69283527884909</c:v>
                </c:pt>
                <c:pt idx="48">
                  <c:v>173.31673792595575</c:v>
                </c:pt>
                <c:pt idx="49">
                  <c:v>173.94064057306241</c:v>
                </c:pt>
                <c:pt idx="50">
                  <c:v>174.56454322016907</c:v>
                </c:pt>
                <c:pt idx="51">
                  <c:v>175.18844586727573</c:v>
                </c:pt>
                <c:pt idx="52">
                  <c:v>175.81234851438239</c:v>
                </c:pt>
                <c:pt idx="53">
                  <c:v>176.43625116148905</c:v>
                </c:pt>
                <c:pt idx="54">
                  <c:v>177.06015380859571</c:v>
                </c:pt>
                <c:pt idx="55">
                  <c:v>177.68405645570238</c:v>
                </c:pt>
                <c:pt idx="56">
                  <c:v>178.30795910280904</c:v>
                </c:pt>
                <c:pt idx="57">
                  <c:v>178.9318617499157</c:v>
                </c:pt>
                <c:pt idx="58">
                  <c:v>179.55576439702236</c:v>
                </c:pt>
                <c:pt idx="59">
                  <c:v>180.17966704412902</c:v>
                </c:pt>
                <c:pt idx="60">
                  <c:v>180.80356969123568</c:v>
                </c:pt>
                <c:pt idx="61">
                  <c:v>181.42747233834234</c:v>
                </c:pt>
                <c:pt idx="62">
                  <c:v>182.051374985449</c:v>
                </c:pt>
                <c:pt idx="63">
                  <c:v>182.67527763255566</c:v>
                </c:pt>
                <c:pt idx="64">
                  <c:v>183.29918027966232</c:v>
                </c:pt>
                <c:pt idx="65">
                  <c:v>183.92308292676898</c:v>
                </c:pt>
                <c:pt idx="66">
                  <c:v>184.54698557387565</c:v>
                </c:pt>
                <c:pt idx="67">
                  <c:v>185.17088822098231</c:v>
                </c:pt>
                <c:pt idx="68">
                  <c:v>185.79479086808897</c:v>
                </c:pt>
                <c:pt idx="69">
                  <c:v>186.41869351519563</c:v>
                </c:pt>
                <c:pt idx="70">
                  <c:v>187.04259616230229</c:v>
                </c:pt>
                <c:pt idx="71">
                  <c:v>187.66649880940895</c:v>
                </c:pt>
                <c:pt idx="72">
                  <c:v>188.29040145651561</c:v>
                </c:pt>
                <c:pt idx="73">
                  <c:v>188.91430410362227</c:v>
                </c:pt>
                <c:pt idx="74">
                  <c:v>189.53820675072893</c:v>
                </c:pt>
                <c:pt idx="75">
                  <c:v>190.16210939783559</c:v>
                </c:pt>
                <c:pt idx="76">
                  <c:v>190.78601204494225</c:v>
                </c:pt>
                <c:pt idx="77">
                  <c:v>191.40991469204891</c:v>
                </c:pt>
                <c:pt idx="78">
                  <c:v>192.03381733915558</c:v>
                </c:pt>
                <c:pt idx="79">
                  <c:v>192.65771998626224</c:v>
                </c:pt>
                <c:pt idx="80">
                  <c:v>193.2816226333689</c:v>
                </c:pt>
                <c:pt idx="81">
                  <c:v>193.90552528047556</c:v>
                </c:pt>
                <c:pt idx="82">
                  <c:v>194.52942792758222</c:v>
                </c:pt>
                <c:pt idx="83">
                  <c:v>195.15333057468888</c:v>
                </c:pt>
                <c:pt idx="84">
                  <c:v>195.77723322179554</c:v>
                </c:pt>
                <c:pt idx="85">
                  <c:v>196.4011358689022</c:v>
                </c:pt>
                <c:pt idx="86">
                  <c:v>197.02503851600886</c:v>
                </c:pt>
                <c:pt idx="87">
                  <c:v>197.64894116311552</c:v>
                </c:pt>
                <c:pt idx="88">
                  <c:v>198.27284381022218</c:v>
                </c:pt>
                <c:pt idx="89">
                  <c:v>198.89674645732885</c:v>
                </c:pt>
                <c:pt idx="90">
                  <c:v>199.52064910443551</c:v>
                </c:pt>
                <c:pt idx="91">
                  <c:v>200.14455175154217</c:v>
                </c:pt>
                <c:pt idx="92">
                  <c:v>200.76845439864883</c:v>
                </c:pt>
                <c:pt idx="93">
                  <c:v>201.39235704575549</c:v>
                </c:pt>
                <c:pt idx="94">
                  <c:v>202.01625969286215</c:v>
                </c:pt>
                <c:pt idx="95">
                  <c:v>202.64016233996881</c:v>
                </c:pt>
                <c:pt idx="96">
                  <c:v>203.26406498707547</c:v>
                </c:pt>
                <c:pt idx="97">
                  <c:v>203.88796763418213</c:v>
                </c:pt>
                <c:pt idx="98">
                  <c:v>204.51187028128879</c:v>
                </c:pt>
                <c:pt idx="99">
                  <c:v>205.13577292839545</c:v>
                </c:pt>
              </c:numCache>
            </c:numRef>
          </c:xVal>
          <c:yVal>
            <c:numRef>
              <c:f>SimData_yield_beta_2025!$I$15:$I$114</c:f>
              <c:numCache>
                <c:formatCode>0.000</c:formatCode>
                <c:ptCount val="100"/>
                <c:pt idx="0">
                  <c:v>1.9461826794775654E-5</c:v>
                </c:pt>
                <c:pt idx="1">
                  <c:v>3.3141623873393444E-5</c:v>
                </c:pt>
                <c:pt idx="2">
                  <c:v>5.4398008511499363E-5</c:v>
                </c:pt>
                <c:pt idx="3">
                  <c:v>8.6120550560366227E-5</c:v>
                </c:pt>
                <c:pt idx="4">
                  <c:v>1.3161243689073827E-4</c:v>
                </c:pt>
                <c:pt idx="5">
                  <c:v>1.9434401922702725E-4</c:v>
                </c:pt>
                <c:pt idx="6">
                  <c:v>2.776026845832158E-4</c:v>
                </c:pt>
                <c:pt idx="7">
                  <c:v>3.8409165033170692E-4</c:v>
                </c:pt>
                <c:pt idx="8">
                  <c:v>5.1556119240536442E-4</c:v>
                </c:pt>
                <c:pt idx="9">
                  <c:v>6.7256678647838327E-4</c:v>
                </c:pt>
                <c:pt idx="10">
                  <c:v>8.5442965275573377E-4</c:v>
                </c:pt>
                <c:pt idx="11">
                  <c:v>1.0594266839417308E-3</c:v>
                </c:pt>
                <c:pt idx="12">
                  <c:v>1.2851721385475255E-3</c:v>
                </c:pt>
                <c:pt idx="13">
                  <c:v>1.5290955915935201E-3</c:v>
                </c:pt>
                <c:pt idx="14">
                  <c:v>1.7888923867533902E-3</c:v>
                </c:pt>
                <c:pt idx="15">
                  <c:v>2.0628365556200866E-3</c:v>
                </c:pt>
                <c:pt idx="16">
                  <c:v>2.3498969571748825E-3</c:v>
                </c:pt>
                <c:pt idx="17">
                  <c:v>2.6496646208026844E-3</c:v>
                </c:pt>
                <c:pt idx="18">
                  <c:v>2.9621559785377185E-3</c:v>
                </c:pt>
                <c:pt idx="19">
                  <c:v>3.2875820245665474E-3</c:v>
                </c:pt>
                <c:pt idx="20">
                  <c:v>3.6261618414406035E-3</c:v>
                </c:pt>
                <c:pt idx="21">
                  <c:v>3.9780211171513069E-3</c:v>
                </c:pt>
                <c:pt idx="22">
                  <c:v>4.3431724955736448E-3</c:v>
                </c:pt>
                <c:pt idx="23">
                  <c:v>4.7215441267323653E-3</c:v>
                </c:pt>
                <c:pt idx="24">
                  <c:v>5.1130154215490416E-3</c:v>
                </c:pt>
                <c:pt idx="25">
                  <c:v>5.5174324567720595E-3</c:v>
                </c:pt>
                <c:pt idx="26">
                  <c:v>5.9345986820924321E-3</c:v>
                </c:pt>
                <c:pt idx="27">
                  <c:v>6.3642564461424411E-3</c:v>
                </c:pt>
                <c:pt idx="28">
                  <c:v>6.8060824003848596E-3</c:v>
                </c:pt>
                <c:pt idx="29">
                  <c:v>7.2597133123070744E-3</c:v>
                </c:pt>
                <c:pt idx="30">
                  <c:v>7.7248031100782847E-3</c:v>
                </c:pt>
                <c:pt idx="31">
                  <c:v>8.2010953929802545E-3</c:v>
                </c:pt>
                <c:pt idx="32">
                  <c:v>8.6884858884113819E-3</c:v>
                </c:pt>
                <c:pt idx="33">
                  <c:v>9.1870504458831399E-3</c:v>
                </c:pt>
                <c:pt idx="34">
                  <c:v>9.6970253020936138E-3</c:v>
                </c:pt>
                <c:pt idx="35">
                  <c:v>1.0218742734470536E-2</c:v>
                </c:pt>
                <c:pt idx="36">
                  <c:v>1.0752540417353899E-2</c:v>
                </c:pt>
                <c:pt idx="37">
                  <c:v>1.1298671427794341E-2</c:v>
                </c:pt>
                <c:pt idx="38">
                  <c:v>1.1857241503477875E-2</c:v>
                </c:pt>
                <c:pt idx="39">
                  <c:v>1.2428191859696897E-2</c:v>
                </c:pt>
                <c:pt idx="40">
                  <c:v>1.3011333145782317E-2</c:v>
                </c:pt>
                <c:pt idx="41">
                  <c:v>1.3606423250017154E-2</c:v>
                </c:pt>
                <c:pt idx="42">
                  <c:v>1.4213272070056128E-2</c:v>
                </c:pt>
                <c:pt idx="43">
                  <c:v>1.4831851753840719E-2</c:v>
                </c:pt>
                <c:pt idx="44">
                  <c:v>1.5462391311961142E-2</c:v>
                </c:pt>
                <c:pt idx="45">
                  <c:v>1.6105438880886107E-2</c:v>
                </c:pt>
                <c:pt idx="46">
                  <c:v>1.6761881855339084E-2</c:v>
                </c:pt>
                <c:pt idx="47">
                  <c:v>1.743292314236811E-2</c:v>
                </c:pt>
                <c:pt idx="48">
                  <c:v>1.8120019490800131E-2</c:v>
                </c:pt>
                <c:pt idx="49">
                  <c:v>1.8824793899231605E-2</c:v>
                </c:pt>
                <c:pt idx="50">
                  <c:v>1.9548937556595449E-2</c:v>
                </c:pt>
                <c:pt idx="51">
                  <c:v>2.0294117392745548E-2</c:v>
                </c:pt>
                <c:pt idx="52">
                  <c:v>2.1061903707038952E-2</c:v>
                </c:pt>
                <c:pt idx="53">
                  <c:v>2.1853729556720224E-2</c:v>
                </c:pt>
                <c:pt idx="54">
                  <c:v>2.2670890462037172E-2</c:v>
                </c:pt>
                <c:pt idx="55">
                  <c:v>2.3514589631268193E-2</c:v>
                </c:pt>
                <c:pt idx="56">
                  <c:v>2.4386029820049056E-2</c:v>
                </c:pt>
                <c:pt idx="57">
                  <c:v>2.5286547727611512E-2</c:v>
                </c:pt>
                <c:pt idx="58">
                  <c:v>2.6217781027331299E-2</c:v>
                </c:pt>
                <c:pt idx="59">
                  <c:v>2.7181853270207113E-2</c:v>
                </c:pt>
                <c:pt idx="60">
                  <c:v>2.8181559511660979E-2</c:v>
                </c:pt>
                <c:pt idx="61">
                  <c:v>2.9220535295944275E-2</c:v>
                </c:pt>
                <c:pt idx="62">
                  <c:v>3.0303389893101433E-2</c:v>
                </c:pt>
                <c:pt idx="63">
                  <c:v>3.1435774175933448E-2</c:v>
                </c:pt>
                <c:pt idx="64">
                  <c:v>3.2624325509180992E-2</c:v>
                </c:pt>
                <c:pt idx="65">
                  <c:v>3.3876380593255068E-2</c:v>
                </c:pt>
                <c:pt idx="66">
                  <c:v>3.5199275225840848E-2</c:v>
                </c:pt>
                <c:pt idx="67">
                  <c:v>3.6598975249021455E-2</c:v>
                </c:pt>
                <c:pt idx="68">
                  <c:v>3.8077742466913825E-2</c:v>
                </c:pt>
                <c:pt idx="69">
                  <c:v>3.9630587478824184E-2</c:v>
                </c:pt>
                <c:pt idx="70">
                  <c:v>4.1240458148299783E-2</c:v>
                </c:pt>
                <c:pt idx="71">
                  <c:v>4.2872497701650053E-2</c:v>
                </c:pt>
                <c:pt idx="72">
                  <c:v>4.4468263084991654E-2</c:v>
                </c:pt>
                <c:pt idx="73">
                  <c:v>4.5941412363251694E-2</c:v>
                </c:pt>
                <c:pt idx="74">
                  <c:v>4.7176835566911199E-2</c:v>
                </c:pt>
                <c:pt idx="75">
                  <c:v>4.8035236169878245E-2</c:v>
                </c:pt>
                <c:pt idx="76">
                  <c:v>4.8364522153927579E-2</c:v>
                </c:pt>
                <c:pt idx="77">
                  <c:v>4.8017958440313514E-2</c:v>
                </c:pt>
                <c:pt idx="78">
                  <c:v>4.6877078360902547E-2</c:v>
                </c:pt>
                <c:pt idx="79">
                  <c:v>4.4875377458022628E-2</c:v>
                </c:pt>
                <c:pt idx="80">
                  <c:v>4.2017534830645437E-2</c:v>
                </c:pt>
                <c:pt idx="81">
                  <c:v>3.8388970103670365E-2</c:v>
                </c:pt>
                <c:pt idx="82">
                  <c:v>3.4152217201783713E-2</c:v>
                </c:pt>
                <c:pt idx="83">
                  <c:v>2.9529575687883558E-2</c:v>
                </c:pt>
                <c:pt idx="84">
                  <c:v>2.4774941147087629E-2</c:v>
                </c:pt>
                <c:pt idx="85">
                  <c:v>2.0140514851747976E-2</c:v>
                </c:pt>
                <c:pt idx="86">
                  <c:v>1.5845316936560491E-2</c:v>
                </c:pt>
                <c:pt idx="87">
                  <c:v>1.2051692376714126E-2</c:v>
                </c:pt>
                <c:pt idx="88">
                  <c:v>8.8536182123492915E-3</c:v>
                </c:pt>
                <c:pt idx="89">
                  <c:v>6.2774547430909542E-3</c:v>
                </c:pt>
                <c:pt idx="90">
                  <c:v>4.2928748184801651E-3</c:v>
                </c:pt>
                <c:pt idx="91">
                  <c:v>2.8298718301898846E-3</c:v>
                </c:pt>
                <c:pt idx="92">
                  <c:v>1.7973202304554633E-3</c:v>
                </c:pt>
                <c:pt idx="93">
                  <c:v>1.0993589803090776E-3</c:v>
                </c:pt>
                <c:pt idx="94">
                  <c:v>6.4736428438953047E-4</c:v>
                </c:pt>
                <c:pt idx="95">
                  <c:v>3.668712686135053E-4</c:v>
                </c:pt>
                <c:pt idx="96">
                  <c:v>2.0003812256839013E-4</c:v>
                </c:pt>
                <c:pt idx="97">
                  <c:v>1.0491543600167076E-4</c:v>
                </c:pt>
                <c:pt idx="98">
                  <c:v>5.2917573037596705E-5</c:v>
                </c:pt>
                <c:pt idx="99">
                  <c:v>2.5663256885846702E-5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DF-4E25-9CA4-125406EBC4BB}"/>
            </c:ext>
          </c:extLst>
        </c:ser>
        <c:ser>
          <c:idx val="1"/>
          <c:order val="1"/>
          <c:tx>
            <c:strRef>
              <c:f>SimData_yield_beta_2025!$H$6</c:f>
              <c:strCache>
                <c:ptCount val="1"/>
                <c:pt idx="0">
                  <c:v>Stochastic yield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SimData_yield_beta_2025!$H$13</c:f>
              <c:numCache>
                <c:formatCode>0.000</c:formatCode>
                <c:ptCount val="1"/>
                <c:pt idx="0">
                  <c:v>182.75099850597056</c:v>
                </c:pt>
              </c:numCache>
            </c:numRef>
          </c:xVal>
          <c:yVal>
            <c:numRef>
              <c:f>SimData_yield_beta_2025!$I$13</c:f>
              <c:numCache>
                <c:formatCode>0.000</c:formatCode>
                <c:ptCount val="1"/>
                <c:pt idx="0">
                  <c:v>3.1576888266024547E-2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6DF-4E25-9CA4-125406EBC4BB}"/>
            </c:ext>
          </c:extLst>
        </c:ser>
        <c:ser>
          <c:idx val="2"/>
          <c:order val="2"/>
          <c:tx>
            <c:strRef>
              <c:f>SimData_yield_beta_2025!$H$6</c:f>
              <c:strCache>
                <c:ptCount val="1"/>
                <c:pt idx="0">
                  <c:v>Stochastic yield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SimData_yield_beta_2025!$H$14</c:f>
              <c:numCache>
                <c:formatCode>0.000</c:formatCode>
                <c:ptCount val="1"/>
                <c:pt idx="0">
                  <c:v>194.32422190722852</c:v>
                </c:pt>
              </c:numCache>
            </c:numRef>
          </c:xVal>
          <c:yVal>
            <c:numRef>
              <c:f>SimData_yield_beta_2025!$I$14</c:f>
              <c:numCache>
                <c:formatCode>0.000</c:formatCode>
                <c:ptCount val="1"/>
                <c:pt idx="0">
                  <c:v>3.5600119590832507E-2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6DF-4E25-9CA4-125406EBC4BB}"/>
            </c:ext>
          </c:extLst>
        </c:ser>
        <c:ser>
          <c:idx val="3"/>
          <c:order val="3"/>
          <c:tx>
            <c:strRef>
              <c:f>SimData_yield_beta_2025!$H$6</c:f>
              <c:strCache>
                <c:ptCount val="1"/>
                <c:pt idx="0">
                  <c:v>Stochastic yield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SimData_yield_beta_2025!$H$12</c:f>
              <c:numCache>
                <c:formatCode>0.000</c:formatCode>
                <c:ptCount val="1"/>
                <c:pt idx="0">
                  <c:v>158.90453440169654</c:v>
                </c:pt>
              </c:numCache>
            </c:numRef>
          </c:xVal>
          <c:yVal>
            <c:numRef>
              <c:f>SimData_yield_beta_2025!$I$12</c:f>
              <c:numCache>
                <c:formatCode>0.000</c:formatCode>
                <c:ptCount val="1"/>
                <c:pt idx="0">
                  <c:v>5.4763789909650406E-3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6DF-4E25-9CA4-125406EBC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972336"/>
        <c:axId val="1960982416"/>
      </c:scatterChart>
      <c:valAx>
        <c:axId val="1960972336"/>
        <c:scaling>
          <c:orientation val="minMax"/>
          <c:max val="210"/>
          <c:min val="150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60982416"/>
        <c:crosses val="autoZero"/>
        <c:crossBetween val="midCat"/>
      </c:valAx>
      <c:valAx>
        <c:axId val="1960982416"/>
        <c:scaling>
          <c:orientation val="minMax"/>
          <c:min val="0"/>
        </c:scaling>
        <c:delete val="1"/>
        <c:axPos val="l"/>
        <c:numFmt formatCode="0.000" sourceLinked="1"/>
        <c:majorTickMark val="out"/>
        <c:minorTickMark val="none"/>
        <c:tickLblPos val="nextTo"/>
        <c:crossAx val="19609723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ln w="25400">
          <a:noFill/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422819</xdr:colOff>
      <xdr:row>4</xdr:row>
      <xdr:rowOff>116158</xdr:rowOff>
    </xdr:from>
    <xdr:to>
      <xdr:col>11</xdr:col>
      <xdr:colOff>17347</xdr:colOff>
      <xdr:row>17</xdr:row>
      <xdr:rowOff>179658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85D579-9837-710B-06F3-A2B009928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9942-04DE-4013-BF6D-3B263F6AFC1F}">
  <dimension ref="A1:I519"/>
  <sheetViews>
    <sheetView topLeftCell="A5" zoomScale="205" zoomScaleNormal="205" workbookViewId="0">
      <selection activeCell="L8" sqref="L8"/>
    </sheetView>
  </sheetViews>
  <sheetFormatPr defaultRowHeight="15" x14ac:dyDescent="0.25"/>
  <sheetData>
    <row r="1" spans="1:9" x14ac:dyDescent="0.25">
      <c r="A1" t="s">
        <v>111</v>
      </c>
    </row>
    <row r="2" spans="1:9" x14ac:dyDescent="0.25">
      <c r="A2" t="s">
        <v>97</v>
      </c>
      <c r="B2" t="str">
        <f ca="1">ADDRESS(ROW(Main!$D$124),COLUMN(Main!$D$124),4,,_xll.WSNAME(Main!$D$124))</f>
        <v>Main!D124</v>
      </c>
    </row>
    <row r="3" spans="1:9" x14ac:dyDescent="0.25">
      <c r="A3" t="s">
        <v>10</v>
      </c>
      <c r="B3">
        <f>AVERAGE(B9:B508)</f>
        <v>182.75099850597056</v>
      </c>
    </row>
    <row r="4" spans="1:9" x14ac:dyDescent="0.25">
      <c r="A4" t="s">
        <v>98</v>
      </c>
      <c r="B4">
        <f>STDEV(B9:B508)</f>
        <v>10.040866021049816</v>
      </c>
    </row>
    <row r="5" spans="1:9" x14ac:dyDescent="0.25">
      <c r="A5" t="s">
        <v>99</v>
      </c>
      <c r="B5">
        <f>100*B4/B3</f>
        <v>5.4942879125893125</v>
      </c>
      <c r="G5" t="s">
        <v>112</v>
      </c>
    </row>
    <row r="6" spans="1:9" x14ac:dyDescent="0.25">
      <c r="A6" t="s">
        <v>92</v>
      </c>
      <c r="B6">
        <f>MIN(B9:B508)</f>
        <v>151.07556232395268</v>
      </c>
      <c r="H6" t="str">
        <f>SimData_yield_beta_2025!$B$8</f>
        <v>Stochastic yield</v>
      </c>
    </row>
    <row r="7" spans="1:9" x14ac:dyDescent="0.25">
      <c r="A7" t="s">
        <v>93</v>
      </c>
      <c r="B7">
        <f>MAX(B9:B508)</f>
        <v>194.4985581618146</v>
      </c>
      <c r="G7" t="s">
        <v>113</v>
      </c>
      <c r="H7">
        <f ca="1">_xll.KDEINV(SimData_yield_beta_2025!$B$9:$B$508,$H$9,$H$10,0.01/(COUNT(SimData_yield_beta_2025!$B$9:$B$508)+1))</f>
        <v>143.36941086483603</v>
      </c>
    </row>
    <row r="8" spans="1:9" x14ac:dyDescent="0.25">
      <c r="A8" t="s">
        <v>100</v>
      </c>
      <c r="B8" t="str">
        <f>Main!$D$123</f>
        <v>Stochastic yield</v>
      </c>
      <c r="G8" t="s">
        <v>114</v>
      </c>
      <c r="H8">
        <f ca="1">_xll.KDEINV(SimData_yield_beta_2025!$B$9:$B$508,$H$9,$H$10,1-0.01/(COUNT(SimData_yield_beta_2025!$B$9:$B$508)+1))</f>
        <v>205.13577292839429</v>
      </c>
    </row>
    <row r="9" spans="1:9" ht="15.75" thickBot="1" x14ac:dyDescent="0.3">
      <c r="A9">
        <v>1</v>
      </c>
      <c r="B9">
        <v>158.2524388769499</v>
      </c>
      <c r="G9" t="s">
        <v>115</v>
      </c>
      <c r="H9">
        <f>_xll.BANDWIDTH(SimData_yield_beta_2025!$B$9:$B$508)</f>
        <v>3.071022770325579</v>
      </c>
    </row>
    <row r="10" spans="1:9" ht="16.5" thickTop="1" thickBot="1" x14ac:dyDescent="0.3">
      <c r="A10">
        <v>2</v>
      </c>
      <c r="B10">
        <v>193.40109002669104</v>
      </c>
      <c r="G10" t="s">
        <v>116</v>
      </c>
      <c r="H10" s="29" t="s">
        <v>120</v>
      </c>
    </row>
    <row r="11" spans="1:9" ht="15.75" thickTop="1" x14ac:dyDescent="0.25">
      <c r="A11">
        <v>3</v>
      </c>
      <c r="B11">
        <v>191.32075026253807</v>
      </c>
      <c r="G11" t="s">
        <v>64</v>
      </c>
      <c r="H11" s="30">
        <f>MIN(0.95, 1 - 1 / (COUNT(SimData_yield_beta_2025!$B$9:$B$508) - 1))</f>
        <v>0.95</v>
      </c>
    </row>
    <row r="12" spans="1:9" x14ac:dyDescent="0.25">
      <c r="A12">
        <v>4</v>
      </c>
      <c r="B12">
        <v>160.76055546578567</v>
      </c>
      <c r="G12" t="s">
        <v>117</v>
      </c>
      <c r="H12" s="31">
        <f>_xll.QUANTILE(SimData_yield_beta_2025!$B$9:$B$508,(1-$H$11)/2)</f>
        <v>158.90453440169654</v>
      </c>
      <c r="I12" s="32">
        <f>_xll.PDENSITY($H$12,SimData_yield_beta_2025!$B$9:$B$508,$H$9,$H$10,0)</f>
        <v>5.4763789909650406E-3</v>
      </c>
    </row>
    <row r="13" spans="1:9" x14ac:dyDescent="0.25">
      <c r="A13">
        <v>5</v>
      </c>
      <c r="B13">
        <v>187.34094461670179</v>
      </c>
      <c r="G13" t="s">
        <v>118</v>
      </c>
      <c r="H13" s="31">
        <f>AVERAGE(SimData_yield_beta_2025!$B$9:$B$508)</f>
        <v>182.75099850597056</v>
      </c>
      <c r="I13" s="32">
        <f>_xll.PDENSITY($H$13,SimData_yield_beta_2025!$B$9:$B$508,$H$9,$H$10,0)</f>
        <v>3.1576888266024547E-2</v>
      </c>
    </row>
    <row r="14" spans="1:9" x14ac:dyDescent="0.25">
      <c r="A14">
        <v>6</v>
      </c>
      <c r="B14">
        <v>193.90088370345202</v>
      </c>
      <c r="G14" t="s">
        <v>119</v>
      </c>
      <c r="H14" s="32">
        <f>_xll.QUANTILE(SimData_yield_beta_2025!$B$9:$B$508,1-(1-$H$11)/2)</f>
        <v>194.32422190722852</v>
      </c>
      <c r="I14" s="32">
        <f>_xll.PDENSITY($H$14,SimData_yield_beta_2025!$B$9:$B$508,$H$9,$H$10,0)</f>
        <v>3.5600119590832507E-2</v>
      </c>
    </row>
    <row r="15" spans="1:9" x14ac:dyDescent="0.25">
      <c r="A15">
        <v>7</v>
      </c>
      <c r="B15">
        <v>171.30871437100888</v>
      </c>
      <c r="G15">
        <v>1</v>
      </c>
      <c r="H15" s="32">
        <f ca="1">$H$7</f>
        <v>143.36941086483603</v>
      </c>
      <c r="I15" s="32">
        <f ca="1">_xll.PDENSITY($H$15,SimData_yield_beta_2025!$B$9:$B$508,$H$9,$H$10,0)</f>
        <v>1.9461826794775654E-5</v>
      </c>
    </row>
    <row r="16" spans="1:9" x14ac:dyDescent="0.25">
      <c r="A16">
        <v>8</v>
      </c>
      <c r="B16">
        <v>174.46452595833179</v>
      </c>
      <c r="G16">
        <v>2</v>
      </c>
      <c r="H16" s="31">
        <f ca="1">1/99*($H$8-$H$7)+H15</f>
        <v>143.99331351194269</v>
      </c>
      <c r="I16" s="32">
        <f ca="1">_xll.PDENSITY($H$16,SimData_yield_beta_2025!$B$9:$B$508,$H$9,$H$10,0)</f>
        <v>3.3141623873393444E-5</v>
      </c>
    </row>
    <row r="17" spans="1:9" x14ac:dyDescent="0.25">
      <c r="A17">
        <v>9</v>
      </c>
      <c r="B17">
        <v>161.13339052038862</v>
      </c>
      <c r="G17">
        <v>3</v>
      </c>
      <c r="H17" s="31">
        <f ca="1">1/99*($H$8-$H$7)+H16</f>
        <v>144.61721615904935</v>
      </c>
      <c r="I17" s="32">
        <f ca="1">_xll.PDENSITY($H$17,SimData_yield_beta_2025!$B$9:$B$508,$H$9,$H$10,0)</f>
        <v>5.4398008511499363E-5</v>
      </c>
    </row>
    <row r="18" spans="1:9" x14ac:dyDescent="0.25">
      <c r="A18">
        <v>10</v>
      </c>
      <c r="B18">
        <v>192.15810707878276</v>
      </c>
      <c r="G18">
        <v>4</v>
      </c>
      <c r="H18" s="31">
        <f ca="1">1/99*($H$8-$H$7)+H17</f>
        <v>145.24111880615601</v>
      </c>
      <c r="I18" s="32">
        <f ca="1">_xll.PDENSITY($H$18,SimData_yield_beta_2025!$B$9:$B$508,$H$9,$H$10,0)</f>
        <v>8.6120550560366227E-5</v>
      </c>
    </row>
    <row r="19" spans="1:9" x14ac:dyDescent="0.25">
      <c r="A19">
        <v>11</v>
      </c>
      <c r="B19">
        <v>175.98578885474447</v>
      </c>
      <c r="G19">
        <v>5</v>
      </c>
      <c r="H19" s="31">
        <f ca="1">1/99*($H$8-$H$7)+H18</f>
        <v>145.86502145326267</v>
      </c>
      <c r="I19" s="32">
        <f ca="1">_xll.PDENSITY($H$19,SimData_yield_beta_2025!$B$9:$B$508,$H$9,$H$10,0)</f>
        <v>1.3161243689073827E-4</v>
      </c>
    </row>
    <row r="20" spans="1:9" x14ac:dyDescent="0.25">
      <c r="A20">
        <v>12</v>
      </c>
      <c r="B20">
        <v>179.84908880053837</v>
      </c>
      <c r="G20">
        <v>6</v>
      </c>
      <c r="H20" s="31">
        <f ca="1">1/99*($H$8-$H$7)+H19</f>
        <v>146.48892410036933</v>
      </c>
      <c r="I20" s="32">
        <f ca="1">_xll.PDENSITY($H$20,SimData_yield_beta_2025!$B$9:$B$508,$H$9,$H$10,0)</f>
        <v>1.9434401922702725E-4</v>
      </c>
    </row>
    <row r="21" spans="1:9" x14ac:dyDescent="0.25">
      <c r="A21">
        <v>13</v>
      </c>
      <c r="B21">
        <v>184.05038975064437</v>
      </c>
      <c r="G21">
        <v>7</v>
      </c>
      <c r="H21" s="31">
        <f ca="1">1/99*($H$8-$H$7)+H20</f>
        <v>147.11282674747599</v>
      </c>
      <c r="I21" s="32">
        <f ca="1">_xll.PDENSITY($H$21,SimData_yield_beta_2025!$B$9:$B$508,$H$9,$H$10,0)</f>
        <v>2.776026845832158E-4</v>
      </c>
    </row>
    <row r="22" spans="1:9" x14ac:dyDescent="0.25">
      <c r="A22">
        <v>14</v>
      </c>
      <c r="B22">
        <v>187.20566548662717</v>
      </c>
      <c r="G22">
        <v>8</v>
      </c>
      <c r="H22" s="31">
        <f ca="1">1/99*($H$8-$H$7)+H21</f>
        <v>147.73672939458265</v>
      </c>
      <c r="I22" s="32">
        <f ca="1">_xll.PDENSITY($H$22,SimData_yield_beta_2025!$B$9:$B$508,$H$9,$H$10,0)</f>
        <v>3.8409165033170692E-4</v>
      </c>
    </row>
    <row r="23" spans="1:9" x14ac:dyDescent="0.25">
      <c r="A23">
        <v>15</v>
      </c>
      <c r="B23">
        <v>171.30035790205704</v>
      </c>
      <c r="G23">
        <v>9</v>
      </c>
      <c r="H23" s="31">
        <f ca="1">1/99*($H$8-$H$7)+H22</f>
        <v>148.36063204168931</v>
      </c>
      <c r="I23" s="32">
        <f ca="1">_xll.PDENSITY($H$23,SimData_yield_beta_2025!$B$9:$B$508,$H$9,$H$10,0)</f>
        <v>5.1556119240536442E-4</v>
      </c>
    </row>
    <row r="24" spans="1:9" x14ac:dyDescent="0.25">
      <c r="A24">
        <v>16</v>
      </c>
      <c r="B24">
        <v>189.85894865015186</v>
      </c>
      <c r="G24">
        <v>10</v>
      </c>
      <c r="H24" s="31">
        <f ca="1">1/99*($H$8-$H$7)+H23</f>
        <v>148.98453468879597</v>
      </c>
      <c r="I24" s="32">
        <f ca="1">_xll.PDENSITY($H$24,SimData_yield_beta_2025!$B$9:$B$508,$H$9,$H$10,0)</f>
        <v>6.7256678647838327E-4</v>
      </c>
    </row>
    <row r="25" spans="1:9" x14ac:dyDescent="0.25">
      <c r="A25">
        <v>17</v>
      </c>
      <c r="B25">
        <v>187.88837595862586</v>
      </c>
      <c r="G25">
        <v>11</v>
      </c>
      <c r="H25" s="31">
        <f ca="1">1/99*($H$8-$H$7)+H24</f>
        <v>149.60843733590264</v>
      </c>
      <c r="I25" s="32">
        <f ca="1">_xll.PDENSITY($H$25,SimData_yield_beta_2025!$B$9:$B$508,$H$9,$H$10,0)</f>
        <v>8.5442965275573377E-4</v>
      </c>
    </row>
    <row r="26" spans="1:9" x14ac:dyDescent="0.25">
      <c r="A26">
        <v>18</v>
      </c>
      <c r="B26">
        <v>183.68512095025278</v>
      </c>
      <c r="G26">
        <v>12</v>
      </c>
      <c r="H26" s="31">
        <f ca="1">1/99*($H$8-$H$7)+H25</f>
        <v>150.2323399830093</v>
      </c>
      <c r="I26" s="32">
        <f ca="1">_xll.PDENSITY($H$26,SimData_yield_beta_2025!$B$9:$B$508,$H$9,$H$10,0)</f>
        <v>1.0594266839417308E-3</v>
      </c>
    </row>
    <row r="27" spans="1:9" x14ac:dyDescent="0.25">
      <c r="A27">
        <v>19</v>
      </c>
      <c r="B27">
        <v>193.71293815266</v>
      </c>
      <c r="G27">
        <v>13</v>
      </c>
      <c r="H27" s="31">
        <f ca="1">1/99*($H$8-$H$7)+H26</f>
        <v>150.85624263011596</v>
      </c>
      <c r="I27" s="32">
        <f ca="1">_xll.PDENSITY($H$27,SimData_yield_beta_2025!$B$9:$B$508,$H$9,$H$10,0)</f>
        <v>1.2851721385475255E-3</v>
      </c>
    </row>
    <row r="28" spans="1:9" x14ac:dyDescent="0.25">
      <c r="A28">
        <v>20</v>
      </c>
      <c r="B28">
        <v>192.99400621407491</v>
      </c>
      <c r="G28">
        <v>14</v>
      </c>
      <c r="H28" s="31">
        <f ca="1">1/99*($H$8-$H$7)+H27</f>
        <v>151.48014527722262</v>
      </c>
      <c r="I28" s="32">
        <f ca="1">_xll.PDENSITY($H$28,SimData_yield_beta_2025!$B$9:$B$508,$H$9,$H$10,0)</f>
        <v>1.5290955915935201E-3</v>
      </c>
    </row>
    <row r="29" spans="1:9" x14ac:dyDescent="0.25">
      <c r="A29">
        <v>21</v>
      </c>
      <c r="B29">
        <v>182.76554430329378</v>
      </c>
      <c r="G29">
        <v>15</v>
      </c>
      <c r="H29" s="31">
        <f ca="1">1/99*($H$8-$H$7)+H28</f>
        <v>152.10404792432928</v>
      </c>
      <c r="I29" s="32">
        <f ca="1">_xll.PDENSITY($H$29,SimData_yield_beta_2025!$B$9:$B$508,$H$9,$H$10,0)</f>
        <v>1.7888923867533902E-3</v>
      </c>
    </row>
    <row r="30" spans="1:9" x14ac:dyDescent="0.25">
      <c r="A30">
        <v>22</v>
      </c>
      <c r="B30">
        <v>190.51592081715134</v>
      </c>
      <c r="G30">
        <v>16</v>
      </c>
      <c r="H30" s="31">
        <f ca="1">1/99*($H$8-$H$7)+H29</f>
        <v>152.72795057143594</v>
      </c>
      <c r="I30" s="32">
        <f ca="1">_xll.PDENSITY($H$30,SimData_yield_beta_2025!$B$9:$B$508,$H$9,$H$10,0)</f>
        <v>2.0628365556200866E-3</v>
      </c>
    </row>
    <row r="31" spans="1:9" x14ac:dyDescent="0.25">
      <c r="A31">
        <v>23</v>
      </c>
      <c r="B31">
        <v>183.49491053148287</v>
      </c>
      <c r="G31">
        <v>17</v>
      </c>
      <c r="H31" s="31">
        <f ca="1">1/99*($H$8-$H$7)+H30</f>
        <v>153.3518532185426</v>
      </c>
      <c r="I31" s="32">
        <f ca="1">_xll.PDENSITY($H$31,SimData_yield_beta_2025!$B$9:$B$508,$H$9,$H$10,0)</f>
        <v>2.3498969571748825E-3</v>
      </c>
    </row>
    <row r="32" spans="1:9" x14ac:dyDescent="0.25">
      <c r="A32">
        <v>24</v>
      </c>
      <c r="B32">
        <v>188.72616317177835</v>
      </c>
      <c r="G32">
        <v>18</v>
      </c>
      <c r="H32" s="31">
        <f ca="1">1/99*($H$8-$H$7)+H31</f>
        <v>153.97575586564926</v>
      </c>
      <c r="I32" s="32">
        <f ca="1">_xll.PDENSITY($H$32,SimData_yield_beta_2025!$B$9:$B$508,$H$9,$H$10,0)</f>
        <v>2.6496646208026844E-3</v>
      </c>
    </row>
    <row r="33" spans="1:9" x14ac:dyDescent="0.25">
      <c r="A33">
        <v>25</v>
      </c>
      <c r="B33">
        <v>164.18886210662669</v>
      </c>
      <c r="G33">
        <v>19</v>
      </c>
      <c r="H33" s="31">
        <f ca="1">1/99*($H$8-$H$7)+H32</f>
        <v>154.59965851275592</v>
      </c>
      <c r="I33" s="32">
        <f ca="1">_xll.PDENSITY($H$33,SimData_yield_beta_2025!$B$9:$B$508,$H$9,$H$10,0)</f>
        <v>2.9621559785377185E-3</v>
      </c>
    </row>
    <row r="34" spans="1:9" x14ac:dyDescent="0.25">
      <c r="A34">
        <v>26</v>
      </c>
      <c r="B34">
        <v>182.6161137896834</v>
      </c>
      <c r="G34">
        <v>20</v>
      </c>
      <c r="H34" s="31">
        <f ca="1">1/99*($H$8-$H$7)+H33</f>
        <v>155.22356115986258</v>
      </c>
      <c r="I34" s="32">
        <f ca="1">_xll.PDENSITY($H$34,SimData_yield_beta_2025!$B$9:$B$508,$H$9,$H$10,0)</f>
        <v>3.2875820245665474E-3</v>
      </c>
    </row>
    <row r="35" spans="1:9" x14ac:dyDescent="0.25">
      <c r="A35">
        <v>27</v>
      </c>
      <c r="B35">
        <v>178.22197311432041</v>
      </c>
      <c r="G35">
        <v>21</v>
      </c>
      <c r="H35" s="31">
        <f ca="1">1/99*($H$8-$H$7)+H34</f>
        <v>155.84746380696924</v>
      </c>
      <c r="I35" s="32">
        <f ca="1">_xll.PDENSITY($H$35,SimData_yield_beta_2025!$B$9:$B$508,$H$9,$H$10,0)</f>
        <v>3.6261618414406035E-3</v>
      </c>
    </row>
    <row r="36" spans="1:9" x14ac:dyDescent="0.25">
      <c r="A36">
        <v>28</v>
      </c>
      <c r="B36">
        <v>172.15153416096078</v>
      </c>
      <c r="G36">
        <v>22</v>
      </c>
      <c r="H36" s="31">
        <f ca="1">1/99*($H$8-$H$7)+H35</f>
        <v>156.47136645407591</v>
      </c>
      <c r="I36" s="32">
        <f ca="1">_xll.PDENSITY($H$36,SimData_yield_beta_2025!$B$9:$B$508,$H$9,$H$10,0)</f>
        <v>3.9780211171513069E-3</v>
      </c>
    </row>
    <row r="37" spans="1:9" x14ac:dyDescent="0.25">
      <c r="A37">
        <v>29</v>
      </c>
      <c r="B37">
        <v>178.70550951733662</v>
      </c>
      <c r="G37">
        <v>23</v>
      </c>
      <c r="H37" s="31">
        <f ca="1">1/99*($H$8-$H$7)+H36</f>
        <v>157.09526910118257</v>
      </c>
      <c r="I37" s="32">
        <f ca="1">_xll.PDENSITY($H$37,SimData_yield_beta_2025!$B$9:$B$508,$H$9,$H$10,0)</f>
        <v>4.3431724955736448E-3</v>
      </c>
    </row>
    <row r="38" spans="1:9" x14ac:dyDescent="0.25">
      <c r="A38">
        <v>30</v>
      </c>
      <c r="B38">
        <v>194.28471870808823</v>
      </c>
      <c r="G38">
        <v>24</v>
      </c>
      <c r="H38" s="31">
        <f ca="1">1/99*($H$8-$H$7)+H37</f>
        <v>157.71917174828923</v>
      </c>
      <c r="I38" s="32">
        <f ca="1">_xll.PDENSITY($H$38,SimData_yield_beta_2025!$B$9:$B$508,$H$9,$H$10,0)</f>
        <v>4.7215441267323653E-3</v>
      </c>
    </row>
    <row r="39" spans="1:9" x14ac:dyDescent="0.25">
      <c r="A39">
        <v>31</v>
      </c>
      <c r="B39">
        <v>180.58035553562232</v>
      </c>
      <c r="G39">
        <v>25</v>
      </c>
      <c r="H39" s="31">
        <f ca="1">1/99*($H$8-$H$7)+H38</f>
        <v>158.34307439539589</v>
      </c>
      <c r="I39" s="32">
        <f ca="1">_xll.PDENSITY($H$39,SimData_yield_beta_2025!$B$9:$B$508,$H$9,$H$10,0)</f>
        <v>5.1130154215490416E-3</v>
      </c>
    </row>
    <row r="40" spans="1:9" x14ac:dyDescent="0.25">
      <c r="A40">
        <v>32</v>
      </c>
      <c r="B40">
        <v>194.08614724051432</v>
      </c>
      <c r="G40">
        <v>26</v>
      </c>
      <c r="H40" s="31">
        <f ca="1">1/99*($H$8-$H$7)+H39</f>
        <v>158.96697704250255</v>
      </c>
      <c r="I40" s="32">
        <f ca="1">_xll.PDENSITY($H$40,SimData_yield_beta_2025!$B$9:$B$508,$H$9,$H$10,0)</f>
        <v>5.5174324567720595E-3</v>
      </c>
    </row>
    <row r="41" spans="1:9" x14ac:dyDescent="0.25">
      <c r="A41">
        <v>33</v>
      </c>
      <c r="B41">
        <v>192.92456835981358</v>
      </c>
      <c r="G41">
        <v>27</v>
      </c>
      <c r="H41" s="31">
        <f ca="1">1/99*($H$8-$H$7)+H40</f>
        <v>159.59087968960921</v>
      </c>
      <c r="I41" s="32">
        <f ca="1">_xll.PDENSITY($H$41,SimData_yield_beta_2025!$B$9:$B$508,$H$9,$H$10,0)</f>
        <v>5.9345986820924321E-3</v>
      </c>
    </row>
    <row r="42" spans="1:9" x14ac:dyDescent="0.25">
      <c r="A42">
        <v>34</v>
      </c>
      <c r="B42">
        <v>190.45831141478641</v>
      </c>
      <c r="G42">
        <v>28</v>
      </c>
      <c r="H42" s="31">
        <f ca="1">1/99*($H$8-$H$7)+H41</f>
        <v>160.21478233671587</v>
      </c>
      <c r="I42" s="32">
        <f ca="1">_xll.PDENSITY($H$42,SimData_yield_beta_2025!$B$9:$B$508,$H$9,$H$10,0)</f>
        <v>6.3642564461424411E-3</v>
      </c>
    </row>
    <row r="43" spans="1:9" x14ac:dyDescent="0.25">
      <c r="A43">
        <v>35</v>
      </c>
      <c r="B43">
        <v>183.02338571510083</v>
      </c>
      <c r="G43">
        <v>29</v>
      </c>
      <c r="H43" s="31">
        <f ca="1">1/99*($H$8-$H$7)+H42</f>
        <v>160.83868498382253</v>
      </c>
      <c r="I43" s="32">
        <f ca="1">_xll.PDENSITY($H$43,SimData_yield_beta_2025!$B$9:$B$508,$H$9,$H$10,0)</f>
        <v>6.8060824003848596E-3</v>
      </c>
    </row>
    <row r="44" spans="1:9" x14ac:dyDescent="0.25">
      <c r="A44">
        <v>36</v>
      </c>
      <c r="B44">
        <v>184.45718489303312</v>
      </c>
      <c r="G44">
        <v>30</v>
      </c>
      <c r="H44" s="31">
        <f ca="1">1/99*($H$8-$H$7)+H43</f>
        <v>161.46258763092919</v>
      </c>
      <c r="I44" s="32">
        <f ca="1">_xll.PDENSITY($H$44,SimData_yield_beta_2025!$B$9:$B$508,$H$9,$H$10,0)</f>
        <v>7.2597133123070744E-3</v>
      </c>
    </row>
    <row r="45" spans="1:9" x14ac:dyDescent="0.25">
      <c r="A45">
        <v>37</v>
      </c>
      <c r="B45">
        <v>190.0088381033342</v>
      </c>
      <c r="G45">
        <v>31</v>
      </c>
      <c r="H45" s="31">
        <f ca="1">1/99*($H$8-$H$7)+H44</f>
        <v>162.08649027803585</v>
      </c>
      <c r="I45" s="32">
        <f ca="1">_xll.PDENSITY($H$45,SimData_yield_beta_2025!$B$9:$B$508,$H$9,$H$10,0)</f>
        <v>7.7248031100782847E-3</v>
      </c>
    </row>
    <row r="46" spans="1:9" x14ac:dyDescent="0.25">
      <c r="A46">
        <v>38</v>
      </c>
      <c r="B46">
        <v>193.85125817367677</v>
      </c>
      <c r="G46">
        <v>32</v>
      </c>
      <c r="H46" s="31">
        <f ca="1">1/99*($H$8-$H$7)+H45</f>
        <v>162.71039292514251</v>
      </c>
      <c r="I46" s="32">
        <f ca="1">_xll.PDENSITY($H$46,SimData_yield_beta_2025!$B$9:$B$508,$H$9,$H$10,0)</f>
        <v>8.2010953929802545E-3</v>
      </c>
    </row>
    <row r="47" spans="1:9" x14ac:dyDescent="0.25">
      <c r="A47">
        <v>39</v>
      </c>
      <c r="B47">
        <v>170.44645013230303</v>
      </c>
      <c r="G47">
        <v>33</v>
      </c>
      <c r="H47" s="31">
        <f ca="1">1/99*($H$8-$H$7)+H46</f>
        <v>163.33429557224918</v>
      </c>
      <c r="I47" s="32">
        <f ca="1">_xll.PDENSITY($H$47,SimData_yield_beta_2025!$B$9:$B$508,$H$9,$H$10,0)</f>
        <v>8.6884858884113819E-3</v>
      </c>
    </row>
    <row r="48" spans="1:9" x14ac:dyDescent="0.25">
      <c r="A48">
        <v>40</v>
      </c>
      <c r="B48">
        <v>191.03923101505225</v>
      </c>
      <c r="G48">
        <v>34</v>
      </c>
      <c r="H48" s="31">
        <f ca="1">1/99*($H$8-$H$7)+H47</f>
        <v>163.95819821935584</v>
      </c>
      <c r="I48" s="32">
        <f ca="1">_xll.PDENSITY($H$48,SimData_yield_beta_2025!$B$9:$B$508,$H$9,$H$10,0)</f>
        <v>9.1870504458831399E-3</v>
      </c>
    </row>
    <row r="49" spans="1:9" x14ac:dyDescent="0.25">
      <c r="A49">
        <v>41</v>
      </c>
      <c r="B49">
        <v>155.25091700551366</v>
      </c>
      <c r="G49">
        <v>35</v>
      </c>
      <c r="H49" s="31">
        <f ca="1">1/99*($H$8-$H$7)+H48</f>
        <v>164.5821008664625</v>
      </c>
      <c r="I49" s="32">
        <f ca="1">_xll.PDENSITY($H$49,SimData_yield_beta_2025!$B$9:$B$508,$H$9,$H$10,0)</f>
        <v>9.6970253020936138E-3</v>
      </c>
    </row>
    <row r="50" spans="1:9" x14ac:dyDescent="0.25">
      <c r="A50">
        <v>42</v>
      </c>
      <c r="B50">
        <v>194.38732428897023</v>
      </c>
      <c r="G50">
        <v>36</v>
      </c>
      <c r="H50" s="31">
        <f ca="1">1/99*($H$8-$H$7)+H49</f>
        <v>165.20600351356916</v>
      </c>
      <c r="I50" s="32">
        <f ca="1">_xll.PDENSITY($H$50,SimData_yield_beta_2025!$B$9:$B$508,$H$9,$H$10,0)</f>
        <v>1.0218742734470536E-2</v>
      </c>
    </row>
    <row r="51" spans="1:9" x14ac:dyDescent="0.25">
      <c r="A51">
        <v>43</v>
      </c>
      <c r="B51">
        <v>190.3014724432775</v>
      </c>
      <c r="G51">
        <v>37</v>
      </c>
      <c r="H51" s="31">
        <f ca="1">1/99*($H$8-$H$7)+H50</f>
        <v>165.82990616067582</v>
      </c>
      <c r="I51" s="32">
        <f ca="1">_xll.PDENSITY($H$51,SimData_yield_beta_2025!$B$9:$B$508,$H$9,$H$10,0)</f>
        <v>1.0752540417353899E-2</v>
      </c>
    </row>
    <row r="52" spans="1:9" x14ac:dyDescent="0.25">
      <c r="A52">
        <v>44</v>
      </c>
      <c r="B52">
        <v>193.49316747846095</v>
      </c>
      <c r="G52">
        <v>38</v>
      </c>
      <c r="H52" s="31">
        <f ca="1">1/99*($H$8-$H$7)+H51</f>
        <v>166.45380880778248</v>
      </c>
      <c r="I52" s="32">
        <f ca="1">_xll.PDENSITY($H$52,SimData_yield_beta_2025!$B$9:$B$508,$H$9,$H$10,0)</f>
        <v>1.1298671427794341E-2</v>
      </c>
    </row>
    <row r="53" spans="1:9" x14ac:dyDescent="0.25">
      <c r="A53">
        <v>45</v>
      </c>
      <c r="B53">
        <v>188.81249561427731</v>
      </c>
      <c r="G53">
        <v>39</v>
      </c>
      <c r="H53" s="31">
        <f ca="1">1/99*($H$8-$H$7)+H52</f>
        <v>167.07771145488914</v>
      </c>
      <c r="I53" s="32">
        <f ca="1">_xll.PDENSITY($H$53,SimData_yield_beta_2025!$B$9:$B$508,$H$9,$H$10,0)</f>
        <v>1.1857241503477875E-2</v>
      </c>
    </row>
    <row r="54" spans="1:9" x14ac:dyDescent="0.25">
      <c r="A54">
        <v>46</v>
      </c>
      <c r="B54">
        <v>185.86763458444062</v>
      </c>
      <c r="G54">
        <v>40</v>
      </c>
      <c r="H54" s="31">
        <f ca="1">1/99*($H$8-$H$7)+H53</f>
        <v>167.7016141019958</v>
      </c>
      <c r="I54" s="32">
        <f ca="1">_xll.PDENSITY($H$54,SimData_yield_beta_2025!$B$9:$B$508,$H$9,$H$10,0)</f>
        <v>1.2428191859696897E-2</v>
      </c>
    </row>
    <row r="55" spans="1:9" x14ac:dyDescent="0.25">
      <c r="A55">
        <v>47</v>
      </c>
      <c r="B55">
        <v>193.16442310958126</v>
      </c>
      <c r="G55">
        <v>41</v>
      </c>
      <c r="H55" s="31">
        <f ca="1">1/99*($H$8-$H$7)+H54</f>
        <v>168.32551674910246</v>
      </c>
      <c r="I55" s="32">
        <f ca="1">_xll.PDENSITY($H$55,SimData_yield_beta_2025!$B$9:$B$508,$H$9,$H$10,0)</f>
        <v>1.3011333145782317E-2</v>
      </c>
    </row>
    <row r="56" spans="1:9" x14ac:dyDescent="0.25">
      <c r="A56">
        <v>48</v>
      </c>
      <c r="B56">
        <v>171.63404527023982</v>
      </c>
      <c r="G56">
        <v>42</v>
      </c>
      <c r="H56" s="31">
        <f ca="1">1/99*($H$8-$H$7)+H55</f>
        <v>168.94941939620912</v>
      </c>
      <c r="I56" s="32">
        <f ca="1">_xll.PDENSITY($H$56,SimData_yield_beta_2025!$B$9:$B$508,$H$9,$H$10,0)</f>
        <v>1.3606423250017154E-2</v>
      </c>
    </row>
    <row r="57" spans="1:9" x14ac:dyDescent="0.25">
      <c r="A57">
        <v>49</v>
      </c>
      <c r="B57">
        <v>193.92743478158525</v>
      </c>
      <c r="G57">
        <v>43</v>
      </c>
      <c r="H57" s="31">
        <f ca="1">1/99*($H$8-$H$7)+H56</f>
        <v>169.57332204331578</v>
      </c>
      <c r="I57" s="32">
        <f ca="1">_xll.PDENSITY($H$57,SimData_yield_beta_2025!$B$9:$B$508,$H$9,$H$10,0)</f>
        <v>1.4213272070056128E-2</v>
      </c>
    </row>
    <row r="58" spans="1:9" x14ac:dyDescent="0.25">
      <c r="A58">
        <v>50</v>
      </c>
      <c r="B58">
        <v>171.00130159588835</v>
      </c>
      <c r="G58">
        <v>44</v>
      </c>
      <c r="H58" s="31">
        <f ca="1">1/99*($H$8-$H$7)+H57</f>
        <v>170.19722469042244</v>
      </c>
      <c r="I58" s="32">
        <f ca="1">_xll.PDENSITY($H$58,SimData_yield_beta_2025!$B$9:$B$508,$H$9,$H$10,0)</f>
        <v>1.4831851753840719E-2</v>
      </c>
    </row>
    <row r="59" spans="1:9" x14ac:dyDescent="0.25">
      <c r="A59">
        <v>51</v>
      </c>
      <c r="B59">
        <v>177.33263783078098</v>
      </c>
      <c r="G59">
        <v>45</v>
      </c>
      <c r="H59" s="31">
        <f ca="1">1/99*($H$8-$H$7)+H58</f>
        <v>170.82112733752911</v>
      </c>
      <c r="I59" s="32">
        <f ca="1">_xll.PDENSITY($H$59,SimData_yield_beta_2025!$B$9:$B$508,$H$9,$H$10,0)</f>
        <v>1.5462391311961142E-2</v>
      </c>
    </row>
    <row r="60" spans="1:9" x14ac:dyDescent="0.25">
      <c r="A60">
        <v>52</v>
      </c>
      <c r="B60">
        <v>184.98080017466779</v>
      </c>
      <c r="G60">
        <v>46</v>
      </c>
      <c r="H60" s="31">
        <f ca="1">1/99*($H$8-$H$7)+H59</f>
        <v>171.44502998463577</v>
      </c>
      <c r="I60" s="32">
        <f ca="1">_xll.PDENSITY($H$60,SimData_yield_beta_2025!$B$9:$B$508,$H$9,$H$10,0)</f>
        <v>1.6105438880886107E-2</v>
      </c>
    </row>
    <row r="61" spans="1:9" x14ac:dyDescent="0.25">
      <c r="A61">
        <v>53</v>
      </c>
      <c r="B61">
        <v>193.77765564341308</v>
      </c>
      <c r="G61">
        <v>47</v>
      </c>
      <c r="H61" s="31">
        <f ca="1">1/99*($H$8-$H$7)+H60</f>
        <v>172.06893263174243</v>
      </c>
      <c r="I61" s="32">
        <f ca="1">_xll.PDENSITY($H$61,SimData_yield_beta_2025!$B$9:$B$508,$H$9,$H$10,0)</f>
        <v>1.6761881855339084E-2</v>
      </c>
    </row>
    <row r="62" spans="1:9" x14ac:dyDescent="0.25">
      <c r="A62">
        <v>54</v>
      </c>
      <c r="B62">
        <v>183.87979386759881</v>
      </c>
      <c r="G62">
        <v>48</v>
      </c>
      <c r="H62" s="31">
        <f ca="1">1/99*($H$8-$H$7)+H61</f>
        <v>172.69283527884909</v>
      </c>
      <c r="I62" s="32">
        <f ca="1">_xll.PDENSITY($H$62,SimData_yield_beta_2025!$B$9:$B$508,$H$9,$H$10,0)</f>
        <v>1.743292314236811E-2</v>
      </c>
    </row>
    <row r="63" spans="1:9" x14ac:dyDescent="0.25">
      <c r="A63">
        <v>55</v>
      </c>
      <c r="B63">
        <v>187.94643409189564</v>
      </c>
      <c r="G63">
        <v>49</v>
      </c>
      <c r="H63" s="31">
        <f ca="1">1/99*($H$8-$H$7)+H62</f>
        <v>173.31673792595575</v>
      </c>
      <c r="I63" s="32">
        <f ca="1">_xll.PDENSITY($H$63,SimData_yield_beta_2025!$B$9:$B$508,$H$9,$H$10,0)</f>
        <v>1.8120019490800131E-2</v>
      </c>
    </row>
    <row r="64" spans="1:9" x14ac:dyDescent="0.25">
      <c r="A64">
        <v>56</v>
      </c>
      <c r="B64">
        <v>176.15099157281435</v>
      </c>
      <c r="G64">
        <v>50</v>
      </c>
      <c r="H64" s="31">
        <f ca="1">1/99*($H$8-$H$7)+H63</f>
        <v>173.94064057306241</v>
      </c>
      <c r="I64" s="32">
        <f ca="1">_xll.PDENSITY($H$64,SimData_yield_beta_2025!$B$9:$B$508,$H$9,$H$10,0)</f>
        <v>1.8824793899231605E-2</v>
      </c>
    </row>
    <row r="65" spans="1:9" x14ac:dyDescent="0.25">
      <c r="A65">
        <v>57</v>
      </c>
      <c r="B65">
        <v>184.7734307313261</v>
      </c>
      <c r="G65">
        <v>51</v>
      </c>
      <c r="H65" s="31">
        <f ca="1">1/99*($H$8-$H$7)+H64</f>
        <v>174.56454322016907</v>
      </c>
      <c r="I65" s="32">
        <f ca="1">_xll.PDENSITY($H$65,SimData_yield_beta_2025!$B$9:$B$508,$H$9,$H$10,0)</f>
        <v>1.9548937556595449E-2</v>
      </c>
    </row>
    <row r="66" spans="1:9" x14ac:dyDescent="0.25">
      <c r="A66">
        <v>58</v>
      </c>
      <c r="B66">
        <v>156.62316996950008</v>
      </c>
      <c r="G66">
        <v>52</v>
      </c>
      <c r="H66" s="31">
        <f ca="1">1/99*($H$8-$H$7)+H65</f>
        <v>175.18844586727573</v>
      </c>
      <c r="I66" s="32">
        <f ca="1">_xll.PDENSITY($H$66,SimData_yield_beta_2025!$B$9:$B$508,$H$9,$H$10,0)</f>
        <v>2.0294117392745548E-2</v>
      </c>
    </row>
    <row r="67" spans="1:9" x14ac:dyDescent="0.25">
      <c r="A67">
        <v>59</v>
      </c>
      <c r="B67">
        <v>180.53504926192414</v>
      </c>
      <c r="G67">
        <v>53</v>
      </c>
      <c r="H67" s="31">
        <f ca="1">1/99*($H$8-$H$7)+H66</f>
        <v>175.81234851438239</v>
      </c>
      <c r="I67" s="32">
        <f ca="1">_xll.PDENSITY($H$67,SimData_yield_beta_2025!$B$9:$B$508,$H$9,$H$10,0)</f>
        <v>2.1061903707038952E-2</v>
      </c>
    </row>
    <row r="68" spans="1:9" x14ac:dyDescent="0.25">
      <c r="A68">
        <v>60</v>
      </c>
      <c r="B68">
        <v>191.17574559359275</v>
      </c>
      <c r="G68">
        <v>54</v>
      </c>
      <c r="H68" s="31">
        <f ca="1">1/99*($H$8-$H$7)+H67</f>
        <v>176.43625116148905</v>
      </c>
      <c r="I68" s="32">
        <f ca="1">_xll.PDENSITY($H$68,SimData_yield_beta_2025!$B$9:$B$508,$H$9,$H$10,0)</f>
        <v>2.1853729556720224E-2</v>
      </c>
    </row>
    <row r="69" spans="1:9" x14ac:dyDescent="0.25">
      <c r="A69">
        <v>61</v>
      </c>
      <c r="B69">
        <v>191.65127422716282</v>
      </c>
      <c r="G69">
        <v>55</v>
      </c>
      <c r="H69" s="31">
        <f ca="1">1/99*($H$8-$H$7)+H68</f>
        <v>177.06015380859571</v>
      </c>
      <c r="I69" s="32">
        <f ca="1">_xll.PDENSITY($H$69,SimData_yield_beta_2025!$B$9:$B$508,$H$9,$H$10,0)</f>
        <v>2.2670890462037172E-2</v>
      </c>
    </row>
    <row r="70" spans="1:9" x14ac:dyDescent="0.25">
      <c r="A70">
        <v>62</v>
      </c>
      <c r="B70">
        <v>194.4985581618146</v>
      </c>
      <c r="G70">
        <v>56</v>
      </c>
      <c r="H70" s="31">
        <f ca="1">1/99*($H$8-$H$7)+H69</f>
        <v>177.68405645570238</v>
      </c>
      <c r="I70" s="32">
        <f ca="1">_xll.PDENSITY($H$70,SimData_yield_beta_2025!$B$9:$B$508,$H$9,$H$10,0)</f>
        <v>2.3514589631268193E-2</v>
      </c>
    </row>
    <row r="71" spans="1:9" x14ac:dyDescent="0.25">
      <c r="A71">
        <v>63</v>
      </c>
      <c r="B71">
        <v>188.59777860447781</v>
      </c>
      <c r="G71">
        <v>57</v>
      </c>
      <c r="H71" s="31">
        <f ca="1">1/99*($H$8-$H$7)+H70</f>
        <v>178.30795910280904</v>
      </c>
      <c r="I71" s="32">
        <f ca="1">_xll.PDENSITY($H$71,SimData_yield_beta_2025!$B$9:$B$508,$H$9,$H$10,0)</f>
        <v>2.4386029820049056E-2</v>
      </c>
    </row>
    <row r="72" spans="1:9" x14ac:dyDescent="0.25">
      <c r="A72">
        <v>64</v>
      </c>
      <c r="B72">
        <v>173.49019281441196</v>
      </c>
      <c r="G72">
        <v>58</v>
      </c>
      <c r="H72" s="31">
        <f ca="1">1/99*($H$8-$H$7)+H71</f>
        <v>178.9318617499157</v>
      </c>
      <c r="I72" s="32">
        <f ca="1">_xll.PDENSITY($H$72,SimData_yield_beta_2025!$B$9:$B$508,$H$9,$H$10,0)</f>
        <v>2.5286547727611512E-2</v>
      </c>
    </row>
    <row r="73" spans="1:9" x14ac:dyDescent="0.25">
      <c r="A73">
        <v>65</v>
      </c>
      <c r="B73">
        <v>192.20606675193744</v>
      </c>
      <c r="G73">
        <v>59</v>
      </c>
      <c r="H73" s="31">
        <f ca="1">1/99*($H$8-$H$7)+H72</f>
        <v>179.55576439702236</v>
      </c>
      <c r="I73" s="32">
        <f ca="1">_xll.PDENSITY($H$73,SimData_yield_beta_2025!$B$9:$B$508,$H$9,$H$10,0)</f>
        <v>2.6217781027331299E-2</v>
      </c>
    </row>
    <row r="74" spans="1:9" x14ac:dyDescent="0.25">
      <c r="A74">
        <v>66</v>
      </c>
      <c r="B74">
        <v>173.91310528448369</v>
      </c>
      <c r="G74">
        <v>60</v>
      </c>
      <c r="H74" s="31">
        <f ca="1">1/99*($H$8-$H$7)+H73</f>
        <v>180.17966704412902</v>
      </c>
      <c r="I74" s="32">
        <f ca="1">_xll.PDENSITY($H$74,SimData_yield_beta_2025!$B$9:$B$508,$H$9,$H$10,0)</f>
        <v>2.7181853270207113E-2</v>
      </c>
    </row>
    <row r="75" spans="1:9" x14ac:dyDescent="0.25">
      <c r="A75">
        <v>67</v>
      </c>
      <c r="B75">
        <v>188.68994915109573</v>
      </c>
      <c r="G75">
        <v>61</v>
      </c>
      <c r="H75" s="31">
        <f ca="1">1/99*($H$8-$H$7)+H74</f>
        <v>180.80356969123568</v>
      </c>
      <c r="I75" s="32">
        <f ca="1">_xll.PDENSITY($H$75,SimData_yield_beta_2025!$B$9:$B$508,$H$9,$H$10,0)</f>
        <v>2.8181559511660979E-2</v>
      </c>
    </row>
    <row r="76" spans="1:9" x14ac:dyDescent="0.25">
      <c r="A76">
        <v>68</v>
      </c>
      <c r="B76">
        <v>183.91987470565806</v>
      </c>
      <c r="G76">
        <v>62</v>
      </c>
      <c r="H76" s="31">
        <f ca="1">1/99*($H$8-$H$7)+H75</f>
        <v>181.42747233834234</v>
      </c>
      <c r="I76" s="32">
        <f ca="1">_xll.PDENSITY($H$76,SimData_yield_beta_2025!$B$9:$B$508,$H$9,$H$10,0)</f>
        <v>2.9220535295944275E-2</v>
      </c>
    </row>
    <row r="77" spans="1:9" x14ac:dyDescent="0.25">
      <c r="A77">
        <v>69</v>
      </c>
      <c r="B77">
        <v>168.70738023953254</v>
      </c>
      <c r="G77">
        <v>63</v>
      </c>
      <c r="H77" s="31">
        <f ca="1">1/99*($H$8-$H$7)+H76</f>
        <v>182.051374985449</v>
      </c>
      <c r="I77" s="32">
        <f ca="1">_xll.PDENSITY($H$77,SimData_yield_beta_2025!$B$9:$B$508,$H$9,$H$10,0)</f>
        <v>3.0303389893101433E-2</v>
      </c>
    </row>
    <row r="78" spans="1:9" x14ac:dyDescent="0.25">
      <c r="A78">
        <v>70</v>
      </c>
      <c r="B78">
        <v>174.37063058523449</v>
      </c>
      <c r="G78">
        <v>64</v>
      </c>
      <c r="H78" s="31">
        <f ca="1">1/99*($H$8-$H$7)+H77</f>
        <v>182.67527763255566</v>
      </c>
      <c r="I78" s="32">
        <f ca="1">_xll.PDENSITY($H$78,SimData_yield_beta_2025!$B$9:$B$508,$H$9,$H$10,0)</f>
        <v>3.1435774175933448E-2</v>
      </c>
    </row>
    <row r="79" spans="1:9" x14ac:dyDescent="0.25">
      <c r="A79">
        <v>71</v>
      </c>
      <c r="B79">
        <v>192.29029883296946</v>
      </c>
      <c r="G79">
        <v>65</v>
      </c>
      <c r="H79" s="31">
        <f ca="1">1/99*($H$8-$H$7)+H78</f>
        <v>183.29918027966232</v>
      </c>
      <c r="I79" s="32">
        <f ca="1">_xll.PDENSITY($H$79,SimData_yield_beta_2025!$B$9:$B$508,$H$9,$H$10,0)</f>
        <v>3.2624325509180992E-2</v>
      </c>
    </row>
    <row r="80" spans="1:9" x14ac:dyDescent="0.25">
      <c r="A80">
        <v>72</v>
      </c>
      <c r="B80">
        <v>193.6758407223677</v>
      </c>
      <c r="G80">
        <v>66</v>
      </c>
      <c r="H80" s="31">
        <f ca="1">1/99*($H$8-$H$7)+H79</f>
        <v>183.92308292676898</v>
      </c>
      <c r="I80" s="32">
        <f ca="1">_xll.PDENSITY($H$80,SimData_yield_beta_2025!$B$9:$B$508,$H$9,$H$10,0)</f>
        <v>3.3876380593255068E-2</v>
      </c>
    </row>
    <row r="81" spans="1:9" x14ac:dyDescent="0.25">
      <c r="A81">
        <v>73</v>
      </c>
      <c r="B81">
        <v>187.16424831799173</v>
      </c>
      <c r="G81">
        <v>67</v>
      </c>
      <c r="H81" s="31">
        <f ca="1">1/99*($H$8-$H$7)+H80</f>
        <v>184.54698557387565</v>
      </c>
      <c r="I81" s="32">
        <f ca="1">_xll.PDENSITY($H$81,SimData_yield_beta_2025!$B$9:$B$508,$H$9,$H$10,0)</f>
        <v>3.5199275225840848E-2</v>
      </c>
    </row>
    <row r="82" spans="1:9" x14ac:dyDescent="0.25">
      <c r="A82">
        <v>74</v>
      </c>
      <c r="B82">
        <v>185.30013206300202</v>
      </c>
      <c r="G82">
        <v>68</v>
      </c>
      <c r="H82" s="31">
        <f ca="1">1/99*($H$8-$H$7)+H81</f>
        <v>185.17088822098231</v>
      </c>
      <c r="I82" s="32">
        <f ca="1">_xll.PDENSITY($H$82,SimData_yield_beta_2025!$B$9:$B$508,$H$9,$H$10,0)</f>
        <v>3.6598975249021455E-2</v>
      </c>
    </row>
    <row r="83" spans="1:9" x14ac:dyDescent="0.25">
      <c r="A83">
        <v>75</v>
      </c>
      <c r="B83">
        <v>193.07809156063038</v>
      </c>
      <c r="G83">
        <v>69</v>
      </c>
      <c r="H83" s="31">
        <f ca="1">1/99*($H$8-$H$7)+H82</f>
        <v>185.79479086808897</v>
      </c>
      <c r="I83" s="32">
        <f ca="1">_xll.PDENSITY($H$83,SimData_yield_beta_2025!$B$9:$B$508,$H$9,$H$10,0)</f>
        <v>3.8077742466913825E-2</v>
      </c>
    </row>
    <row r="84" spans="1:9" x14ac:dyDescent="0.25">
      <c r="A84">
        <v>76</v>
      </c>
      <c r="B84">
        <v>166.37556486508205</v>
      </c>
      <c r="G84">
        <v>70</v>
      </c>
      <c r="H84" s="31">
        <f ca="1">1/99*($H$8-$H$7)+H83</f>
        <v>186.41869351519563</v>
      </c>
      <c r="I84" s="32">
        <f ca="1">_xll.PDENSITY($H$84,SimData_yield_beta_2025!$B$9:$B$508,$H$9,$H$10,0)</f>
        <v>3.9630587478824184E-2</v>
      </c>
    </row>
    <row r="85" spans="1:9" x14ac:dyDescent="0.25">
      <c r="A85">
        <v>77</v>
      </c>
      <c r="B85">
        <v>194.36938574279557</v>
      </c>
      <c r="G85">
        <v>71</v>
      </c>
      <c r="H85" s="31">
        <f ca="1">1/99*($H$8-$H$7)+H84</f>
        <v>187.04259616230229</v>
      </c>
      <c r="I85" s="32">
        <f ca="1">_xll.PDENSITY($H$85,SimData_yield_beta_2025!$B$9:$B$508,$H$9,$H$10,0)</f>
        <v>4.1240458148299783E-2</v>
      </c>
    </row>
    <row r="86" spans="1:9" x14ac:dyDescent="0.25">
      <c r="A86">
        <v>78</v>
      </c>
      <c r="B86">
        <v>183.31455607687559</v>
      </c>
      <c r="G86">
        <v>72</v>
      </c>
      <c r="H86" s="31">
        <f ca="1">1/99*($H$8-$H$7)+H85</f>
        <v>187.66649880940895</v>
      </c>
      <c r="I86" s="32">
        <f ca="1">_xll.PDENSITY($H$86,SimData_yield_beta_2025!$B$9:$B$508,$H$9,$H$10,0)</f>
        <v>4.2872497701650053E-2</v>
      </c>
    </row>
    <row r="87" spans="1:9" x14ac:dyDescent="0.25">
      <c r="A87">
        <v>79</v>
      </c>
      <c r="B87">
        <v>189.10867026004567</v>
      </c>
      <c r="G87">
        <v>73</v>
      </c>
      <c r="H87" s="31">
        <f ca="1">1/99*($H$8-$H$7)+H86</f>
        <v>188.29040145651561</v>
      </c>
      <c r="I87" s="32">
        <f ca="1">_xll.PDENSITY($H$87,SimData_yield_beta_2025!$B$9:$B$508,$H$9,$H$10,0)</f>
        <v>4.4468263084991654E-2</v>
      </c>
    </row>
    <row r="88" spans="1:9" x14ac:dyDescent="0.25">
      <c r="A88">
        <v>80</v>
      </c>
      <c r="B88">
        <v>162.16454976661939</v>
      </c>
      <c r="G88">
        <v>74</v>
      </c>
      <c r="H88" s="31">
        <f ca="1">1/99*($H$8-$H$7)+H87</f>
        <v>188.91430410362227</v>
      </c>
      <c r="I88" s="32">
        <f ca="1">_xll.PDENSITY($H$88,SimData_yield_beta_2025!$B$9:$B$508,$H$9,$H$10,0)</f>
        <v>4.5941412363251694E-2</v>
      </c>
    </row>
    <row r="89" spans="1:9" x14ac:dyDescent="0.25">
      <c r="A89">
        <v>81</v>
      </c>
      <c r="B89">
        <v>194.32229049365156</v>
      </c>
      <c r="G89">
        <v>75</v>
      </c>
      <c r="H89" s="31">
        <f ca="1">1/99*($H$8-$H$7)+H88</f>
        <v>189.53820675072893</v>
      </c>
      <c r="I89" s="32">
        <f ca="1">_xll.PDENSITY($H$89,SimData_yield_beta_2025!$B$9:$B$508,$H$9,$H$10,0)</f>
        <v>4.7176835566911199E-2</v>
      </c>
    </row>
    <row r="90" spans="1:9" x14ac:dyDescent="0.25">
      <c r="A90">
        <v>82</v>
      </c>
      <c r="B90">
        <v>178.53757357093184</v>
      </c>
      <c r="G90">
        <v>76</v>
      </c>
      <c r="H90" s="31">
        <f ca="1">1/99*($H$8-$H$7)+H89</f>
        <v>190.16210939783559</v>
      </c>
      <c r="I90" s="32">
        <f ca="1">_xll.PDENSITY($H$90,SimData_yield_beta_2025!$B$9:$B$508,$H$9,$H$10,0)</f>
        <v>4.8035236169878245E-2</v>
      </c>
    </row>
    <row r="91" spans="1:9" x14ac:dyDescent="0.25">
      <c r="A91">
        <v>83</v>
      </c>
      <c r="B91">
        <v>191.91350956703647</v>
      </c>
      <c r="G91">
        <v>77</v>
      </c>
      <c r="H91" s="31">
        <f ca="1">1/99*($H$8-$H$7)+H90</f>
        <v>190.78601204494225</v>
      </c>
      <c r="I91" s="32">
        <f ca="1">_xll.PDENSITY($H$91,SimData_yield_beta_2025!$B$9:$B$508,$H$9,$H$10,0)</f>
        <v>4.8364522153927579E-2</v>
      </c>
    </row>
    <row r="92" spans="1:9" x14ac:dyDescent="0.25">
      <c r="A92">
        <v>84</v>
      </c>
      <c r="B92">
        <v>184.27221731879743</v>
      </c>
      <c r="G92">
        <v>78</v>
      </c>
      <c r="H92" s="31">
        <f ca="1">1/99*($H$8-$H$7)+H91</f>
        <v>191.40991469204891</v>
      </c>
      <c r="I92" s="32">
        <f ca="1">_xll.PDENSITY($H$92,SimData_yield_beta_2025!$B$9:$B$508,$H$9,$H$10,0)</f>
        <v>4.8017958440313514E-2</v>
      </c>
    </row>
    <row r="93" spans="1:9" x14ac:dyDescent="0.25">
      <c r="A93">
        <v>85</v>
      </c>
      <c r="B93">
        <v>185.67323956492692</v>
      </c>
      <c r="G93">
        <v>79</v>
      </c>
      <c r="H93" s="31">
        <f ca="1">1/99*($H$8-$H$7)+H92</f>
        <v>192.03381733915558</v>
      </c>
      <c r="I93" s="32">
        <f ca="1">_xll.PDENSITY($H$93,SimData_yield_beta_2025!$B$9:$B$508,$H$9,$H$10,0)</f>
        <v>4.6877078360902547E-2</v>
      </c>
    </row>
    <row r="94" spans="1:9" x14ac:dyDescent="0.25">
      <c r="A94">
        <v>86</v>
      </c>
      <c r="B94">
        <v>186.19440045292936</v>
      </c>
      <c r="G94">
        <v>80</v>
      </c>
      <c r="H94" s="31">
        <f ca="1">1/99*($H$8-$H$7)+H93</f>
        <v>192.65771998626224</v>
      </c>
      <c r="I94" s="32">
        <f ca="1">_xll.PDENSITY($H$94,SimData_yield_beta_2025!$B$9:$B$508,$H$9,$H$10,0)</f>
        <v>4.4875377458022628E-2</v>
      </c>
    </row>
    <row r="95" spans="1:9" x14ac:dyDescent="0.25">
      <c r="A95">
        <v>87</v>
      </c>
      <c r="B95">
        <v>186.63374935844655</v>
      </c>
      <c r="G95">
        <v>81</v>
      </c>
      <c r="H95" s="31">
        <f ca="1">1/99*($H$8-$H$7)+H94</f>
        <v>193.2816226333689</v>
      </c>
      <c r="I95" s="32">
        <f ca="1">_xll.PDENSITY($H$95,SimData_yield_beta_2025!$B$9:$B$508,$H$9,$H$10,0)</f>
        <v>4.2017534830645437E-2</v>
      </c>
    </row>
    <row r="96" spans="1:9" x14ac:dyDescent="0.25">
      <c r="A96">
        <v>88</v>
      </c>
      <c r="B96">
        <v>180.92651167963876</v>
      </c>
      <c r="G96">
        <v>82</v>
      </c>
      <c r="H96" s="31">
        <f ca="1">1/99*($H$8-$H$7)+H95</f>
        <v>193.90552528047556</v>
      </c>
      <c r="I96" s="32">
        <f ca="1">_xll.PDENSITY($H$96,SimData_yield_beta_2025!$B$9:$B$508,$H$9,$H$10,0)</f>
        <v>3.8388970103670365E-2</v>
      </c>
    </row>
    <row r="97" spans="1:9" x14ac:dyDescent="0.25">
      <c r="A97">
        <v>89</v>
      </c>
      <c r="B97">
        <v>180.1052802652959</v>
      </c>
      <c r="G97">
        <v>83</v>
      </c>
      <c r="H97" s="31">
        <f ca="1">1/99*($H$8-$H$7)+H96</f>
        <v>194.52942792758222</v>
      </c>
      <c r="I97" s="32">
        <f ca="1">_xll.PDENSITY($H$97,SimData_yield_beta_2025!$B$9:$B$508,$H$9,$H$10,0)</f>
        <v>3.4152217201783713E-2</v>
      </c>
    </row>
    <row r="98" spans="1:9" x14ac:dyDescent="0.25">
      <c r="A98">
        <v>90</v>
      </c>
      <c r="B98">
        <v>177.13588638802273</v>
      </c>
      <c r="G98">
        <v>84</v>
      </c>
      <c r="H98" s="31">
        <f ca="1">1/99*($H$8-$H$7)+H97</f>
        <v>195.15333057468888</v>
      </c>
      <c r="I98" s="32">
        <f ca="1">_xll.PDENSITY($H$98,SimData_yield_beta_2025!$B$9:$B$508,$H$9,$H$10,0)</f>
        <v>2.9529575687883558E-2</v>
      </c>
    </row>
    <row r="99" spans="1:9" x14ac:dyDescent="0.25">
      <c r="A99">
        <v>91</v>
      </c>
      <c r="B99">
        <v>194.11834300293629</v>
      </c>
      <c r="G99">
        <v>85</v>
      </c>
      <c r="H99" s="31">
        <f ca="1">1/99*($H$8-$H$7)+H98</f>
        <v>195.77723322179554</v>
      </c>
      <c r="I99" s="32">
        <f ca="1">_xll.PDENSITY($H$99,SimData_yield_beta_2025!$B$9:$B$508,$H$9,$H$10,0)</f>
        <v>2.4774941147087629E-2</v>
      </c>
    </row>
    <row r="100" spans="1:9" x14ac:dyDescent="0.25">
      <c r="A100">
        <v>92</v>
      </c>
      <c r="B100">
        <v>192.34160955244653</v>
      </c>
      <c r="G100">
        <v>86</v>
      </c>
      <c r="H100" s="31">
        <f ca="1">1/99*($H$8-$H$7)+H99</f>
        <v>196.4011358689022</v>
      </c>
      <c r="I100" s="32">
        <f ca="1">_xll.PDENSITY($H$100,SimData_yield_beta_2025!$B$9:$B$508,$H$9,$H$10,0)</f>
        <v>2.0140514851747976E-2</v>
      </c>
    </row>
    <row r="101" spans="1:9" x14ac:dyDescent="0.25">
      <c r="A101">
        <v>93</v>
      </c>
      <c r="B101">
        <v>166.31162991628977</v>
      </c>
      <c r="G101">
        <v>87</v>
      </c>
      <c r="H101" s="31">
        <f ca="1">1/99*($H$8-$H$7)+H100</f>
        <v>197.02503851600886</v>
      </c>
      <c r="I101" s="32">
        <f ca="1">_xll.PDENSITY($H$101,SimData_yield_beta_2025!$B$9:$B$508,$H$9,$H$10,0)</f>
        <v>1.5845316936560491E-2</v>
      </c>
    </row>
    <row r="102" spans="1:9" x14ac:dyDescent="0.25">
      <c r="A102">
        <v>94</v>
      </c>
      <c r="B102">
        <v>192.11280891453353</v>
      </c>
      <c r="G102">
        <v>88</v>
      </c>
      <c r="H102" s="31">
        <f ca="1">1/99*($H$8-$H$7)+H101</f>
        <v>197.64894116311552</v>
      </c>
      <c r="I102" s="32">
        <f ca="1">_xll.PDENSITY($H$102,SimData_yield_beta_2025!$B$9:$B$508,$H$9,$H$10,0)</f>
        <v>1.2051692376714126E-2</v>
      </c>
    </row>
    <row r="103" spans="1:9" x14ac:dyDescent="0.25">
      <c r="A103">
        <v>95</v>
      </c>
      <c r="B103">
        <v>188.33413474473929</v>
      </c>
      <c r="G103">
        <v>89</v>
      </c>
      <c r="H103" s="31">
        <f ca="1">1/99*($H$8-$H$7)+H102</f>
        <v>198.27284381022218</v>
      </c>
      <c r="I103" s="32">
        <f ca="1">_xll.PDENSITY($H$103,SimData_yield_beta_2025!$B$9:$B$508,$H$9,$H$10,0)</f>
        <v>8.8536182123492915E-3</v>
      </c>
    </row>
    <row r="104" spans="1:9" x14ac:dyDescent="0.25">
      <c r="A104">
        <v>96</v>
      </c>
      <c r="B104">
        <v>174.98712785321081</v>
      </c>
      <c r="G104">
        <v>90</v>
      </c>
      <c r="H104" s="31">
        <f ca="1">1/99*($H$8-$H$7)+H103</f>
        <v>198.89674645732885</v>
      </c>
      <c r="I104" s="32">
        <f ca="1">_xll.PDENSITY($H$104,SimData_yield_beta_2025!$B$9:$B$508,$H$9,$H$10,0)</f>
        <v>6.2774547430909542E-3</v>
      </c>
    </row>
    <row r="105" spans="1:9" x14ac:dyDescent="0.25">
      <c r="A105">
        <v>97</v>
      </c>
      <c r="B105">
        <v>175.27574511184213</v>
      </c>
      <c r="G105">
        <v>91</v>
      </c>
      <c r="H105" s="31">
        <f ca="1">1/99*($H$8-$H$7)+H104</f>
        <v>199.52064910443551</v>
      </c>
      <c r="I105" s="32">
        <f ca="1">_xll.PDENSITY($H$105,SimData_yield_beta_2025!$B$9:$B$508,$H$9,$H$10,0)</f>
        <v>4.2928748184801651E-3</v>
      </c>
    </row>
    <row r="106" spans="1:9" x14ac:dyDescent="0.25">
      <c r="A106">
        <v>98</v>
      </c>
      <c r="B106">
        <v>190.59335726324065</v>
      </c>
      <c r="G106">
        <v>92</v>
      </c>
      <c r="H106" s="31">
        <f ca="1">1/99*($H$8-$H$7)+H105</f>
        <v>200.14455175154217</v>
      </c>
      <c r="I106" s="32">
        <f ca="1">_xll.PDENSITY($H$106,SimData_yield_beta_2025!$B$9:$B$508,$H$9,$H$10,0)</f>
        <v>2.8298718301898846E-3</v>
      </c>
    </row>
    <row r="107" spans="1:9" x14ac:dyDescent="0.25">
      <c r="A107">
        <v>99</v>
      </c>
      <c r="B107">
        <v>157.61542883750394</v>
      </c>
      <c r="G107">
        <v>93</v>
      </c>
      <c r="H107" s="31">
        <f ca="1">1/99*($H$8-$H$7)+H106</f>
        <v>200.76845439864883</v>
      </c>
      <c r="I107" s="32">
        <f ca="1">_xll.PDENSITY($H$107,SimData_yield_beta_2025!$B$9:$B$508,$H$9,$H$10,0)</f>
        <v>1.7973202304554633E-3</v>
      </c>
    </row>
    <row r="108" spans="1:9" x14ac:dyDescent="0.25">
      <c r="A108">
        <v>100</v>
      </c>
      <c r="B108">
        <v>171.75596043958882</v>
      </c>
      <c r="G108">
        <v>94</v>
      </c>
      <c r="H108" s="31">
        <f ca="1">1/99*($H$8-$H$7)+H107</f>
        <v>201.39235704575549</v>
      </c>
      <c r="I108" s="32">
        <f ca="1">_xll.PDENSITY($H$108,SimData_yield_beta_2025!$B$9:$B$508,$H$9,$H$10,0)</f>
        <v>1.0993589803090776E-3</v>
      </c>
    </row>
    <row r="109" spans="1:9" x14ac:dyDescent="0.25">
      <c r="A109">
        <v>101</v>
      </c>
      <c r="B109">
        <v>164.42861907527345</v>
      </c>
      <c r="G109">
        <v>95</v>
      </c>
      <c r="H109" s="31">
        <f ca="1">1/99*($H$8-$H$7)+H108</f>
        <v>202.01625969286215</v>
      </c>
      <c r="I109" s="32">
        <f ca="1">_xll.PDENSITY($H$109,SimData_yield_beta_2025!$B$9:$B$508,$H$9,$H$10,0)</f>
        <v>6.4736428438953047E-4</v>
      </c>
    </row>
    <row r="110" spans="1:9" x14ac:dyDescent="0.25">
      <c r="A110">
        <v>102</v>
      </c>
      <c r="B110">
        <v>173.15503568121991</v>
      </c>
      <c r="G110">
        <v>96</v>
      </c>
      <c r="H110" s="31">
        <f ca="1">1/99*($H$8-$H$7)+H109</f>
        <v>202.64016233996881</v>
      </c>
      <c r="I110" s="32">
        <f ca="1">_xll.PDENSITY($H$110,SimData_yield_beta_2025!$B$9:$B$508,$H$9,$H$10,0)</f>
        <v>3.668712686135053E-4</v>
      </c>
    </row>
    <row r="111" spans="1:9" x14ac:dyDescent="0.25">
      <c r="A111">
        <v>103</v>
      </c>
      <c r="B111">
        <v>193.95870487886663</v>
      </c>
      <c r="G111">
        <v>97</v>
      </c>
      <c r="H111" s="31">
        <f ca="1">1/99*($H$8-$H$7)+H110</f>
        <v>203.26406498707547</v>
      </c>
      <c r="I111" s="32">
        <f ca="1">_xll.PDENSITY($H$111,SimData_yield_beta_2025!$B$9:$B$508,$H$9,$H$10,0)</f>
        <v>2.0003812256839013E-4</v>
      </c>
    </row>
    <row r="112" spans="1:9" x14ac:dyDescent="0.25">
      <c r="A112">
        <v>104</v>
      </c>
      <c r="B112">
        <v>187.01143144730321</v>
      </c>
      <c r="G112">
        <v>98</v>
      </c>
      <c r="H112" s="31">
        <f ca="1">1/99*($H$8-$H$7)+H111</f>
        <v>203.88796763418213</v>
      </c>
      <c r="I112" s="32">
        <f ca="1">_xll.PDENSITY($H$112,SimData_yield_beta_2025!$B$9:$B$508,$H$9,$H$10,0)</f>
        <v>1.0491543600167076E-4</v>
      </c>
    </row>
    <row r="113" spans="1:9" x14ac:dyDescent="0.25">
      <c r="A113">
        <v>105</v>
      </c>
      <c r="B113">
        <v>194.20350598302554</v>
      </c>
      <c r="G113">
        <v>99</v>
      </c>
      <c r="H113" s="31">
        <f ca="1">1/99*($H$8-$H$7)+H112</f>
        <v>204.51187028128879</v>
      </c>
      <c r="I113" s="32">
        <f ca="1">_xll.PDENSITY($H$113,SimData_yield_beta_2025!$B$9:$B$508,$H$9,$H$10,0)</f>
        <v>5.2917573037596705E-5</v>
      </c>
    </row>
    <row r="114" spans="1:9" x14ac:dyDescent="0.25">
      <c r="A114">
        <v>106</v>
      </c>
      <c r="B114">
        <v>192.22783241913859</v>
      </c>
      <c r="G114">
        <v>100</v>
      </c>
      <c r="H114" s="31">
        <f ca="1">1/99*($H$8-$H$7)+H113</f>
        <v>205.13577292839545</v>
      </c>
      <c r="I114" s="32">
        <f ca="1">_xll.PDENSITY($H$114,SimData_yield_beta_2025!$B$9:$B$508,$H$9,$H$10,0)</f>
        <v>2.5663256885846702E-5</v>
      </c>
    </row>
    <row r="115" spans="1:9" x14ac:dyDescent="0.25">
      <c r="A115">
        <v>107</v>
      </c>
      <c r="B115">
        <v>189.55383676330035</v>
      </c>
    </row>
    <row r="116" spans="1:9" x14ac:dyDescent="0.25">
      <c r="A116">
        <v>108</v>
      </c>
      <c r="B116">
        <v>181.71633783043157</v>
      </c>
    </row>
    <row r="117" spans="1:9" x14ac:dyDescent="0.25">
      <c r="A117">
        <v>109</v>
      </c>
      <c r="B117">
        <v>181.47231303711345</v>
      </c>
    </row>
    <row r="118" spans="1:9" x14ac:dyDescent="0.25">
      <c r="A118">
        <v>110</v>
      </c>
      <c r="B118">
        <v>164.65263307818196</v>
      </c>
    </row>
    <row r="119" spans="1:9" x14ac:dyDescent="0.25">
      <c r="A119">
        <v>111</v>
      </c>
      <c r="B119">
        <v>184.13595283023193</v>
      </c>
    </row>
    <row r="120" spans="1:9" x14ac:dyDescent="0.25">
      <c r="A120">
        <v>112</v>
      </c>
      <c r="B120">
        <v>193.88444450085782</v>
      </c>
    </row>
    <row r="121" spans="1:9" x14ac:dyDescent="0.25">
      <c r="A121">
        <v>113</v>
      </c>
      <c r="B121">
        <v>184.83516672128107</v>
      </c>
    </row>
    <row r="122" spans="1:9" x14ac:dyDescent="0.25">
      <c r="A122">
        <v>114</v>
      </c>
      <c r="B122">
        <v>175.625965965848</v>
      </c>
    </row>
    <row r="123" spans="1:9" x14ac:dyDescent="0.25">
      <c r="A123">
        <v>115</v>
      </c>
      <c r="B123">
        <v>151.97649975165473</v>
      </c>
    </row>
    <row r="124" spans="1:9" x14ac:dyDescent="0.25">
      <c r="A124">
        <v>116</v>
      </c>
      <c r="B124">
        <v>194.25642226059358</v>
      </c>
    </row>
    <row r="125" spans="1:9" x14ac:dyDescent="0.25">
      <c r="A125">
        <v>117</v>
      </c>
      <c r="B125">
        <v>193.36046279443912</v>
      </c>
    </row>
    <row r="126" spans="1:9" x14ac:dyDescent="0.25">
      <c r="A126">
        <v>118</v>
      </c>
      <c r="B126">
        <v>168.45589948213822</v>
      </c>
    </row>
    <row r="127" spans="1:9" x14ac:dyDescent="0.25">
      <c r="A127">
        <v>119</v>
      </c>
      <c r="B127">
        <v>169.83785041454121</v>
      </c>
    </row>
    <row r="128" spans="1:9" x14ac:dyDescent="0.25">
      <c r="A128">
        <v>120</v>
      </c>
      <c r="B128">
        <v>189.74187879297199</v>
      </c>
    </row>
    <row r="129" spans="1:2" x14ac:dyDescent="0.25">
      <c r="A129">
        <v>121</v>
      </c>
      <c r="B129">
        <v>193.27044548520939</v>
      </c>
    </row>
    <row r="130" spans="1:2" x14ac:dyDescent="0.25">
      <c r="A130">
        <v>122</v>
      </c>
      <c r="B130">
        <v>187.03277256497512</v>
      </c>
    </row>
    <row r="131" spans="1:2" x14ac:dyDescent="0.25">
      <c r="A131">
        <v>123</v>
      </c>
      <c r="B131">
        <v>188.5570688567681</v>
      </c>
    </row>
    <row r="132" spans="1:2" x14ac:dyDescent="0.25">
      <c r="A132">
        <v>124</v>
      </c>
      <c r="B132">
        <v>188.86849076090846</v>
      </c>
    </row>
    <row r="133" spans="1:2" x14ac:dyDescent="0.25">
      <c r="A133">
        <v>125</v>
      </c>
      <c r="B133">
        <v>191.27593029032687</v>
      </c>
    </row>
    <row r="134" spans="1:2" x14ac:dyDescent="0.25">
      <c r="A134">
        <v>126</v>
      </c>
      <c r="B134">
        <v>194.18993796575785</v>
      </c>
    </row>
    <row r="135" spans="1:2" x14ac:dyDescent="0.25">
      <c r="A135">
        <v>127</v>
      </c>
      <c r="B135">
        <v>192.06940724583478</v>
      </c>
    </row>
    <row r="136" spans="1:2" x14ac:dyDescent="0.25">
      <c r="A136">
        <v>128</v>
      </c>
      <c r="B136">
        <v>188.10779402933088</v>
      </c>
    </row>
    <row r="137" spans="1:2" x14ac:dyDescent="0.25">
      <c r="A137">
        <v>129</v>
      </c>
      <c r="B137">
        <v>169.93748802333829</v>
      </c>
    </row>
    <row r="138" spans="1:2" x14ac:dyDescent="0.25">
      <c r="A138">
        <v>130</v>
      </c>
      <c r="B138">
        <v>169.47014706801221</v>
      </c>
    </row>
    <row r="139" spans="1:2" x14ac:dyDescent="0.25">
      <c r="A139">
        <v>131</v>
      </c>
      <c r="B139">
        <v>185.22349983453714</v>
      </c>
    </row>
    <row r="140" spans="1:2" x14ac:dyDescent="0.25">
      <c r="A140">
        <v>132</v>
      </c>
      <c r="B140">
        <v>193.75765716647709</v>
      </c>
    </row>
    <row r="141" spans="1:2" x14ac:dyDescent="0.25">
      <c r="A141">
        <v>133</v>
      </c>
      <c r="B141">
        <v>183.63209152066025</v>
      </c>
    </row>
    <row r="142" spans="1:2" x14ac:dyDescent="0.25">
      <c r="A142">
        <v>134</v>
      </c>
      <c r="B142">
        <v>174.9129592656918</v>
      </c>
    </row>
    <row r="143" spans="1:2" x14ac:dyDescent="0.25">
      <c r="A143">
        <v>135</v>
      </c>
      <c r="B143">
        <v>187.32219197822081</v>
      </c>
    </row>
    <row r="144" spans="1:2" x14ac:dyDescent="0.25">
      <c r="A144">
        <v>136</v>
      </c>
      <c r="B144">
        <v>173.37652920139206</v>
      </c>
    </row>
    <row r="145" spans="1:2" x14ac:dyDescent="0.25">
      <c r="A145">
        <v>137</v>
      </c>
      <c r="B145">
        <v>187.12469122830299</v>
      </c>
    </row>
    <row r="146" spans="1:2" x14ac:dyDescent="0.25">
      <c r="A146">
        <v>138</v>
      </c>
      <c r="B146">
        <v>185.76890498714974</v>
      </c>
    </row>
    <row r="147" spans="1:2" x14ac:dyDescent="0.25">
      <c r="A147">
        <v>139</v>
      </c>
      <c r="B147">
        <v>189.7309447360322</v>
      </c>
    </row>
    <row r="148" spans="1:2" x14ac:dyDescent="0.25">
      <c r="A148">
        <v>140</v>
      </c>
      <c r="B148">
        <v>194.14006390779494</v>
      </c>
    </row>
    <row r="149" spans="1:2" x14ac:dyDescent="0.25">
      <c r="A149">
        <v>141</v>
      </c>
      <c r="B149">
        <v>182.50410369216459</v>
      </c>
    </row>
    <row r="150" spans="1:2" x14ac:dyDescent="0.25">
      <c r="A150">
        <v>142</v>
      </c>
      <c r="B150">
        <v>188.92164089765109</v>
      </c>
    </row>
    <row r="151" spans="1:2" x14ac:dyDescent="0.25">
      <c r="A151">
        <v>143</v>
      </c>
      <c r="B151">
        <v>181.82412746989854</v>
      </c>
    </row>
    <row r="152" spans="1:2" x14ac:dyDescent="0.25">
      <c r="A152">
        <v>144</v>
      </c>
      <c r="B152">
        <v>194.39225575494726</v>
      </c>
    </row>
    <row r="153" spans="1:2" x14ac:dyDescent="0.25">
      <c r="A153">
        <v>145</v>
      </c>
      <c r="B153">
        <v>177.68949324283486</v>
      </c>
    </row>
    <row r="154" spans="1:2" x14ac:dyDescent="0.25">
      <c r="A154">
        <v>146</v>
      </c>
      <c r="B154">
        <v>185.58034268104572</v>
      </c>
    </row>
    <row r="155" spans="1:2" x14ac:dyDescent="0.25">
      <c r="A155">
        <v>147</v>
      </c>
      <c r="B155">
        <v>192.14867738745571</v>
      </c>
    </row>
    <row r="156" spans="1:2" x14ac:dyDescent="0.25">
      <c r="A156">
        <v>148</v>
      </c>
      <c r="B156">
        <v>186.25718686088823</v>
      </c>
    </row>
    <row r="157" spans="1:2" x14ac:dyDescent="0.25">
      <c r="A157">
        <v>149</v>
      </c>
      <c r="B157">
        <v>176.02498182247274</v>
      </c>
    </row>
    <row r="158" spans="1:2" x14ac:dyDescent="0.25">
      <c r="A158">
        <v>150</v>
      </c>
      <c r="B158">
        <v>166.90452528811829</v>
      </c>
    </row>
    <row r="159" spans="1:2" x14ac:dyDescent="0.25">
      <c r="A159">
        <v>151</v>
      </c>
      <c r="B159">
        <v>183.42540061037718</v>
      </c>
    </row>
    <row r="160" spans="1:2" x14ac:dyDescent="0.25">
      <c r="A160">
        <v>152</v>
      </c>
      <c r="B160">
        <v>159.65468911578378</v>
      </c>
    </row>
    <row r="161" spans="1:2" x14ac:dyDescent="0.25">
      <c r="A161">
        <v>153</v>
      </c>
      <c r="B161">
        <v>163.73917522934451</v>
      </c>
    </row>
    <row r="162" spans="1:2" x14ac:dyDescent="0.25">
      <c r="A162">
        <v>154</v>
      </c>
      <c r="B162">
        <v>173.01413563946136</v>
      </c>
    </row>
    <row r="163" spans="1:2" x14ac:dyDescent="0.25">
      <c r="A163">
        <v>155</v>
      </c>
      <c r="B163">
        <v>193.986158508686</v>
      </c>
    </row>
    <row r="164" spans="1:2" x14ac:dyDescent="0.25">
      <c r="A164">
        <v>156</v>
      </c>
      <c r="B164">
        <v>184.55080883934164</v>
      </c>
    </row>
    <row r="165" spans="1:2" x14ac:dyDescent="0.25">
      <c r="A165">
        <v>157</v>
      </c>
      <c r="B165">
        <v>189.49563247740741</v>
      </c>
    </row>
    <row r="166" spans="1:2" x14ac:dyDescent="0.25">
      <c r="A166">
        <v>158</v>
      </c>
      <c r="B166">
        <v>186.26124191055126</v>
      </c>
    </row>
    <row r="167" spans="1:2" x14ac:dyDescent="0.25">
      <c r="A167">
        <v>159</v>
      </c>
      <c r="B167">
        <v>192.85379692070885</v>
      </c>
    </row>
    <row r="168" spans="1:2" x14ac:dyDescent="0.25">
      <c r="A168">
        <v>160</v>
      </c>
      <c r="B168">
        <v>190.0918140461352</v>
      </c>
    </row>
    <row r="169" spans="1:2" x14ac:dyDescent="0.25">
      <c r="A169">
        <v>161</v>
      </c>
      <c r="B169">
        <v>185.22856352664871</v>
      </c>
    </row>
    <row r="170" spans="1:2" x14ac:dyDescent="0.25">
      <c r="A170">
        <v>162</v>
      </c>
      <c r="B170">
        <v>190.16372558218012</v>
      </c>
    </row>
    <row r="171" spans="1:2" x14ac:dyDescent="0.25">
      <c r="A171">
        <v>163</v>
      </c>
      <c r="B171">
        <v>190.77292545731117</v>
      </c>
    </row>
    <row r="172" spans="1:2" x14ac:dyDescent="0.25">
      <c r="A172">
        <v>164</v>
      </c>
      <c r="B172">
        <v>194.42633118374169</v>
      </c>
    </row>
    <row r="173" spans="1:2" x14ac:dyDescent="0.25">
      <c r="A173">
        <v>165</v>
      </c>
      <c r="B173">
        <v>191.2166503578548</v>
      </c>
    </row>
    <row r="174" spans="1:2" x14ac:dyDescent="0.25">
      <c r="A174">
        <v>166</v>
      </c>
      <c r="B174">
        <v>167.09847582505512</v>
      </c>
    </row>
    <row r="175" spans="1:2" x14ac:dyDescent="0.25">
      <c r="A175">
        <v>167</v>
      </c>
      <c r="B175">
        <v>176.38511439228824</v>
      </c>
    </row>
    <row r="176" spans="1:2" x14ac:dyDescent="0.25">
      <c r="A176">
        <v>168</v>
      </c>
      <c r="B176">
        <v>192.5399375150667</v>
      </c>
    </row>
    <row r="177" spans="1:2" x14ac:dyDescent="0.25">
      <c r="A177">
        <v>169</v>
      </c>
      <c r="B177">
        <v>182.27771937501822</v>
      </c>
    </row>
    <row r="178" spans="1:2" x14ac:dyDescent="0.25">
      <c r="A178">
        <v>170</v>
      </c>
      <c r="B178">
        <v>193.33269961127246</v>
      </c>
    </row>
    <row r="179" spans="1:2" x14ac:dyDescent="0.25">
      <c r="A179">
        <v>171</v>
      </c>
      <c r="B179">
        <v>171.89586105453895</v>
      </c>
    </row>
    <row r="180" spans="1:2" x14ac:dyDescent="0.25">
      <c r="A180">
        <v>172</v>
      </c>
      <c r="B180">
        <v>186.84862338981122</v>
      </c>
    </row>
    <row r="181" spans="1:2" x14ac:dyDescent="0.25">
      <c r="A181">
        <v>173</v>
      </c>
      <c r="B181">
        <v>174.04339216985898</v>
      </c>
    </row>
    <row r="182" spans="1:2" x14ac:dyDescent="0.25">
      <c r="A182">
        <v>174</v>
      </c>
      <c r="B182">
        <v>193.12178135600743</v>
      </c>
    </row>
    <row r="183" spans="1:2" x14ac:dyDescent="0.25">
      <c r="A183">
        <v>175</v>
      </c>
      <c r="B183">
        <v>191.59458804410303</v>
      </c>
    </row>
    <row r="184" spans="1:2" x14ac:dyDescent="0.25">
      <c r="A184">
        <v>176</v>
      </c>
      <c r="B184">
        <v>164.35058553560478</v>
      </c>
    </row>
    <row r="185" spans="1:2" x14ac:dyDescent="0.25">
      <c r="A185">
        <v>177</v>
      </c>
      <c r="B185">
        <v>191.46478103473893</v>
      </c>
    </row>
    <row r="186" spans="1:2" x14ac:dyDescent="0.25">
      <c r="A186">
        <v>178</v>
      </c>
      <c r="B186">
        <v>190.96924752464128</v>
      </c>
    </row>
    <row r="187" spans="1:2" x14ac:dyDescent="0.25">
      <c r="A187">
        <v>179</v>
      </c>
      <c r="B187">
        <v>176.99091446018679</v>
      </c>
    </row>
    <row r="188" spans="1:2" x14ac:dyDescent="0.25">
      <c r="A188">
        <v>180</v>
      </c>
      <c r="B188">
        <v>186.08540899663379</v>
      </c>
    </row>
    <row r="189" spans="1:2" x14ac:dyDescent="0.25">
      <c r="A189">
        <v>181</v>
      </c>
      <c r="B189">
        <v>190.04929406071687</v>
      </c>
    </row>
    <row r="190" spans="1:2" x14ac:dyDescent="0.25">
      <c r="A190">
        <v>182</v>
      </c>
      <c r="B190">
        <v>188.07018238448072</v>
      </c>
    </row>
    <row r="191" spans="1:2" x14ac:dyDescent="0.25">
      <c r="A191">
        <v>183</v>
      </c>
      <c r="B191">
        <v>187.74485773473234</v>
      </c>
    </row>
    <row r="192" spans="1:2" x14ac:dyDescent="0.25">
      <c r="A192">
        <v>184</v>
      </c>
      <c r="B192">
        <v>165.89311722905936</v>
      </c>
    </row>
    <row r="193" spans="1:2" x14ac:dyDescent="0.25">
      <c r="A193">
        <v>185</v>
      </c>
      <c r="B193">
        <v>185.34191821376857</v>
      </c>
    </row>
    <row r="194" spans="1:2" x14ac:dyDescent="0.25">
      <c r="A194">
        <v>186</v>
      </c>
      <c r="B194">
        <v>193.73607914544078</v>
      </c>
    </row>
    <row r="195" spans="1:2" x14ac:dyDescent="0.25">
      <c r="A195">
        <v>187</v>
      </c>
      <c r="B195">
        <v>193.19835068198856</v>
      </c>
    </row>
    <row r="196" spans="1:2" x14ac:dyDescent="0.25">
      <c r="A196">
        <v>188</v>
      </c>
      <c r="B196">
        <v>176.82038147006165</v>
      </c>
    </row>
    <row r="197" spans="1:2" x14ac:dyDescent="0.25">
      <c r="A197">
        <v>189</v>
      </c>
      <c r="B197">
        <v>191.19521635670347</v>
      </c>
    </row>
    <row r="198" spans="1:2" x14ac:dyDescent="0.25">
      <c r="A198">
        <v>190</v>
      </c>
      <c r="B198">
        <v>184.93976944408871</v>
      </c>
    </row>
    <row r="199" spans="1:2" x14ac:dyDescent="0.25">
      <c r="A199">
        <v>191</v>
      </c>
      <c r="B199">
        <v>185.01963426957738</v>
      </c>
    </row>
    <row r="200" spans="1:2" x14ac:dyDescent="0.25">
      <c r="A200">
        <v>192</v>
      </c>
      <c r="B200">
        <v>156.04342435395296</v>
      </c>
    </row>
    <row r="201" spans="1:2" x14ac:dyDescent="0.25">
      <c r="A201">
        <v>193</v>
      </c>
      <c r="B201">
        <v>179.03215048338771</v>
      </c>
    </row>
    <row r="202" spans="1:2" x14ac:dyDescent="0.25">
      <c r="A202">
        <v>194</v>
      </c>
      <c r="B202">
        <v>180.17639888444293</v>
      </c>
    </row>
    <row r="203" spans="1:2" x14ac:dyDescent="0.25">
      <c r="A203">
        <v>195</v>
      </c>
      <c r="B203">
        <v>181.56780554384957</v>
      </c>
    </row>
    <row r="204" spans="1:2" x14ac:dyDescent="0.25">
      <c r="A204">
        <v>196</v>
      </c>
      <c r="B204">
        <v>190.40032907402923</v>
      </c>
    </row>
    <row r="205" spans="1:2" x14ac:dyDescent="0.25">
      <c r="A205">
        <v>197</v>
      </c>
      <c r="B205">
        <v>179.13057858649057</v>
      </c>
    </row>
    <row r="206" spans="1:2" x14ac:dyDescent="0.25">
      <c r="A206">
        <v>198</v>
      </c>
      <c r="B206">
        <v>187.49882666944438</v>
      </c>
    </row>
    <row r="207" spans="1:2" x14ac:dyDescent="0.25">
      <c r="A207">
        <v>199</v>
      </c>
      <c r="B207">
        <v>178.04180808228551</v>
      </c>
    </row>
    <row r="208" spans="1:2" x14ac:dyDescent="0.25">
      <c r="A208">
        <v>200</v>
      </c>
      <c r="B208">
        <v>193.18499537225253</v>
      </c>
    </row>
    <row r="209" spans="1:2" x14ac:dyDescent="0.25">
      <c r="A209">
        <v>201</v>
      </c>
      <c r="B209">
        <v>160.43223592057021</v>
      </c>
    </row>
    <row r="210" spans="1:2" x14ac:dyDescent="0.25">
      <c r="A210">
        <v>202</v>
      </c>
      <c r="B210">
        <v>173.24619816628703</v>
      </c>
    </row>
    <row r="211" spans="1:2" x14ac:dyDescent="0.25">
      <c r="A211">
        <v>203</v>
      </c>
      <c r="B211">
        <v>183.36359531567496</v>
      </c>
    </row>
    <row r="212" spans="1:2" x14ac:dyDescent="0.25">
      <c r="A212">
        <v>204</v>
      </c>
      <c r="B212">
        <v>189.25122104716809</v>
      </c>
    </row>
    <row r="213" spans="1:2" x14ac:dyDescent="0.25">
      <c r="A213">
        <v>205</v>
      </c>
      <c r="B213">
        <v>181.11630397339462</v>
      </c>
    </row>
    <row r="214" spans="1:2" x14ac:dyDescent="0.25">
      <c r="A214">
        <v>206</v>
      </c>
      <c r="B214">
        <v>191.37088078985124</v>
      </c>
    </row>
    <row r="215" spans="1:2" x14ac:dyDescent="0.25">
      <c r="A215">
        <v>207</v>
      </c>
      <c r="B215">
        <v>188.15689716508544</v>
      </c>
    </row>
    <row r="216" spans="1:2" x14ac:dyDescent="0.25">
      <c r="A216">
        <v>208</v>
      </c>
      <c r="B216">
        <v>193.82906377027871</v>
      </c>
    </row>
    <row r="217" spans="1:2" x14ac:dyDescent="0.25">
      <c r="A217">
        <v>209</v>
      </c>
      <c r="B217">
        <v>191.49169652800958</v>
      </c>
    </row>
    <row r="218" spans="1:2" x14ac:dyDescent="0.25">
      <c r="A218">
        <v>210</v>
      </c>
      <c r="B218">
        <v>189.62777866392511</v>
      </c>
    </row>
    <row r="219" spans="1:2" x14ac:dyDescent="0.25">
      <c r="A219">
        <v>211</v>
      </c>
      <c r="B219">
        <v>170.13761968286059</v>
      </c>
    </row>
    <row r="220" spans="1:2" x14ac:dyDescent="0.25">
      <c r="A220">
        <v>212</v>
      </c>
      <c r="B220">
        <v>163.8029799072211</v>
      </c>
    </row>
    <row r="221" spans="1:2" x14ac:dyDescent="0.25">
      <c r="A221">
        <v>213</v>
      </c>
      <c r="B221">
        <v>190.81735217788784</v>
      </c>
    </row>
    <row r="222" spans="1:2" x14ac:dyDescent="0.25">
      <c r="A222">
        <v>214</v>
      </c>
      <c r="B222">
        <v>168.94879582795375</v>
      </c>
    </row>
    <row r="223" spans="1:2" x14ac:dyDescent="0.25">
      <c r="A223">
        <v>215</v>
      </c>
      <c r="B223">
        <v>193.2247564415639</v>
      </c>
    </row>
    <row r="224" spans="1:2" x14ac:dyDescent="0.25">
      <c r="A224">
        <v>216</v>
      </c>
      <c r="B224">
        <v>178.80292664441666</v>
      </c>
    </row>
    <row r="225" spans="1:2" x14ac:dyDescent="0.25">
      <c r="A225">
        <v>217</v>
      </c>
      <c r="B225">
        <v>188.02445670827044</v>
      </c>
    </row>
    <row r="226" spans="1:2" x14ac:dyDescent="0.25">
      <c r="A226">
        <v>218</v>
      </c>
      <c r="B226">
        <v>170.57643663163125</v>
      </c>
    </row>
    <row r="227" spans="1:2" x14ac:dyDescent="0.25">
      <c r="A227">
        <v>219</v>
      </c>
      <c r="B227">
        <v>184.12486766765784</v>
      </c>
    </row>
    <row r="228" spans="1:2" x14ac:dyDescent="0.25">
      <c r="A228">
        <v>220</v>
      </c>
      <c r="B228">
        <v>172.76049963113431</v>
      </c>
    </row>
    <row r="229" spans="1:2" x14ac:dyDescent="0.25">
      <c r="A229">
        <v>221</v>
      </c>
      <c r="B229">
        <v>194.48885721166693</v>
      </c>
    </row>
    <row r="230" spans="1:2" x14ac:dyDescent="0.25">
      <c r="A230">
        <v>222</v>
      </c>
      <c r="B230">
        <v>189.146197426133</v>
      </c>
    </row>
    <row r="231" spans="1:2" x14ac:dyDescent="0.25">
      <c r="A231">
        <v>223</v>
      </c>
      <c r="B231">
        <v>179.26648953428466</v>
      </c>
    </row>
    <row r="232" spans="1:2" x14ac:dyDescent="0.25">
      <c r="A232">
        <v>224</v>
      </c>
      <c r="B232">
        <v>180.23754119700584</v>
      </c>
    </row>
    <row r="233" spans="1:2" x14ac:dyDescent="0.25">
      <c r="A233">
        <v>225</v>
      </c>
      <c r="B233">
        <v>159.7664158012372</v>
      </c>
    </row>
    <row r="234" spans="1:2" x14ac:dyDescent="0.25">
      <c r="A234">
        <v>226</v>
      </c>
      <c r="B234">
        <v>192.03125812399026</v>
      </c>
    </row>
    <row r="235" spans="1:2" x14ac:dyDescent="0.25">
      <c r="A235">
        <v>227</v>
      </c>
      <c r="B235">
        <v>185.97093554460324</v>
      </c>
    </row>
    <row r="236" spans="1:2" x14ac:dyDescent="0.25">
      <c r="A236">
        <v>228</v>
      </c>
      <c r="B236">
        <v>189.20539989341825</v>
      </c>
    </row>
    <row r="237" spans="1:2" x14ac:dyDescent="0.25">
      <c r="A237">
        <v>229</v>
      </c>
      <c r="B237">
        <v>182.74994144501036</v>
      </c>
    </row>
    <row r="238" spans="1:2" x14ac:dyDescent="0.25">
      <c r="A238">
        <v>230</v>
      </c>
      <c r="B238">
        <v>193.51244171803614</v>
      </c>
    </row>
    <row r="239" spans="1:2" x14ac:dyDescent="0.25">
      <c r="A239">
        <v>231</v>
      </c>
      <c r="B239">
        <v>176.61923243239048</v>
      </c>
    </row>
    <row r="240" spans="1:2" x14ac:dyDescent="0.25">
      <c r="A240">
        <v>232</v>
      </c>
      <c r="B240">
        <v>190.12036401567116</v>
      </c>
    </row>
    <row r="241" spans="1:2" x14ac:dyDescent="0.25">
      <c r="A241">
        <v>233</v>
      </c>
      <c r="B241">
        <v>188.6262940452412</v>
      </c>
    </row>
    <row r="242" spans="1:2" x14ac:dyDescent="0.25">
      <c r="A242">
        <v>234</v>
      </c>
      <c r="B242">
        <v>191.42112562196289</v>
      </c>
    </row>
    <row r="243" spans="1:2" x14ac:dyDescent="0.25">
      <c r="A243">
        <v>235</v>
      </c>
      <c r="B243">
        <v>168.36255398938141</v>
      </c>
    </row>
    <row r="244" spans="1:2" x14ac:dyDescent="0.25">
      <c r="A244">
        <v>236</v>
      </c>
      <c r="B244">
        <v>189.37601905641378</v>
      </c>
    </row>
    <row r="245" spans="1:2" x14ac:dyDescent="0.25">
      <c r="A245">
        <v>237</v>
      </c>
      <c r="B245">
        <v>189.01275949051907</v>
      </c>
    </row>
    <row r="246" spans="1:2" x14ac:dyDescent="0.25">
      <c r="A246">
        <v>238</v>
      </c>
      <c r="B246">
        <v>187.42368122123531</v>
      </c>
    </row>
    <row r="247" spans="1:2" x14ac:dyDescent="0.25">
      <c r="A247">
        <v>239</v>
      </c>
      <c r="B247">
        <v>179.94145489975054</v>
      </c>
    </row>
    <row r="248" spans="1:2" x14ac:dyDescent="0.25">
      <c r="A248">
        <v>240</v>
      </c>
      <c r="B248">
        <v>161.68931449569351</v>
      </c>
    </row>
    <row r="249" spans="1:2" x14ac:dyDescent="0.25">
      <c r="A249">
        <v>241</v>
      </c>
      <c r="B249">
        <v>176.48169528529277</v>
      </c>
    </row>
    <row r="250" spans="1:2" x14ac:dyDescent="0.25">
      <c r="A250">
        <v>242</v>
      </c>
      <c r="B250">
        <v>178.93590662159863</v>
      </c>
    </row>
    <row r="251" spans="1:2" x14ac:dyDescent="0.25">
      <c r="A251">
        <v>243</v>
      </c>
      <c r="B251">
        <v>175.71813015419508</v>
      </c>
    </row>
    <row r="252" spans="1:2" x14ac:dyDescent="0.25">
      <c r="A252">
        <v>244</v>
      </c>
      <c r="B252">
        <v>179.99530625714678</v>
      </c>
    </row>
    <row r="253" spans="1:2" x14ac:dyDescent="0.25">
      <c r="A253">
        <v>245</v>
      </c>
      <c r="B253">
        <v>169.16381020840061</v>
      </c>
    </row>
    <row r="254" spans="1:2" x14ac:dyDescent="0.25">
      <c r="A254">
        <v>246</v>
      </c>
      <c r="B254">
        <v>191.87064115668016</v>
      </c>
    </row>
    <row r="255" spans="1:2" x14ac:dyDescent="0.25">
      <c r="A255">
        <v>247</v>
      </c>
      <c r="B255">
        <v>194.15536095689387</v>
      </c>
    </row>
    <row r="256" spans="1:2" x14ac:dyDescent="0.25">
      <c r="A256">
        <v>248</v>
      </c>
      <c r="B256">
        <v>172.59530569914898</v>
      </c>
    </row>
    <row r="257" spans="1:2" x14ac:dyDescent="0.25">
      <c r="A257">
        <v>249</v>
      </c>
      <c r="B257">
        <v>192.58585972855485</v>
      </c>
    </row>
    <row r="258" spans="1:2" x14ac:dyDescent="0.25">
      <c r="A258">
        <v>250</v>
      </c>
      <c r="B258">
        <v>186.00324785792992</v>
      </c>
    </row>
    <row r="259" spans="1:2" x14ac:dyDescent="0.25">
      <c r="A259">
        <v>251</v>
      </c>
      <c r="B259">
        <v>183.13436176933465</v>
      </c>
    </row>
    <row r="260" spans="1:2" x14ac:dyDescent="0.25">
      <c r="A260">
        <v>252</v>
      </c>
      <c r="B260">
        <v>188.44213460580795</v>
      </c>
    </row>
    <row r="261" spans="1:2" x14ac:dyDescent="0.25">
      <c r="A261">
        <v>253</v>
      </c>
      <c r="B261">
        <v>179.03880140034076</v>
      </c>
    </row>
    <row r="262" spans="1:2" x14ac:dyDescent="0.25">
      <c r="A262">
        <v>254</v>
      </c>
      <c r="B262">
        <v>175.3209104684519</v>
      </c>
    </row>
    <row r="263" spans="1:2" x14ac:dyDescent="0.25">
      <c r="A263">
        <v>255</v>
      </c>
      <c r="B263">
        <v>177.18739582205762</v>
      </c>
    </row>
    <row r="264" spans="1:2" x14ac:dyDescent="0.25">
      <c r="A264">
        <v>256</v>
      </c>
      <c r="B264">
        <v>181.0289871650395</v>
      </c>
    </row>
    <row r="265" spans="1:2" x14ac:dyDescent="0.25">
      <c r="A265">
        <v>257</v>
      </c>
      <c r="B265">
        <v>184.19572738073322</v>
      </c>
    </row>
    <row r="266" spans="1:2" x14ac:dyDescent="0.25">
      <c r="A266">
        <v>258</v>
      </c>
      <c r="B266">
        <v>179.7062903937732</v>
      </c>
    </row>
    <row r="267" spans="1:2" x14ac:dyDescent="0.25">
      <c r="A267">
        <v>259</v>
      </c>
      <c r="B267">
        <v>177.75452336794902</v>
      </c>
    </row>
    <row r="268" spans="1:2" x14ac:dyDescent="0.25">
      <c r="A268">
        <v>260</v>
      </c>
      <c r="B268">
        <v>175.55387988725735</v>
      </c>
    </row>
    <row r="269" spans="1:2" x14ac:dyDescent="0.25">
      <c r="A269">
        <v>261</v>
      </c>
      <c r="B269">
        <v>174.69543641823859</v>
      </c>
    </row>
    <row r="270" spans="1:2" x14ac:dyDescent="0.25">
      <c r="A270">
        <v>262</v>
      </c>
      <c r="B270">
        <v>182.31815188820084</v>
      </c>
    </row>
    <row r="271" spans="1:2" x14ac:dyDescent="0.25">
      <c r="A271">
        <v>263</v>
      </c>
      <c r="B271">
        <v>187.2415426496168</v>
      </c>
    </row>
    <row r="272" spans="1:2" x14ac:dyDescent="0.25">
      <c r="A272">
        <v>264</v>
      </c>
      <c r="B272">
        <v>186.94455977756795</v>
      </c>
    </row>
    <row r="273" spans="1:2" x14ac:dyDescent="0.25">
      <c r="A273">
        <v>265</v>
      </c>
      <c r="B273">
        <v>193.03695198827501</v>
      </c>
    </row>
    <row r="274" spans="1:2" x14ac:dyDescent="0.25">
      <c r="A274">
        <v>266</v>
      </c>
      <c r="B274">
        <v>187.5596831260732</v>
      </c>
    </row>
    <row r="275" spans="1:2" x14ac:dyDescent="0.25">
      <c r="A275">
        <v>267</v>
      </c>
      <c r="B275">
        <v>177.84860389930751</v>
      </c>
    </row>
    <row r="276" spans="1:2" x14ac:dyDescent="0.25">
      <c r="A276">
        <v>268</v>
      </c>
      <c r="B276">
        <v>183.25249120480703</v>
      </c>
    </row>
    <row r="277" spans="1:2" x14ac:dyDescent="0.25">
      <c r="A277">
        <v>269</v>
      </c>
      <c r="B277">
        <v>193.96377578701458</v>
      </c>
    </row>
    <row r="278" spans="1:2" x14ac:dyDescent="0.25">
      <c r="A278">
        <v>270</v>
      </c>
      <c r="B278">
        <v>191.54939133734564</v>
      </c>
    </row>
    <row r="279" spans="1:2" x14ac:dyDescent="0.25">
      <c r="A279">
        <v>271</v>
      </c>
      <c r="B279">
        <v>177.0634249776254</v>
      </c>
    </row>
    <row r="280" spans="1:2" x14ac:dyDescent="0.25">
      <c r="A280">
        <v>272</v>
      </c>
      <c r="B280">
        <v>186.37794619313945</v>
      </c>
    </row>
    <row r="281" spans="1:2" x14ac:dyDescent="0.25">
      <c r="A281">
        <v>273</v>
      </c>
      <c r="B281">
        <v>192.38640233568964</v>
      </c>
    </row>
    <row r="282" spans="1:2" x14ac:dyDescent="0.25">
      <c r="A282">
        <v>274</v>
      </c>
      <c r="B282">
        <v>191.96185011904794</v>
      </c>
    </row>
    <row r="283" spans="1:2" x14ac:dyDescent="0.25">
      <c r="A283">
        <v>275</v>
      </c>
      <c r="B283">
        <v>191.11645199494595</v>
      </c>
    </row>
    <row r="284" spans="1:2" x14ac:dyDescent="0.25">
      <c r="A284">
        <v>276</v>
      </c>
      <c r="B284">
        <v>167.50778087143095</v>
      </c>
    </row>
    <row r="285" spans="1:2" x14ac:dyDescent="0.25">
      <c r="A285">
        <v>277</v>
      </c>
      <c r="B285">
        <v>169.40005606026475</v>
      </c>
    </row>
    <row r="286" spans="1:2" x14ac:dyDescent="0.25">
      <c r="A286">
        <v>278</v>
      </c>
      <c r="B286">
        <v>189.96951284113752</v>
      </c>
    </row>
    <row r="287" spans="1:2" x14ac:dyDescent="0.25">
      <c r="A287">
        <v>279</v>
      </c>
      <c r="B287">
        <v>192.62498528428199</v>
      </c>
    </row>
    <row r="288" spans="1:2" x14ac:dyDescent="0.25">
      <c r="A288">
        <v>280</v>
      </c>
      <c r="B288">
        <v>186.9176789082245</v>
      </c>
    </row>
    <row r="289" spans="1:2" x14ac:dyDescent="0.25">
      <c r="A289">
        <v>281</v>
      </c>
      <c r="B289">
        <v>192.38207613727042</v>
      </c>
    </row>
    <row r="290" spans="1:2" x14ac:dyDescent="0.25">
      <c r="A290">
        <v>282</v>
      </c>
      <c r="B290">
        <v>190.74895126343327</v>
      </c>
    </row>
    <row r="291" spans="1:2" x14ac:dyDescent="0.25">
      <c r="A291">
        <v>283</v>
      </c>
      <c r="B291">
        <v>186.69147036921245</v>
      </c>
    </row>
    <row r="292" spans="1:2" x14ac:dyDescent="0.25">
      <c r="A292">
        <v>284</v>
      </c>
      <c r="B292">
        <v>176.91706039320155</v>
      </c>
    </row>
    <row r="293" spans="1:2" x14ac:dyDescent="0.25">
      <c r="A293">
        <v>285</v>
      </c>
      <c r="B293">
        <v>175.0239658388619</v>
      </c>
    </row>
    <row r="294" spans="1:2" x14ac:dyDescent="0.25">
      <c r="A294">
        <v>286</v>
      </c>
      <c r="B294">
        <v>184.35489794200305</v>
      </c>
    </row>
    <row r="295" spans="1:2" x14ac:dyDescent="0.25">
      <c r="A295">
        <v>287</v>
      </c>
      <c r="B295">
        <v>167.68192052612659</v>
      </c>
    </row>
    <row r="296" spans="1:2" x14ac:dyDescent="0.25">
      <c r="A296">
        <v>288</v>
      </c>
      <c r="B296">
        <v>170.77252903929249</v>
      </c>
    </row>
    <row r="297" spans="1:2" x14ac:dyDescent="0.25">
      <c r="A297">
        <v>289</v>
      </c>
      <c r="B297">
        <v>173.71666774838576</v>
      </c>
    </row>
    <row r="298" spans="1:2" x14ac:dyDescent="0.25">
      <c r="A298">
        <v>290</v>
      </c>
      <c r="B298">
        <v>192.76064693923686</v>
      </c>
    </row>
    <row r="299" spans="1:2" x14ac:dyDescent="0.25">
      <c r="A299">
        <v>291</v>
      </c>
      <c r="B299">
        <v>179.8011239552651</v>
      </c>
    </row>
    <row r="300" spans="1:2" x14ac:dyDescent="0.25">
      <c r="A300">
        <v>292</v>
      </c>
      <c r="B300">
        <v>188.47752281252488</v>
      </c>
    </row>
    <row r="301" spans="1:2" x14ac:dyDescent="0.25">
      <c r="A301">
        <v>293</v>
      </c>
      <c r="B301">
        <v>190.7088326633565</v>
      </c>
    </row>
    <row r="302" spans="1:2" x14ac:dyDescent="0.25">
      <c r="A302">
        <v>294</v>
      </c>
      <c r="B302">
        <v>194.44129297407812</v>
      </c>
    </row>
    <row r="303" spans="1:2" x14ac:dyDescent="0.25">
      <c r="A303">
        <v>295</v>
      </c>
      <c r="B303">
        <v>165.35251838276244</v>
      </c>
    </row>
    <row r="304" spans="1:2" x14ac:dyDescent="0.25">
      <c r="A304">
        <v>296</v>
      </c>
      <c r="B304">
        <v>189.77743437634791</v>
      </c>
    </row>
    <row r="305" spans="1:2" x14ac:dyDescent="0.25">
      <c r="A305">
        <v>297</v>
      </c>
      <c r="B305">
        <v>190.35401584797907</v>
      </c>
    </row>
    <row r="306" spans="1:2" x14ac:dyDescent="0.25">
      <c r="A306">
        <v>298</v>
      </c>
      <c r="B306">
        <v>193.80120215907272</v>
      </c>
    </row>
    <row r="307" spans="1:2" x14ac:dyDescent="0.25">
      <c r="A307">
        <v>299</v>
      </c>
      <c r="B307">
        <v>192.73882746707366</v>
      </c>
    </row>
    <row r="308" spans="1:2" x14ac:dyDescent="0.25">
      <c r="A308">
        <v>300</v>
      </c>
      <c r="B308">
        <v>172.25868580306533</v>
      </c>
    </row>
    <row r="309" spans="1:2" x14ac:dyDescent="0.25">
      <c r="A309">
        <v>301</v>
      </c>
      <c r="B309">
        <v>173.64233415301464</v>
      </c>
    </row>
    <row r="310" spans="1:2" x14ac:dyDescent="0.25">
      <c r="A310">
        <v>302</v>
      </c>
      <c r="B310">
        <v>162.40200495999414</v>
      </c>
    </row>
    <row r="311" spans="1:2" x14ac:dyDescent="0.25">
      <c r="A311">
        <v>303</v>
      </c>
      <c r="B311">
        <v>163.05349836484234</v>
      </c>
    </row>
    <row r="312" spans="1:2" x14ac:dyDescent="0.25">
      <c r="A312">
        <v>304</v>
      </c>
      <c r="B312">
        <v>182.84597462302946</v>
      </c>
    </row>
    <row r="313" spans="1:2" x14ac:dyDescent="0.25">
      <c r="A313">
        <v>305</v>
      </c>
      <c r="B313">
        <v>185.14637479109666</v>
      </c>
    </row>
    <row r="314" spans="1:2" x14ac:dyDescent="0.25">
      <c r="A314">
        <v>306</v>
      </c>
      <c r="B314">
        <v>181.98024412667169</v>
      </c>
    </row>
    <row r="315" spans="1:2" x14ac:dyDescent="0.25">
      <c r="A315">
        <v>307</v>
      </c>
      <c r="B315">
        <v>179.30667960641961</v>
      </c>
    </row>
    <row r="316" spans="1:2" x14ac:dyDescent="0.25">
      <c r="A316">
        <v>308</v>
      </c>
      <c r="B316">
        <v>190.26815626578838</v>
      </c>
    </row>
    <row r="317" spans="1:2" x14ac:dyDescent="0.25">
      <c r="A317">
        <v>309</v>
      </c>
      <c r="B317">
        <v>193.28294092587254</v>
      </c>
    </row>
    <row r="318" spans="1:2" x14ac:dyDescent="0.25">
      <c r="A318">
        <v>310</v>
      </c>
      <c r="B318">
        <v>183.53987063889403</v>
      </c>
    </row>
    <row r="319" spans="1:2" x14ac:dyDescent="0.25">
      <c r="A319">
        <v>311</v>
      </c>
      <c r="B319">
        <v>194.32422190722852</v>
      </c>
    </row>
    <row r="320" spans="1:2" x14ac:dyDescent="0.25">
      <c r="A320">
        <v>312</v>
      </c>
      <c r="B320">
        <v>187.96362184587954</v>
      </c>
    </row>
    <row r="321" spans="1:2" x14ac:dyDescent="0.25">
      <c r="A321">
        <v>313</v>
      </c>
      <c r="B321">
        <v>176.34446578796161</v>
      </c>
    </row>
    <row r="322" spans="1:2" x14ac:dyDescent="0.25">
      <c r="A322">
        <v>314</v>
      </c>
      <c r="B322">
        <v>185.06189356724519</v>
      </c>
    </row>
    <row r="323" spans="1:2" x14ac:dyDescent="0.25">
      <c r="A323">
        <v>315</v>
      </c>
      <c r="B323">
        <v>165.58816836875383</v>
      </c>
    </row>
    <row r="324" spans="1:2" x14ac:dyDescent="0.25">
      <c r="A324">
        <v>316</v>
      </c>
      <c r="B324">
        <v>191.84644561248581</v>
      </c>
    </row>
    <row r="325" spans="1:2" x14ac:dyDescent="0.25">
      <c r="A325">
        <v>317</v>
      </c>
      <c r="B325">
        <v>163.06054532545616</v>
      </c>
    </row>
    <row r="326" spans="1:2" x14ac:dyDescent="0.25">
      <c r="A326">
        <v>318</v>
      </c>
      <c r="B326">
        <v>171.47065971424178</v>
      </c>
    </row>
    <row r="327" spans="1:2" x14ac:dyDescent="0.25">
      <c r="A327">
        <v>319</v>
      </c>
      <c r="B327">
        <v>178.3663325817447</v>
      </c>
    </row>
    <row r="328" spans="1:2" x14ac:dyDescent="0.25">
      <c r="A328">
        <v>320</v>
      </c>
      <c r="B328">
        <v>186.53930389590977</v>
      </c>
    </row>
    <row r="329" spans="1:2" x14ac:dyDescent="0.25">
      <c r="A329">
        <v>321</v>
      </c>
      <c r="B329">
        <v>192.42976082849407</v>
      </c>
    </row>
    <row r="330" spans="1:2" x14ac:dyDescent="0.25">
      <c r="A330">
        <v>322</v>
      </c>
      <c r="B330">
        <v>194.23178929686728</v>
      </c>
    </row>
    <row r="331" spans="1:2" x14ac:dyDescent="0.25">
      <c r="A331">
        <v>323</v>
      </c>
      <c r="B331">
        <v>191.727822475734</v>
      </c>
    </row>
    <row r="332" spans="1:2" x14ac:dyDescent="0.25">
      <c r="A332">
        <v>324</v>
      </c>
      <c r="B332">
        <v>154.20637649194217</v>
      </c>
    </row>
    <row r="333" spans="1:2" x14ac:dyDescent="0.25">
      <c r="A333">
        <v>325</v>
      </c>
      <c r="B333">
        <v>166.86701128422487</v>
      </c>
    </row>
    <row r="334" spans="1:2" x14ac:dyDescent="0.25">
      <c r="A334">
        <v>326</v>
      </c>
      <c r="B334">
        <v>162.02413186708526</v>
      </c>
    </row>
    <row r="335" spans="1:2" x14ac:dyDescent="0.25">
      <c r="A335">
        <v>327</v>
      </c>
      <c r="B335">
        <v>171.9548593198931</v>
      </c>
    </row>
    <row r="336" spans="1:2" x14ac:dyDescent="0.25">
      <c r="A336">
        <v>328</v>
      </c>
      <c r="B336">
        <v>192.28087547664637</v>
      </c>
    </row>
    <row r="337" spans="1:2" x14ac:dyDescent="0.25">
      <c r="A337">
        <v>329</v>
      </c>
      <c r="B337">
        <v>190.23389770886402</v>
      </c>
    </row>
    <row r="338" spans="1:2" x14ac:dyDescent="0.25">
      <c r="A338">
        <v>330</v>
      </c>
      <c r="B338">
        <v>190.20825881108482</v>
      </c>
    </row>
    <row r="339" spans="1:2" x14ac:dyDescent="0.25">
      <c r="A339">
        <v>331</v>
      </c>
      <c r="B339">
        <v>193.09968902105436</v>
      </c>
    </row>
    <row r="340" spans="1:2" x14ac:dyDescent="0.25">
      <c r="A340">
        <v>332</v>
      </c>
      <c r="B340">
        <v>170.33982409506652</v>
      </c>
    </row>
    <row r="341" spans="1:2" x14ac:dyDescent="0.25">
      <c r="A341">
        <v>333</v>
      </c>
      <c r="B341">
        <v>172.65803376899251</v>
      </c>
    </row>
    <row r="342" spans="1:2" x14ac:dyDescent="0.25">
      <c r="A342">
        <v>334</v>
      </c>
      <c r="B342">
        <v>194.47402284136416</v>
      </c>
    </row>
    <row r="343" spans="1:2" x14ac:dyDescent="0.25">
      <c r="A343">
        <v>335</v>
      </c>
      <c r="B343">
        <v>182.92920053271092</v>
      </c>
    </row>
    <row r="344" spans="1:2" x14ac:dyDescent="0.25">
      <c r="A344">
        <v>336</v>
      </c>
      <c r="B344">
        <v>188.38472688892605</v>
      </c>
    </row>
    <row r="345" spans="1:2" x14ac:dyDescent="0.25">
      <c r="A345">
        <v>337</v>
      </c>
      <c r="B345">
        <v>191.33086704993684</v>
      </c>
    </row>
    <row r="346" spans="1:2" x14ac:dyDescent="0.25">
      <c r="A346">
        <v>338</v>
      </c>
      <c r="B346">
        <v>184.69176306530989</v>
      </c>
    </row>
    <row r="347" spans="1:2" x14ac:dyDescent="0.25">
      <c r="A347">
        <v>339</v>
      </c>
      <c r="B347">
        <v>193.60829717032266</v>
      </c>
    </row>
    <row r="348" spans="1:2" x14ac:dyDescent="0.25">
      <c r="A348">
        <v>340</v>
      </c>
      <c r="B348">
        <v>193.52753009070349</v>
      </c>
    </row>
    <row r="349" spans="1:2" x14ac:dyDescent="0.25">
      <c r="A349">
        <v>341</v>
      </c>
      <c r="B349">
        <v>182.63886268896636</v>
      </c>
    </row>
    <row r="350" spans="1:2" x14ac:dyDescent="0.25">
      <c r="A350">
        <v>342</v>
      </c>
      <c r="B350">
        <v>194.35693882528574</v>
      </c>
    </row>
    <row r="351" spans="1:2" x14ac:dyDescent="0.25">
      <c r="A351">
        <v>343</v>
      </c>
      <c r="B351">
        <v>189.4260420084756</v>
      </c>
    </row>
    <row r="352" spans="1:2" x14ac:dyDescent="0.25">
      <c r="A352">
        <v>344</v>
      </c>
      <c r="B352">
        <v>188.99756515351163</v>
      </c>
    </row>
    <row r="353" spans="1:2" x14ac:dyDescent="0.25">
      <c r="A353">
        <v>345</v>
      </c>
      <c r="B353">
        <v>189.92852986314807</v>
      </c>
    </row>
    <row r="354" spans="1:2" x14ac:dyDescent="0.25">
      <c r="A354">
        <v>346</v>
      </c>
      <c r="B354">
        <v>166.10470383957895</v>
      </c>
    </row>
    <row r="355" spans="1:2" x14ac:dyDescent="0.25">
      <c r="A355">
        <v>347</v>
      </c>
      <c r="B355">
        <v>161.49827060104167</v>
      </c>
    </row>
    <row r="356" spans="1:2" x14ac:dyDescent="0.25">
      <c r="A356">
        <v>348</v>
      </c>
      <c r="B356">
        <v>189.34866789396477</v>
      </c>
    </row>
    <row r="357" spans="1:2" x14ac:dyDescent="0.25">
      <c r="A357">
        <v>349</v>
      </c>
      <c r="B357">
        <v>152.84045835138821</v>
      </c>
    </row>
    <row r="358" spans="1:2" x14ac:dyDescent="0.25">
      <c r="A358">
        <v>350</v>
      </c>
      <c r="B358">
        <v>174.51482431868195</v>
      </c>
    </row>
    <row r="359" spans="1:2" x14ac:dyDescent="0.25">
      <c r="A359">
        <v>351</v>
      </c>
      <c r="B359">
        <v>174.7487598269953</v>
      </c>
    </row>
    <row r="360" spans="1:2" x14ac:dyDescent="0.25">
      <c r="A360">
        <v>352</v>
      </c>
      <c r="B360">
        <v>187.44905990249495</v>
      </c>
    </row>
    <row r="361" spans="1:2" x14ac:dyDescent="0.25">
      <c r="A361">
        <v>353</v>
      </c>
      <c r="B361">
        <v>188.23897323483473</v>
      </c>
    </row>
    <row r="362" spans="1:2" x14ac:dyDescent="0.25">
      <c r="A362">
        <v>354</v>
      </c>
      <c r="B362">
        <v>179.40748174835218</v>
      </c>
    </row>
    <row r="363" spans="1:2" x14ac:dyDescent="0.25">
      <c r="A363">
        <v>355</v>
      </c>
      <c r="B363">
        <v>193.6703591883284</v>
      </c>
    </row>
    <row r="364" spans="1:2" x14ac:dyDescent="0.25">
      <c r="A364">
        <v>356</v>
      </c>
      <c r="B364">
        <v>176.69828729346597</v>
      </c>
    </row>
    <row r="365" spans="1:2" x14ac:dyDescent="0.25">
      <c r="A365">
        <v>357</v>
      </c>
      <c r="B365">
        <v>191.08696623724595</v>
      </c>
    </row>
    <row r="366" spans="1:2" x14ac:dyDescent="0.25">
      <c r="A366">
        <v>358</v>
      </c>
      <c r="B366">
        <v>188.29197616124691</v>
      </c>
    </row>
    <row r="367" spans="1:2" x14ac:dyDescent="0.25">
      <c r="A367">
        <v>359</v>
      </c>
      <c r="B367">
        <v>192.55559609821432</v>
      </c>
    </row>
    <row r="368" spans="1:2" x14ac:dyDescent="0.25">
      <c r="A368">
        <v>360</v>
      </c>
      <c r="B368">
        <v>192.95337347723034</v>
      </c>
    </row>
    <row r="369" spans="1:2" x14ac:dyDescent="0.25">
      <c r="A369">
        <v>361</v>
      </c>
      <c r="B369">
        <v>186.35833593401125</v>
      </c>
    </row>
    <row r="370" spans="1:2" x14ac:dyDescent="0.25">
      <c r="A370">
        <v>362</v>
      </c>
      <c r="B370">
        <v>158.90453440169654</v>
      </c>
    </row>
    <row r="371" spans="1:2" x14ac:dyDescent="0.25">
      <c r="A371">
        <v>363</v>
      </c>
      <c r="B371">
        <v>188.75550259608204</v>
      </c>
    </row>
    <row r="372" spans="1:2" x14ac:dyDescent="0.25">
      <c r="A372">
        <v>364</v>
      </c>
      <c r="B372">
        <v>186.79647373873979</v>
      </c>
    </row>
    <row r="373" spans="1:2" x14ac:dyDescent="0.25">
      <c r="A373">
        <v>365</v>
      </c>
      <c r="B373">
        <v>194.03900496843426</v>
      </c>
    </row>
    <row r="374" spans="1:2" x14ac:dyDescent="0.25">
      <c r="A374">
        <v>366</v>
      </c>
      <c r="B374">
        <v>194.45641633917111</v>
      </c>
    </row>
    <row r="375" spans="1:2" x14ac:dyDescent="0.25">
      <c r="A375">
        <v>367</v>
      </c>
      <c r="B375">
        <v>184.64171041063429</v>
      </c>
    </row>
    <row r="376" spans="1:2" x14ac:dyDescent="0.25">
      <c r="A376">
        <v>368</v>
      </c>
      <c r="B376">
        <v>191.77650072246178</v>
      </c>
    </row>
    <row r="377" spans="1:2" x14ac:dyDescent="0.25">
      <c r="A377">
        <v>369</v>
      </c>
      <c r="B377">
        <v>190.91766337715632</v>
      </c>
    </row>
    <row r="378" spans="1:2" x14ac:dyDescent="0.25">
      <c r="A378">
        <v>370</v>
      </c>
      <c r="B378">
        <v>186.1102574214313</v>
      </c>
    </row>
    <row r="379" spans="1:2" x14ac:dyDescent="0.25">
      <c r="A379">
        <v>371</v>
      </c>
      <c r="B379">
        <v>170.10846412759111</v>
      </c>
    </row>
    <row r="380" spans="1:2" x14ac:dyDescent="0.25">
      <c r="A380">
        <v>372</v>
      </c>
      <c r="B380">
        <v>172.8759801076211</v>
      </c>
    </row>
    <row r="381" spans="1:2" x14ac:dyDescent="0.25">
      <c r="A381">
        <v>373</v>
      </c>
      <c r="B381">
        <v>192.79965046628124</v>
      </c>
    </row>
    <row r="382" spans="1:2" x14ac:dyDescent="0.25">
      <c r="A382">
        <v>374</v>
      </c>
      <c r="B382">
        <v>190.94823565232934</v>
      </c>
    </row>
    <row r="383" spans="1:2" x14ac:dyDescent="0.25">
      <c r="A383">
        <v>375</v>
      </c>
      <c r="B383">
        <v>155.01451957316132</v>
      </c>
    </row>
    <row r="384" spans="1:2" x14ac:dyDescent="0.25">
      <c r="A384">
        <v>376</v>
      </c>
      <c r="B384">
        <v>174.13020996697179</v>
      </c>
    </row>
    <row r="385" spans="1:2" x14ac:dyDescent="0.25">
      <c r="A385">
        <v>377</v>
      </c>
      <c r="B385">
        <v>186.57514757357347</v>
      </c>
    </row>
    <row r="386" spans="1:2" x14ac:dyDescent="0.25">
      <c r="A386">
        <v>378</v>
      </c>
      <c r="B386">
        <v>180.81620975372761</v>
      </c>
    </row>
    <row r="387" spans="1:2" x14ac:dyDescent="0.25">
      <c r="A387">
        <v>379</v>
      </c>
      <c r="B387">
        <v>192.46949974244311</v>
      </c>
    </row>
    <row r="388" spans="1:2" x14ac:dyDescent="0.25">
      <c r="A388">
        <v>380</v>
      </c>
      <c r="B388">
        <v>189.66493756813622</v>
      </c>
    </row>
    <row r="389" spans="1:2" x14ac:dyDescent="0.25">
      <c r="A389">
        <v>381</v>
      </c>
      <c r="B389">
        <v>182.16109139885052</v>
      </c>
    </row>
    <row r="390" spans="1:2" x14ac:dyDescent="0.25">
      <c r="A390">
        <v>382</v>
      </c>
      <c r="B390">
        <v>180.64057806343774</v>
      </c>
    </row>
    <row r="391" spans="1:2" x14ac:dyDescent="0.25">
      <c r="A391">
        <v>383</v>
      </c>
      <c r="B391">
        <v>185.5065671566465</v>
      </c>
    </row>
    <row r="392" spans="1:2" x14ac:dyDescent="0.25">
      <c r="A392">
        <v>384</v>
      </c>
      <c r="B392">
        <v>181.94261805617612</v>
      </c>
    </row>
    <row r="393" spans="1:2" x14ac:dyDescent="0.25">
      <c r="A393">
        <v>385</v>
      </c>
      <c r="B393">
        <v>187.68127599811527</v>
      </c>
    </row>
    <row r="394" spans="1:2" x14ac:dyDescent="0.25">
      <c r="A394">
        <v>386</v>
      </c>
      <c r="B394">
        <v>177.95768523289001</v>
      </c>
    </row>
    <row r="395" spans="1:2" x14ac:dyDescent="0.25">
      <c r="A395">
        <v>387</v>
      </c>
      <c r="B395">
        <v>193.45912670925074</v>
      </c>
    </row>
    <row r="396" spans="1:2" x14ac:dyDescent="0.25">
      <c r="A396">
        <v>388</v>
      </c>
      <c r="B396">
        <v>178.77823015939634</v>
      </c>
    </row>
    <row r="397" spans="1:2" x14ac:dyDescent="0.25">
      <c r="A397">
        <v>389</v>
      </c>
      <c r="B397">
        <v>190.99550276670323</v>
      </c>
    </row>
    <row r="398" spans="1:2" x14ac:dyDescent="0.25">
      <c r="A398">
        <v>390</v>
      </c>
      <c r="B398">
        <v>191.62340587223034</v>
      </c>
    </row>
    <row r="399" spans="1:2" x14ac:dyDescent="0.25">
      <c r="A399">
        <v>391</v>
      </c>
      <c r="B399">
        <v>187.85552379728696</v>
      </c>
    </row>
    <row r="400" spans="1:2" x14ac:dyDescent="0.25">
      <c r="A400">
        <v>392</v>
      </c>
      <c r="B400">
        <v>180.47775291791021</v>
      </c>
    </row>
    <row r="401" spans="1:2" x14ac:dyDescent="0.25">
      <c r="A401">
        <v>393</v>
      </c>
      <c r="B401">
        <v>186.7755977386928</v>
      </c>
    </row>
    <row r="402" spans="1:2" x14ac:dyDescent="0.25">
      <c r="A402">
        <v>394</v>
      </c>
      <c r="B402">
        <v>157.94376825332887</v>
      </c>
    </row>
    <row r="403" spans="1:2" x14ac:dyDescent="0.25">
      <c r="A403">
        <v>395</v>
      </c>
      <c r="B403">
        <v>193.37178272724552</v>
      </c>
    </row>
    <row r="404" spans="1:2" x14ac:dyDescent="0.25">
      <c r="A404">
        <v>396</v>
      </c>
      <c r="B404">
        <v>191.68784403104985</v>
      </c>
    </row>
    <row r="405" spans="1:2" x14ac:dyDescent="0.25">
      <c r="A405">
        <v>397</v>
      </c>
      <c r="B405">
        <v>185.64671566861153</v>
      </c>
    </row>
    <row r="406" spans="1:2" x14ac:dyDescent="0.25">
      <c r="A406">
        <v>398</v>
      </c>
      <c r="B406">
        <v>187.59365671440102</v>
      </c>
    </row>
    <row r="407" spans="1:2" x14ac:dyDescent="0.25">
      <c r="A407">
        <v>399</v>
      </c>
      <c r="B407">
        <v>194.29760834986186</v>
      </c>
    </row>
    <row r="408" spans="1:2" x14ac:dyDescent="0.25">
      <c r="A408">
        <v>400</v>
      </c>
      <c r="B408">
        <v>179.57721926765353</v>
      </c>
    </row>
    <row r="409" spans="1:2" x14ac:dyDescent="0.25">
      <c r="A409">
        <v>401</v>
      </c>
      <c r="B409">
        <v>192.69770493047588</v>
      </c>
    </row>
    <row r="410" spans="1:2" x14ac:dyDescent="0.25">
      <c r="A410">
        <v>402</v>
      </c>
      <c r="B410">
        <v>183.19298744277711</v>
      </c>
    </row>
    <row r="411" spans="1:2" x14ac:dyDescent="0.25">
      <c r="A411">
        <v>403</v>
      </c>
      <c r="B411">
        <v>189.83598475829569</v>
      </c>
    </row>
    <row r="412" spans="1:2" x14ac:dyDescent="0.25">
      <c r="A412">
        <v>404</v>
      </c>
      <c r="B412">
        <v>180.36800591388862</v>
      </c>
    </row>
    <row r="413" spans="1:2" x14ac:dyDescent="0.25">
      <c r="A413">
        <v>405</v>
      </c>
      <c r="B413">
        <v>179.49999071426157</v>
      </c>
    </row>
    <row r="414" spans="1:2" x14ac:dyDescent="0.25">
      <c r="A414">
        <v>406</v>
      </c>
      <c r="B414">
        <v>187.8085460491001</v>
      </c>
    </row>
    <row r="415" spans="1:2" x14ac:dyDescent="0.25">
      <c r="A415">
        <v>407</v>
      </c>
      <c r="B415">
        <v>181.26091956416639</v>
      </c>
    </row>
    <row r="416" spans="1:2" x14ac:dyDescent="0.25">
      <c r="A416">
        <v>408</v>
      </c>
      <c r="B416">
        <v>183.71123687665374</v>
      </c>
    </row>
    <row r="417" spans="1:2" x14ac:dyDescent="0.25">
      <c r="A417">
        <v>409</v>
      </c>
      <c r="B417">
        <v>179.63062911765451</v>
      </c>
    </row>
    <row r="418" spans="1:2" x14ac:dyDescent="0.25">
      <c r="A418">
        <v>410</v>
      </c>
      <c r="B418">
        <v>178.59366692905394</v>
      </c>
    </row>
    <row r="419" spans="1:2" x14ac:dyDescent="0.25">
      <c r="A419">
        <v>411</v>
      </c>
      <c r="B419">
        <v>181.8643091655274</v>
      </c>
    </row>
    <row r="420" spans="1:2" x14ac:dyDescent="0.25">
      <c r="A420">
        <v>412</v>
      </c>
      <c r="B420">
        <v>184.50812072879907</v>
      </c>
    </row>
    <row r="421" spans="1:2" x14ac:dyDescent="0.25">
      <c r="A421">
        <v>413</v>
      </c>
      <c r="B421">
        <v>185.42239031996627</v>
      </c>
    </row>
    <row r="422" spans="1:2" x14ac:dyDescent="0.25">
      <c r="A422">
        <v>414</v>
      </c>
      <c r="B422">
        <v>190.68938098579346</v>
      </c>
    </row>
    <row r="423" spans="1:2" x14ac:dyDescent="0.25">
      <c r="A423">
        <v>415</v>
      </c>
      <c r="B423">
        <v>193.59158472277119</v>
      </c>
    </row>
    <row r="424" spans="1:2" x14ac:dyDescent="0.25">
      <c r="A424">
        <v>416</v>
      </c>
      <c r="B424">
        <v>187.62946645192193</v>
      </c>
    </row>
    <row r="425" spans="1:2" x14ac:dyDescent="0.25">
      <c r="A425">
        <v>417</v>
      </c>
      <c r="B425">
        <v>168.1222708810146</v>
      </c>
    </row>
    <row r="426" spans="1:2" x14ac:dyDescent="0.25">
      <c r="A426">
        <v>418</v>
      </c>
      <c r="B426">
        <v>182.97536561910624</v>
      </c>
    </row>
    <row r="427" spans="1:2" x14ac:dyDescent="0.25">
      <c r="A427">
        <v>419</v>
      </c>
      <c r="B427">
        <v>182.48800572033764</v>
      </c>
    </row>
    <row r="428" spans="1:2" x14ac:dyDescent="0.25">
      <c r="A428">
        <v>420</v>
      </c>
      <c r="B428">
        <v>166.70986938860403</v>
      </c>
    </row>
    <row r="429" spans="1:2" x14ac:dyDescent="0.25">
      <c r="A429">
        <v>421</v>
      </c>
      <c r="B429">
        <v>164.91889244525015</v>
      </c>
    </row>
    <row r="430" spans="1:2" x14ac:dyDescent="0.25">
      <c r="A430">
        <v>422</v>
      </c>
      <c r="B430">
        <v>189.28907362591204</v>
      </c>
    </row>
    <row r="431" spans="1:2" x14ac:dyDescent="0.25">
      <c r="A431">
        <v>423</v>
      </c>
      <c r="B431">
        <v>188.22141636544643</v>
      </c>
    </row>
    <row r="432" spans="1:2" x14ac:dyDescent="0.25">
      <c r="A432">
        <v>424</v>
      </c>
      <c r="B432">
        <v>192.83980277994061</v>
      </c>
    </row>
    <row r="433" spans="1:2" x14ac:dyDescent="0.25">
      <c r="A433">
        <v>425</v>
      </c>
      <c r="B433">
        <v>181.17646092905301</v>
      </c>
    </row>
    <row r="434" spans="1:2" x14ac:dyDescent="0.25">
      <c r="A434">
        <v>426</v>
      </c>
      <c r="B434">
        <v>162.60525670912997</v>
      </c>
    </row>
    <row r="435" spans="1:2" x14ac:dyDescent="0.25">
      <c r="A435">
        <v>427</v>
      </c>
      <c r="B435">
        <v>194.09209694016596</v>
      </c>
    </row>
    <row r="436" spans="1:2" x14ac:dyDescent="0.25">
      <c r="A436">
        <v>428</v>
      </c>
      <c r="B436">
        <v>182.19652976381082</v>
      </c>
    </row>
    <row r="437" spans="1:2" x14ac:dyDescent="0.25">
      <c r="A437">
        <v>429</v>
      </c>
      <c r="B437">
        <v>193.55616706596794</v>
      </c>
    </row>
    <row r="438" spans="1:2" x14ac:dyDescent="0.25">
      <c r="A438">
        <v>430</v>
      </c>
      <c r="B438">
        <v>193.63930617001168</v>
      </c>
    </row>
    <row r="439" spans="1:2" x14ac:dyDescent="0.25">
      <c r="A439">
        <v>431</v>
      </c>
      <c r="B439">
        <v>184.39788174509965</v>
      </c>
    </row>
    <row r="440" spans="1:2" x14ac:dyDescent="0.25">
      <c r="A440">
        <v>432</v>
      </c>
      <c r="B440">
        <v>192.66853057894329</v>
      </c>
    </row>
    <row r="441" spans="1:2" x14ac:dyDescent="0.25">
      <c r="A441">
        <v>433</v>
      </c>
      <c r="B441">
        <v>185.50100765055069</v>
      </c>
    </row>
    <row r="442" spans="1:2" x14ac:dyDescent="0.25">
      <c r="A442">
        <v>434</v>
      </c>
      <c r="B442">
        <v>189.45122419123453</v>
      </c>
    </row>
    <row r="443" spans="1:2" x14ac:dyDescent="0.25">
      <c r="A443">
        <v>435</v>
      </c>
      <c r="B443">
        <v>180.86732410883599</v>
      </c>
    </row>
    <row r="444" spans="1:2" x14ac:dyDescent="0.25">
      <c r="A444">
        <v>436</v>
      </c>
      <c r="B444">
        <v>180.74297343691094</v>
      </c>
    </row>
    <row r="445" spans="1:2" x14ac:dyDescent="0.25">
      <c r="A445">
        <v>437</v>
      </c>
      <c r="B445">
        <v>191.79418435509479</v>
      </c>
    </row>
    <row r="446" spans="1:2" x14ac:dyDescent="0.25">
      <c r="A446">
        <v>438</v>
      </c>
      <c r="B446">
        <v>177.462467768907</v>
      </c>
    </row>
    <row r="447" spans="1:2" x14ac:dyDescent="0.25">
      <c r="A447">
        <v>439</v>
      </c>
      <c r="B447">
        <v>186.47718624474115</v>
      </c>
    </row>
    <row r="448" spans="1:2" x14ac:dyDescent="0.25">
      <c r="A448">
        <v>440</v>
      </c>
      <c r="B448">
        <v>159.02180112963867</v>
      </c>
    </row>
    <row r="449" spans="1:2" x14ac:dyDescent="0.25">
      <c r="A449">
        <v>441</v>
      </c>
      <c r="B449">
        <v>194.40916832713114</v>
      </c>
    </row>
    <row r="450" spans="1:2" x14ac:dyDescent="0.25">
      <c r="A450">
        <v>442</v>
      </c>
      <c r="B450">
        <v>165.13153865915933</v>
      </c>
    </row>
    <row r="451" spans="1:2" x14ac:dyDescent="0.25">
      <c r="A451">
        <v>443</v>
      </c>
      <c r="B451">
        <v>178.10064053298976</v>
      </c>
    </row>
    <row r="452" spans="1:2" x14ac:dyDescent="0.25">
      <c r="A452">
        <v>444</v>
      </c>
      <c r="B452">
        <v>168.05075242929968</v>
      </c>
    </row>
    <row r="453" spans="1:2" x14ac:dyDescent="0.25">
      <c r="A453">
        <v>445</v>
      </c>
      <c r="B453">
        <v>194.46394729079358</v>
      </c>
    </row>
    <row r="454" spans="1:2" x14ac:dyDescent="0.25">
      <c r="A454">
        <v>446</v>
      </c>
      <c r="B454">
        <v>168.62166242103393</v>
      </c>
    </row>
    <row r="455" spans="1:2" x14ac:dyDescent="0.25">
      <c r="A455">
        <v>447</v>
      </c>
      <c r="B455">
        <v>190.4498424185623</v>
      </c>
    </row>
    <row r="456" spans="1:2" x14ac:dyDescent="0.25">
      <c r="A456">
        <v>448</v>
      </c>
      <c r="B456">
        <v>194.24625942019478</v>
      </c>
    </row>
    <row r="457" spans="1:2" x14ac:dyDescent="0.25">
      <c r="A457">
        <v>449</v>
      </c>
      <c r="B457">
        <v>167.82198022830903</v>
      </c>
    </row>
    <row r="458" spans="1:2" x14ac:dyDescent="0.25">
      <c r="A458">
        <v>450</v>
      </c>
      <c r="B458">
        <v>185.9062798471939</v>
      </c>
    </row>
    <row r="459" spans="1:2" x14ac:dyDescent="0.25">
      <c r="A459">
        <v>451</v>
      </c>
      <c r="B459">
        <v>176.27502721361105</v>
      </c>
    </row>
    <row r="460" spans="1:2" x14ac:dyDescent="0.25">
      <c r="A460">
        <v>452</v>
      </c>
      <c r="B460">
        <v>193.42551136564305</v>
      </c>
    </row>
    <row r="461" spans="1:2" x14ac:dyDescent="0.25">
      <c r="A461">
        <v>453</v>
      </c>
      <c r="B461">
        <v>182.37564925837808</v>
      </c>
    </row>
    <row r="462" spans="1:2" x14ac:dyDescent="0.25">
      <c r="A462">
        <v>454</v>
      </c>
      <c r="B462">
        <v>175.84427206934194</v>
      </c>
    </row>
    <row r="463" spans="1:2" x14ac:dyDescent="0.25">
      <c r="A463">
        <v>455</v>
      </c>
      <c r="B463">
        <v>163.43490908899901</v>
      </c>
    </row>
    <row r="464" spans="1:2" x14ac:dyDescent="0.25">
      <c r="A464">
        <v>456</v>
      </c>
      <c r="B464">
        <v>188.88063462073387</v>
      </c>
    </row>
    <row r="465" spans="1:2" x14ac:dyDescent="0.25">
      <c r="A465">
        <v>457</v>
      </c>
      <c r="B465">
        <v>178.43564203547245</v>
      </c>
    </row>
    <row r="466" spans="1:2" x14ac:dyDescent="0.25">
      <c r="A466">
        <v>458</v>
      </c>
      <c r="B466">
        <v>183.98345504248815</v>
      </c>
    </row>
    <row r="467" spans="1:2" x14ac:dyDescent="0.25">
      <c r="A467">
        <v>459</v>
      </c>
      <c r="B467">
        <v>165.74567360283299</v>
      </c>
    </row>
    <row r="468" spans="1:2" x14ac:dyDescent="0.25">
      <c r="A468">
        <v>460</v>
      </c>
      <c r="B468">
        <v>169.55866111972247</v>
      </c>
    </row>
    <row r="469" spans="1:2" x14ac:dyDescent="0.25">
      <c r="A469">
        <v>461</v>
      </c>
      <c r="B469">
        <v>184.73488306963515</v>
      </c>
    </row>
    <row r="470" spans="1:2" x14ac:dyDescent="0.25">
      <c r="A470">
        <v>462</v>
      </c>
      <c r="B470">
        <v>181.65673650359327</v>
      </c>
    </row>
    <row r="471" spans="1:2" x14ac:dyDescent="0.25">
      <c r="A471">
        <v>463</v>
      </c>
      <c r="B471">
        <v>168.97805851280771</v>
      </c>
    </row>
    <row r="472" spans="1:2" x14ac:dyDescent="0.25">
      <c r="A472">
        <v>464</v>
      </c>
      <c r="B472">
        <v>171.0683162325804</v>
      </c>
    </row>
    <row r="473" spans="1:2" x14ac:dyDescent="0.25">
      <c r="A473">
        <v>465</v>
      </c>
      <c r="B473">
        <v>189.08804210159695</v>
      </c>
    </row>
    <row r="474" spans="1:2" x14ac:dyDescent="0.25">
      <c r="A474">
        <v>466</v>
      </c>
      <c r="B474">
        <v>190.8759619504763</v>
      </c>
    </row>
    <row r="475" spans="1:2" x14ac:dyDescent="0.25">
      <c r="A475">
        <v>467</v>
      </c>
      <c r="B475">
        <v>193.00571872666251</v>
      </c>
    </row>
    <row r="476" spans="1:2" x14ac:dyDescent="0.25">
      <c r="A476">
        <v>468</v>
      </c>
      <c r="B476">
        <v>186.43902541205935</v>
      </c>
    </row>
    <row r="477" spans="1:2" x14ac:dyDescent="0.25">
      <c r="A477">
        <v>469</v>
      </c>
      <c r="B477">
        <v>190.55831930952422</v>
      </c>
    </row>
    <row r="478" spans="1:2" x14ac:dyDescent="0.25">
      <c r="A478">
        <v>470</v>
      </c>
      <c r="B478">
        <v>191.50718675621019</v>
      </c>
    </row>
    <row r="479" spans="1:2" x14ac:dyDescent="0.25">
      <c r="A479">
        <v>471</v>
      </c>
      <c r="B479">
        <v>194.00520222722508</v>
      </c>
    </row>
    <row r="480" spans="1:2" x14ac:dyDescent="0.25">
      <c r="A480">
        <v>472</v>
      </c>
      <c r="B480">
        <v>177.6187112595056</v>
      </c>
    </row>
    <row r="481" spans="1:2" x14ac:dyDescent="0.25">
      <c r="A481">
        <v>473</v>
      </c>
      <c r="B481">
        <v>172.40656606611901</v>
      </c>
    </row>
    <row r="482" spans="1:2" x14ac:dyDescent="0.25">
      <c r="A482">
        <v>474</v>
      </c>
      <c r="B482">
        <v>156.98883717496054</v>
      </c>
    </row>
    <row r="483" spans="1:2" x14ac:dyDescent="0.25">
      <c r="A483">
        <v>475</v>
      </c>
      <c r="B483">
        <v>175.1908172905317</v>
      </c>
    </row>
    <row r="484" spans="1:2" x14ac:dyDescent="0.25">
      <c r="A484">
        <v>476</v>
      </c>
      <c r="B484">
        <v>190.63484277801876</v>
      </c>
    </row>
    <row r="485" spans="1:2" x14ac:dyDescent="0.25">
      <c r="A485">
        <v>477</v>
      </c>
      <c r="B485">
        <v>174.25592930047384</v>
      </c>
    </row>
    <row r="486" spans="1:2" x14ac:dyDescent="0.25">
      <c r="A486">
        <v>478</v>
      </c>
      <c r="B486">
        <v>173.80440429372879</v>
      </c>
    </row>
    <row r="487" spans="1:2" x14ac:dyDescent="0.25">
      <c r="A487">
        <v>479</v>
      </c>
      <c r="B487">
        <v>151.07556232395268</v>
      </c>
    </row>
    <row r="488" spans="1:2" x14ac:dyDescent="0.25">
      <c r="A488">
        <v>480</v>
      </c>
      <c r="B488">
        <v>182.05042990650202</v>
      </c>
    </row>
    <row r="489" spans="1:2" x14ac:dyDescent="0.25">
      <c r="A489">
        <v>481</v>
      </c>
      <c r="B489">
        <v>181.4095716161402</v>
      </c>
    </row>
    <row r="490" spans="1:2" x14ac:dyDescent="0.25">
      <c r="A490">
        <v>482</v>
      </c>
      <c r="B490">
        <v>192.00892821904529</v>
      </c>
    </row>
    <row r="491" spans="1:2" x14ac:dyDescent="0.25">
      <c r="A491">
        <v>483</v>
      </c>
      <c r="B491">
        <v>181.5444734700194</v>
      </c>
    </row>
    <row r="492" spans="1:2" x14ac:dyDescent="0.25">
      <c r="A492">
        <v>484</v>
      </c>
      <c r="B492">
        <v>192.64539137007043</v>
      </c>
    </row>
    <row r="493" spans="1:2" x14ac:dyDescent="0.25">
      <c r="A493">
        <v>485</v>
      </c>
      <c r="B493">
        <v>181.3220243864416</v>
      </c>
    </row>
    <row r="494" spans="1:2" x14ac:dyDescent="0.25">
      <c r="A494">
        <v>486</v>
      </c>
      <c r="B494">
        <v>183.81334739832559</v>
      </c>
    </row>
    <row r="495" spans="1:2" x14ac:dyDescent="0.25">
      <c r="A495">
        <v>487</v>
      </c>
      <c r="B495">
        <v>160.15718249382616</v>
      </c>
    </row>
    <row r="496" spans="1:2" x14ac:dyDescent="0.25">
      <c r="A496">
        <v>488</v>
      </c>
      <c r="B496">
        <v>167.37207293150891</v>
      </c>
    </row>
    <row r="497" spans="1:2" x14ac:dyDescent="0.25">
      <c r="A497">
        <v>489</v>
      </c>
      <c r="B497">
        <v>175.47592012560858</v>
      </c>
    </row>
    <row r="498" spans="1:2" x14ac:dyDescent="0.25">
      <c r="A498">
        <v>490</v>
      </c>
      <c r="B498">
        <v>189.59714517850824</v>
      </c>
    </row>
    <row r="499" spans="1:2" x14ac:dyDescent="0.25">
      <c r="A499">
        <v>491</v>
      </c>
      <c r="B499">
        <v>177.38331300240219</v>
      </c>
    </row>
    <row r="500" spans="1:2" x14ac:dyDescent="0.25">
      <c r="A500">
        <v>492</v>
      </c>
      <c r="B500">
        <v>172.33040219409523</v>
      </c>
    </row>
    <row r="501" spans="1:2" x14ac:dyDescent="0.25">
      <c r="A501">
        <v>493</v>
      </c>
      <c r="B501">
        <v>192.90090078071663</v>
      </c>
    </row>
    <row r="502" spans="1:2" x14ac:dyDescent="0.25">
      <c r="A502">
        <v>494</v>
      </c>
      <c r="B502">
        <v>180.33733472213095</v>
      </c>
    </row>
    <row r="503" spans="1:2" x14ac:dyDescent="0.25">
      <c r="A503">
        <v>495</v>
      </c>
      <c r="B503">
        <v>170.82979390151323</v>
      </c>
    </row>
    <row r="504" spans="1:2" x14ac:dyDescent="0.25">
      <c r="A504">
        <v>496</v>
      </c>
      <c r="B504">
        <v>178.18344088800416</v>
      </c>
    </row>
    <row r="505" spans="1:2" x14ac:dyDescent="0.25">
      <c r="A505">
        <v>497</v>
      </c>
      <c r="B505">
        <v>194.06498895757278</v>
      </c>
    </row>
    <row r="506" spans="1:2" x14ac:dyDescent="0.25">
      <c r="A506">
        <v>498</v>
      </c>
      <c r="B506">
        <v>185.83160761440314</v>
      </c>
    </row>
    <row r="507" spans="1:2" x14ac:dyDescent="0.25">
      <c r="A507">
        <v>499</v>
      </c>
      <c r="B507">
        <v>192.48610087224441</v>
      </c>
    </row>
    <row r="508" spans="1:2" x14ac:dyDescent="0.25">
      <c r="A508">
        <v>500</v>
      </c>
      <c r="B508">
        <v>191.95343789777587</v>
      </c>
    </row>
    <row r="510" spans="1:2" x14ac:dyDescent="0.25">
      <c r="A510" t="s">
        <v>101</v>
      </c>
    </row>
    <row r="511" spans="1:2" x14ac:dyDescent="0.25">
      <c r="A511" t="s">
        <v>102</v>
      </c>
      <c r="B511" t="str">
        <f>IF(ISBLANK($B510),"",_xll.EDF(B9:B508,$B510))</f>
        <v/>
      </c>
    </row>
    <row r="512" spans="1:2" x14ac:dyDescent="0.25">
      <c r="A512" t="s">
        <v>103</v>
      </c>
    </row>
    <row r="513" spans="1:2" x14ac:dyDescent="0.25">
      <c r="A513" t="s">
        <v>104</v>
      </c>
      <c r="B513" t="str">
        <f>IF(ISBLANK($B512),"",_xll.EDF(B9:B508,$B512))</f>
        <v/>
      </c>
    </row>
    <row r="514" spans="1:2" x14ac:dyDescent="0.25">
      <c r="A514" t="s">
        <v>105</v>
      </c>
    </row>
    <row r="515" spans="1:2" x14ac:dyDescent="0.25">
      <c r="A515" t="s">
        <v>106</v>
      </c>
      <c r="B515" t="str">
        <f>IF(ISBLANK($B514),"",_xll.EDF(B9:B508,$B514))</f>
        <v/>
      </c>
    </row>
    <row r="516" spans="1:2" x14ac:dyDescent="0.25">
      <c r="A516" t="s">
        <v>107</v>
      </c>
    </row>
    <row r="517" spans="1:2" x14ac:dyDescent="0.25">
      <c r="A517" t="s">
        <v>108</v>
      </c>
      <c r="B517" t="str">
        <f>IF(ISBLANK($B516),"",_xll.EDF(B9:B508,$B516))</f>
        <v/>
      </c>
    </row>
    <row r="518" spans="1:2" x14ac:dyDescent="0.25">
      <c r="A518" t="s">
        <v>109</v>
      </c>
    </row>
    <row r="519" spans="1:2" x14ac:dyDescent="0.25">
      <c r="A519" t="s">
        <v>110</v>
      </c>
      <c r="B519" t="str">
        <f>IF(ISBLANK($B518),"",_xll.EDF(B9:B508,$B518))</f>
        <v/>
      </c>
    </row>
  </sheetData>
  <dataValidations count="1">
    <dataValidation type="list" allowBlank="1" showInputMessage="1" showErrorMessage="1" sqref="H10" xr:uid="{8C403387-C44A-4A85-A310-406611C43BBD}">
      <formula1>"Cauchy,Cosinus,Double Exp,Epanechnikov,Gaussian,Histogram,Parzen,Quartic,Semiparametric Normal (HG),Triangle,Triweight,Uniform"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76D6-5CE1-4333-99A0-0495FC2D82D5}">
  <sheetPr>
    <pageSetUpPr fitToPage="1"/>
  </sheetPr>
  <dimension ref="A2:P264"/>
  <sheetViews>
    <sheetView tabSelected="1" topLeftCell="A147" zoomScale="175" zoomScaleNormal="175" workbookViewId="0">
      <selection activeCell="D155" sqref="D155"/>
    </sheetView>
  </sheetViews>
  <sheetFormatPr defaultRowHeight="15" x14ac:dyDescent="0.2"/>
  <cols>
    <col min="1" max="1" width="28.5703125" style="2" customWidth="1"/>
    <col min="2" max="2" width="22.5703125" style="2" customWidth="1"/>
    <col min="3" max="3" width="22.7109375" style="2" bestFit="1" customWidth="1"/>
    <col min="4" max="4" width="20.5703125" style="2" customWidth="1"/>
    <col min="5" max="5" width="20.42578125" style="2" customWidth="1"/>
    <col min="6" max="6" width="16.28515625" style="2" bestFit="1" customWidth="1"/>
    <col min="7" max="7" width="11.5703125" style="2" bestFit="1" customWidth="1"/>
    <col min="8" max="16384" width="9.140625" style="2"/>
  </cols>
  <sheetData>
    <row r="2" spans="1:9" ht="15.75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0</v>
      </c>
      <c r="G2" s="1"/>
      <c r="I2" s="6" t="s">
        <v>35</v>
      </c>
    </row>
    <row r="3" spans="1:9" ht="15.75" x14ac:dyDescent="0.25">
      <c r="A3" s="3">
        <v>2006</v>
      </c>
      <c r="B3" s="1">
        <v>3.04</v>
      </c>
      <c r="C3" s="1">
        <v>151.4</v>
      </c>
      <c r="D3" s="5">
        <v>208.17</v>
      </c>
      <c r="E3" s="1">
        <v>2.5760000000000001</v>
      </c>
      <c r="F3" s="1">
        <v>2006</v>
      </c>
      <c r="G3" s="1"/>
      <c r="I3" s="6" t="s">
        <v>31</v>
      </c>
    </row>
    <row r="4" spans="1:9" ht="15.75" x14ac:dyDescent="0.25">
      <c r="A4" s="3">
        <v>2007</v>
      </c>
      <c r="B4" s="1">
        <v>4.2</v>
      </c>
      <c r="C4" s="1">
        <v>150.69999999999999</v>
      </c>
      <c r="D4" s="5">
        <v>231.25</v>
      </c>
      <c r="E4" s="1">
        <v>2.8109999999999999</v>
      </c>
      <c r="F4" s="1">
        <v>2007</v>
      </c>
      <c r="G4" s="1"/>
      <c r="I4" s="6" t="s">
        <v>32</v>
      </c>
    </row>
    <row r="5" spans="1:9" ht="15.75" x14ac:dyDescent="0.25">
      <c r="A5" s="3">
        <v>2008</v>
      </c>
      <c r="B5" s="1">
        <v>4.0599999999999996</v>
      </c>
      <c r="C5" s="1">
        <v>153.30000000000001</v>
      </c>
      <c r="D5" s="5">
        <v>298.06</v>
      </c>
      <c r="E5" s="1">
        <v>3.2629999999999999</v>
      </c>
      <c r="F5" s="1">
        <v>2008</v>
      </c>
      <c r="G5" s="1"/>
      <c r="I5" s="6" t="s">
        <v>33</v>
      </c>
    </row>
    <row r="6" spans="1:9" ht="15.75" x14ac:dyDescent="0.25">
      <c r="A6" s="3">
        <v>2009</v>
      </c>
      <c r="B6" s="1">
        <v>3.55</v>
      </c>
      <c r="C6" s="1">
        <v>164.4</v>
      </c>
      <c r="D6" s="5">
        <v>297.42</v>
      </c>
      <c r="E6" s="1">
        <v>2.3650000000000002</v>
      </c>
      <c r="F6" s="1">
        <v>2009</v>
      </c>
      <c r="G6" s="1"/>
      <c r="I6" s="6" t="s">
        <v>34</v>
      </c>
    </row>
    <row r="7" spans="1:9" x14ac:dyDescent="0.2">
      <c r="A7" s="3">
        <v>2010</v>
      </c>
      <c r="B7" s="1">
        <v>5.18</v>
      </c>
      <c r="C7" s="1">
        <v>152.6</v>
      </c>
      <c r="D7" s="5">
        <v>289.37</v>
      </c>
      <c r="E7" s="1">
        <v>2.7930000000000001</v>
      </c>
      <c r="F7" s="1">
        <v>2010</v>
      </c>
      <c r="G7" s="1"/>
    </row>
    <row r="8" spans="1:9" x14ac:dyDescent="0.2">
      <c r="A8" s="3">
        <v>2011</v>
      </c>
      <c r="B8" s="1">
        <v>6.2</v>
      </c>
      <c r="C8" s="1">
        <v>146.80000000000001</v>
      </c>
      <c r="D8" s="5">
        <v>335.25</v>
      </c>
      <c r="E8" s="1">
        <v>3.528</v>
      </c>
      <c r="F8" s="1">
        <v>2011</v>
      </c>
      <c r="G8" s="1"/>
    </row>
    <row r="9" spans="1:9" x14ac:dyDescent="0.2">
      <c r="A9" s="3">
        <v>2012</v>
      </c>
      <c r="B9" s="1">
        <v>6.95</v>
      </c>
      <c r="C9" s="1">
        <v>123.1</v>
      </c>
      <c r="D9" s="5">
        <v>352.61</v>
      </c>
      <c r="E9" s="1">
        <v>3.61</v>
      </c>
      <c r="F9" s="1">
        <v>2012</v>
      </c>
      <c r="G9" s="1"/>
    </row>
    <row r="10" spans="1:9" x14ac:dyDescent="0.2">
      <c r="A10" s="3">
        <v>2013</v>
      </c>
      <c r="B10" s="1">
        <v>4.46</v>
      </c>
      <c r="C10" s="1">
        <v>158.1</v>
      </c>
      <c r="D10" s="5">
        <v>358.72</v>
      </c>
      <c r="E10" s="1">
        <v>3.5110000000000001</v>
      </c>
      <c r="F10" s="1">
        <v>2013</v>
      </c>
      <c r="G10" s="1"/>
    </row>
    <row r="11" spans="1:9" x14ac:dyDescent="0.2">
      <c r="A11" s="3">
        <v>2014</v>
      </c>
      <c r="B11" s="1">
        <v>3.7</v>
      </c>
      <c r="C11" s="1">
        <v>171</v>
      </c>
      <c r="D11" s="5">
        <v>360.08</v>
      </c>
      <c r="E11" s="1">
        <v>3.3759999999999999</v>
      </c>
      <c r="F11" s="1">
        <v>2014</v>
      </c>
      <c r="G11" s="1"/>
    </row>
    <row r="12" spans="1:9" x14ac:dyDescent="0.2">
      <c r="A12" s="3">
        <v>2015</v>
      </c>
      <c r="B12" s="1">
        <v>3.61</v>
      </c>
      <c r="C12" s="1">
        <v>168.4</v>
      </c>
      <c r="D12" s="5">
        <v>337.08</v>
      </c>
      <c r="E12" s="1">
        <v>2.423</v>
      </c>
      <c r="F12" s="1">
        <v>2015</v>
      </c>
      <c r="G12" s="1"/>
    </row>
    <row r="13" spans="1:9" x14ac:dyDescent="0.2">
      <c r="A13" s="3">
        <v>2016</v>
      </c>
      <c r="B13" s="1">
        <v>3.36</v>
      </c>
      <c r="C13" s="1">
        <v>174.6</v>
      </c>
      <c r="D13" s="5">
        <v>345.04</v>
      </c>
      <c r="E13" s="1">
        <v>2.177</v>
      </c>
      <c r="F13" s="1">
        <v>2016</v>
      </c>
      <c r="G13" s="1"/>
    </row>
    <row r="14" spans="1:9" x14ac:dyDescent="0.2">
      <c r="A14" s="3">
        <v>2017</v>
      </c>
      <c r="B14" s="1">
        <v>3.36</v>
      </c>
      <c r="C14" s="1">
        <v>176.6</v>
      </c>
      <c r="D14" s="5">
        <v>333.87</v>
      </c>
      <c r="E14" s="1">
        <v>2.448</v>
      </c>
      <c r="F14" s="1">
        <v>2017</v>
      </c>
      <c r="G14" s="1"/>
    </row>
    <row r="15" spans="1:9" x14ac:dyDescent="0.2">
      <c r="A15" s="3">
        <v>2018</v>
      </c>
      <c r="B15" s="1">
        <v>3.61</v>
      </c>
      <c r="C15" s="1">
        <v>176.4</v>
      </c>
      <c r="D15" s="5">
        <v>335.12</v>
      </c>
      <c r="E15" s="1">
        <v>2.714</v>
      </c>
      <c r="F15" s="1">
        <v>2018</v>
      </c>
      <c r="G15" s="1"/>
    </row>
    <row r="16" spans="1:9" x14ac:dyDescent="0.2">
      <c r="A16" s="3">
        <v>2019</v>
      </c>
      <c r="B16" s="1">
        <v>3.56</v>
      </c>
      <c r="C16" s="1">
        <v>167.5</v>
      </c>
      <c r="D16" s="5">
        <v>342.63</v>
      </c>
      <c r="E16" s="1">
        <v>2.5659999999999998</v>
      </c>
      <c r="F16" s="1">
        <v>2019</v>
      </c>
      <c r="G16" s="1"/>
    </row>
    <row r="17" spans="1:7" x14ac:dyDescent="0.2">
      <c r="A17" s="3">
        <v>2020</v>
      </c>
      <c r="B17" s="1">
        <v>4.53</v>
      </c>
      <c r="C17" s="1">
        <v>171.4</v>
      </c>
      <c r="D17" s="5">
        <v>333.28</v>
      </c>
      <c r="E17" s="1">
        <v>2.1440000000000001</v>
      </c>
      <c r="F17" s="1">
        <v>2020</v>
      </c>
      <c r="G17" s="1"/>
    </row>
    <row r="18" spans="1:7" x14ac:dyDescent="0.2">
      <c r="A18" s="3">
        <v>2021</v>
      </c>
      <c r="B18" s="1">
        <v>6</v>
      </c>
      <c r="C18" s="1">
        <v>176.7</v>
      </c>
      <c r="D18" s="5">
        <v>359.78</v>
      </c>
      <c r="E18" s="1">
        <v>2.9790000000000001</v>
      </c>
      <c r="F18" s="1">
        <v>2021</v>
      </c>
    </row>
    <row r="19" spans="1:7" x14ac:dyDescent="0.2">
      <c r="A19" s="1">
        <v>2022</v>
      </c>
      <c r="B19" s="1">
        <v>6.6</v>
      </c>
      <c r="C19" s="1">
        <v>173.3</v>
      </c>
      <c r="D19" s="5">
        <v>486.78</v>
      </c>
      <c r="E19" s="1">
        <v>3.8809999999999998</v>
      </c>
      <c r="F19" s="1">
        <v>2022</v>
      </c>
    </row>
    <row r="20" spans="1:7" x14ac:dyDescent="0.2">
      <c r="A20" s="1">
        <v>2023</v>
      </c>
      <c r="B20" s="1">
        <v>4.78</v>
      </c>
      <c r="C20" s="1">
        <v>177.1</v>
      </c>
      <c r="D20" s="5">
        <v>507.54</v>
      </c>
      <c r="E20" s="1">
        <v>3.4830000000000001</v>
      </c>
      <c r="F20" s="1">
        <v>2023</v>
      </c>
    </row>
    <row r="21" spans="1:7" x14ac:dyDescent="0.2">
      <c r="A21" s="1">
        <v>2024</v>
      </c>
      <c r="B21" s="1">
        <v>4.3899999999999997</v>
      </c>
      <c r="C21" s="1">
        <v>181.4</v>
      </c>
      <c r="D21" s="5">
        <v>453.66</v>
      </c>
      <c r="E21" s="8">
        <v>3.28</v>
      </c>
      <c r="F21" s="1">
        <v>2024</v>
      </c>
    </row>
    <row r="23" spans="1:7" ht="15.75" x14ac:dyDescent="0.25">
      <c r="A23" s="6" t="s">
        <v>5</v>
      </c>
    </row>
    <row r="25" spans="1:7" x14ac:dyDescent="0.2">
      <c r="A25" s="1" t="s">
        <v>0</v>
      </c>
      <c r="B25" s="1" t="str">
        <f>B2</f>
        <v>Corn price</v>
      </c>
      <c r="C25" s="1" t="str">
        <f>C2</f>
        <v>Corn yield</v>
      </c>
    </row>
    <row r="26" spans="1:7" x14ac:dyDescent="0.2">
      <c r="A26" s="3">
        <f>A3</f>
        <v>2006</v>
      </c>
      <c r="B26" s="5">
        <f t="shared" ref="B26:C26" si="0">B3</f>
        <v>3.04</v>
      </c>
      <c r="C26" s="3">
        <f t="shared" si="0"/>
        <v>151.4</v>
      </c>
    </row>
    <row r="27" spans="1:7" x14ac:dyDescent="0.2">
      <c r="A27" s="3">
        <f t="shared" ref="A27:C27" si="1">A4</f>
        <v>2007</v>
      </c>
      <c r="B27" s="5">
        <f t="shared" si="1"/>
        <v>4.2</v>
      </c>
      <c r="C27" s="3">
        <f t="shared" si="1"/>
        <v>150.69999999999999</v>
      </c>
    </row>
    <row r="28" spans="1:7" x14ac:dyDescent="0.2">
      <c r="A28" s="3">
        <f t="shared" ref="A28:C28" si="2">A5</f>
        <v>2008</v>
      </c>
      <c r="B28" s="5">
        <f t="shared" si="2"/>
        <v>4.0599999999999996</v>
      </c>
      <c r="C28" s="3">
        <f t="shared" si="2"/>
        <v>153.30000000000001</v>
      </c>
    </row>
    <row r="29" spans="1:7" x14ac:dyDescent="0.2">
      <c r="A29" s="3">
        <f t="shared" ref="A29:C29" si="3">A6</f>
        <v>2009</v>
      </c>
      <c r="B29" s="5">
        <f t="shared" si="3"/>
        <v>3.55</v>
      </c>
      <c r="C29" s="3">
        <f t="shared" si="3"/>
        <v>164.4</v>
      </c>
    </row>
    <row r="30" spans="1:7" x14ac:dyDescent="0.2">
      <c r="A30" s="3">
        <f t="shared" ref="A30:C30" si="4">A7</f>
        <v>2010</v>
      </c>
      <c r="B30" s="5">
        <f t="shared" si="4"/>
        <v>5.18</v>
      </c>
      <c r="C30" s="3">
        <f t="shared" si="4"/>
        <v>152.6</v>
      </c>
    </row>
    <row r="31" spans="1:7" x14ac:dyDescent="0.2">
      <c r="A31" s="3">
        <f t="shared" ref="A31:C31" si="5">A8</f>
        <v>2011</v>
      </c>
      <c r="B31" s="5">
        <f t="shared" si="5"/>
        <v>6.2</v>
      </c>
      <c r="C31" s="3">
        <f t="shared" si="5"/>
        <v>146.80000000000001</v>
      </c>
    </row>
    <row r="32" spans="1:7" x14ac:dyDescent="0.2">
      <c r="A32" s="3">
        <f t="shared" ref="A32:C32" si="6">A9</f>
        <v>2012</v>
      </c>
      <c r="B32" s="5">
        <f t="shared" si="6"/>
        <v>6.95</v>
      </c>
      <c r="C32" s="3">
        <f t="shared" si="6"/>
        <v>123.1</v>
      </c>
    </row>
    <row r="33" spans="1:3" x14ac:dyDescent="0.2">
      <c r="A33" s="3">
        <f t="shared" ref="A33:C33" si="7">A10</f>
        <v>2013</v>
      </c>
      <c r="B33" s="5">
        <f t="shared" si="7"/>
        <v>4.46</v>
      </c>
      <c r="C33" s="3">
        <f t="shared" si="7"/>
        <v>158.1</v>
      </c>
    </row>
    <row r="34" spans="1:3" x14ac:dyDescent="0.2">
      <c r="A34" s="3">
        <f t="shared" ref="A34:C34" si="8">A11</f>
        <v>2014</v>
      </c>
      <c r="B34" s="5">
        <f t="shared" si="8"/>
        <v>3.7</v>
      </c>
      <c r="C34" s="3">
        <f t="shared" si="8"/>
        <v>171</v>
      </c>
    </row>
    <row r="35" spans="1:3" x14ac:dyDescent="0.2">
      <c r="A35" s="3">
        <f t="shared" ref="A35:C35" si="9">A12</f>
        <v>2015</v>
      </c>
      <c r="B35" s="5">
        <f t="shared" si="9"/>
        <v>3.61</v>
      </c>
      <c r="C35" s="3">
        <f t="shared" si="9"/>
        <v>168.4</v>
      </c>
    </row>
    <row r="36" spans="1:3" x14ac:dyDescent="0.2">
      <c r="A36" s="3">
        <f t="shared" ref="A36:C36" si="10">A13</f>
        <v>2016</v>
      </c>
      <c r="B36" s="5">
        <f t="shared" si="10"/>
        <v>3.36</v>
      </c>
      <c r="C36" s="3">
        <f t="shared" si="10"/>
        <v>174.6</v>
      </c>
    </row>
    <row r="37" spans="1:3" x14ac:dyDescent="0.2">
      <c r="A37" s="3">
        <f t="shared" ref="A37:C37" si="11">A14</f>
        <v>2017</v>
      </c>
      <c r="B37" s="5">
        <f t="shared" si="11"/>
        <v>3.36</v>
      </c>
      <c r="C37" s="3">
        <f t="shared" si="11"/>
        <v>176.6</v>
      </c>
    </row>
    <row r="38" spans="1:3" x14ac:dyDescent="0.2">
      <c r="A38" s="3">
        <f t="shared" ref="A38:C38" si="12">A15</f>
        <v>2018</v>
      </c>
      <c r="B38" s="5">
        <f t="shared" si="12"/>
        <v>3.61</v>
      </c>
      <c r="C38" s="3">
        <f t="shared" si="12"/>
        <v>176.4</v>
      </c>
    </row>
    <row r="39" spans="1:3" x14ac:dyDescent="0.2">
      <c r="A39" s="3">
        <f t="shared" ref="A39:C39" si="13">A16</f>
        <v>2019</v>
      </c>
      <c r="B39" s="5">
        <f t="shared" si="13"/>
        <v>3.56</v>
      </c>
      <c r="C39" s="3">
        <f t="shared" si="13"/>
        <v>167.5</v>
      </c>
    </row>
    <row r="40" spans="1:3" x14ac:dyDescent="0.2">
      <c r="A40" s="3">
        <f t="shared" ref="A40:C40" si="14">A17</f>
        <v>2020</v>
      </c>
      <c r="B40" s="5">
        <f t="shared" si="14"/>
        <v>4.53</v>
      </c>
      <c r="C40" s="3">
        <f t="shared" si="14"/>
        <v>171.4</v>
      </c>
    </row>
    <row r="41" spans="1:3" x14ac:dyDescent="0.2">
      <c r="A41" s="3">
        <f t="shared" ref="A41:C41" si="15">A18</f>
        <v>2021</v>
      </c>
      <c r="B41" s="5">
        <f t="shared" si="15"/>
        <v>6</v>
      </c>
      <c r="C41" s="3">
        <f t="shared" si="15"/>
        <v>176.7</v>
      </c>
    </row>
    <row r="42" spans="1:3" x14ac:dyDescent="0.2">
      <c r="A42" s="3">
        <f t="shared" ref="A42:C44" si="16">A19</f>
        <v>2022</v>
      </c>
      <c r="B42" s="5">
        <f t="shared" si="16"/>
        <v>6.6</v>
      </c>
      <c r="C42" s="3">
        <f t="shared" si="16"/>
        <v>173.3</v>
      </c>
    </row>
    <row r="43" spans="1:3" x14ac:dyDescent="0.2">
      <c r="A43" s="3">
        <f t="shared" si="16"/>
        <v>2023</v>
      </c>
      <c r="B43" s="5">
        <f t="shared" si="16"/>
        <v>4.78</v>
      </c>
      <c r="C43" s="3">
        <f t="shared" si="16"/>
        <v>177.1</v>
      </c>
    </row>
    <row r="44" spans="1:3" x14ac:dyDescent="0.2">
      <c r="A44" s="3">
        <f t="shared" si="16"/>
        <v>2024</v>
      </c>
      <c r="B44" s="5">
        <f t="shared" si="16"/>
        <v>4.3899999999999997</v>
      </c>
      <c r="C44" s="3">
        <f t="shared" si="16"/>
        <v>181.4</v>
      </c>
    </row>
    <row r="46" spans="1:3" ht="15.75" x14ac:dyDescent="0.25">
      <c r="A46" s="6"/>
    </row>
    <row r="47" spans="1:3" ht="15.75" x14ac:dyDescent="0.25">
      <c r="A47" s="21"/>
      <c r="B47" t="str">
        <f>B25</f>
        <v>Corn price</v>
      </c>
      <c r="C47" t="str">
        <f>C25</f>
        <v>Corn yield</v>
      </c>
    </row>
    <row r="48" spans="1:3" ht="15.75" x14ac:dyDescent="0.25">
      <c r="A48" s="21" t="s">
        <v>36</v>
      </c>
      <c r="B48">
        <f>INTERCEPT(Main!B26:B44,Main!$A$26:$A$44)</f>
        <v>-76.472456140350872</v>
      </c>
      <c r="C48">
        <f>INTERCEPT(Main!C26:C44,Main!$A$26:$A$44)</f>
        <v>-3626.7377192982444</v>
      </c>
    </row>
    <row r="49" spans="1:5" ht="15.75" x14ac:dyDescent="0.25">
      <c r="A49" s="21" t="s">
        <v>37</v>
      </c>
      <c r="B49">
        <f>SLOPE(Main!B26:B44,Main!$A$26:$A$44)</f>
        <v>4.0175438596491225E-2</v>
      </c>
      <c r="C49">
        <f>SLOPE(Main!C26:C44,Main!$A$26:$A$44)</f>
        <v>1.881228070175438</v>
      </c>
    </row>
    <row r="50" spans="1:5" ht="15.75" x14ac:dyDescent="0.25">
      <c r="A50" s="21" t="s">
        <v>38</v>
      </c>
      <c r="B50">
        <f>RSQ(Main!B26:B44,Main!$A$26:$A$44)</f>
        <v>3.6616478469655898E-2</v>
      </c>
      <c r="C50">
        <f>RSQ(Main!C26:C44,Main!$A$26:$A$44)</f>
        <v>0.5217842191655897</v>
      </c>
    </row>
    <row r="51" spans="1:5" ht="15.75" x14ac:dyDescent="0.25">
      <c r="A51" s="21" t="s">
        <v>39</v>
      </c>
      <c r="B51">
        <f>INDEX(LINEST(Main!B26:B44,Main!$A$26:$A$44,1,1),4,1)</f>
        <v>0.64613948658300979</v>
      </c>
      <c r="C51">
        <f>INDEX(LINEST(Main!C26:C44,Main!$A$26:$A$44,1,1),4,1)</f>
        <v>18.548805960225128</v>
      </c>
    </row>
    <row r="52" spans="1:5" ht="15.75" x14ac:dyDescent="0.25">
      <c r="A52" s="21" t="s">
        <v>40</v>
      </c>
      <c r="B52">
        <f>FDIST(ABS(Main!B51),1,COUNT(Main!B26:B44)-2)</f>
        <v>0.43259335377192809</v>
      </c>
      <c r="C52">
        <f>FDIST(ABS(Main!C51),1,COUNT(Main!C26:C44)-2)</f>
        <v>4.7789645193514627E-4</v>
      </c>
    </row>
    <row r="53" spans="1:5" ht="15.75" x14ac:dyDescent="0.25">
      <c r="A53" s="21" t="s">
        <v>41</v>
      </c>
      <c r="B53">
        <f>INDEX(LINEST(Main!B26:B44,Main!$A$26:$A$44,1,1),2,1)</f>
        <v>4.998014198384558E-2</v>
      </c>
      <c r="C53">
        <f>INDEX(LINEST(Main!C26:C44,Main!$A$26:$A$44,1,1),2,1)</f>
        <v>0.43680084643998884</v>
      </c>
      <c r="E53" s="2" cm="1">
        <f t="array" aca="1" ref="E53" ca="1">_xll.NORM(0, C56)</f>
        <v>-2.7788624286618542</v>
      </c>
    </row>
    <row r="54" spans="1:5" ht="15.75" x14ac:dyDescent="0.25">
      <c r="A54" s="21" t="s">
        <v>42</v>
      </c>
      <c r="B54">
        <f>Main!B49/Main!B53</f>
        <v>0.8038280205261642</v>
      </c>
      <c r="C54">
        <f>Main!C49/Main!C53</f>
        <v>4.30683247413051</v>
      </c>
    </row>
    <row r="55" spans="1:5" ht="15.75" x14ac:dyDescent="0.25">
      <c r="A55" s="21" t="s">
        <v>43</v>
      </c>
      <c r="B55">
        <f>TDIST(ABS(Main!B54),COUNT(Main!B26:B44)-1,2)</f>
        <v>0.43198447740993939</v>
      </c>
      <c r="C55">
        <f>TDIST(ABS(Main!C54),COUNT(Main!C26:C44)-1,2)</f>
        <v>4.2461663062075402E-4</v>
      </c>
    </row>
    <row r="56" spans="1:5" ht="15.75" x14ac:dyDescent="0.25">
      <c r="A56" s="21" t="s">
        <v>44</v>
      </c>
      <c r="B56">
        <f>STDEV(Main!B58:B76)</f>
        <v>1.1596398244356536</v>
      </c>
      <c r="C56">
        <f>STDEV(Main!C58:C76)</f>
        <v>10.134658221714011</v>
      </c>
    </row>
    <row r="57" spans="1:5" ht="15.75" x14ac:dyDescent="0.25">
      <c r="A57" s="21"/>
      <c r="B57" t="str">
        <f>B25</f>
        <v>Corn price</v>
      </c>
      <c r="C57" t="str">
        <f>C25</f>
        <v>Corn yield</v>
      </c>
    </row>
    <row r="58" spans="1:5" ht="15.75" x14ac:dyDescent="0.25">
      <c r="A58" s="21" t="s">
        <v>45</v>
      </c>
      <c r="B58">
        <f>Main!B26-Main!B48-Main!B49*Main!$A$26</f>
        <v>-1.0794736842105266</v>
      </c>
      <c r="C58">
        <f>Main!C26-Main!C48-Main!C49*Main!$A$26</f>
        <v>4.3942105263158737</v>
      </c>
    </row>
    <row r="59" spans="1:5" ht="15.75" x14ac:dyDescent="0.25">
      <c r="A59" s="21" t="s">
        <v>46</v>
      </c>
      <c r="B59">
        <f>Main!B27-Main!B48-Main!B49*Main!$A$27</f>
        <v>4.0350877192992129E-2</v>
      </c>
      <c r="C59">
        <f>Main!C27-Main!C48-Main!C49*Main!$A$27</f>
        <v>1.812982456140162</v>
      </c>
    </row>
    <row r="60" spans="1:5" ht="15.75" x14ac:dyDescent="0.25">
      <c r="A60" s="21" t="s">
        <v>47</v>
      </c>
      <c r="B60">
        <f>Main!B28-Main!B48-Main!B49*Main!$A$28</f>
        <v>-0.13982456140350052</v>
      </c>
      <c r="C60">
        <f>Main!C28-Main!C48-Main!C49*Main!$A$28</f>
        <v>2.5317543859650868</v>
      </c>
    </row>
    <row r="61" spans="1:5" ht="15.75" x14ac:dyDescent="0.25">
      <c r="A61" s="21" t="s">
        <v>48</v>
      </c>
      <c r="B61">
        <f>Main!B29-Main!B48-Main!B49*Main!$A$29</f>
        <v>-0.68999999999999773</v>
      </c>
      <c r="C61">
        <f>Main!C29-Main!C48-Main!C49*Main!$A$29</f>
        <v>11.750526315789557</v>
      </c>
    </row>
    <row r="62" spans="1:5" ht="15.75" x14ac:dyDescent="0.25">
      <c r="A62" s="21" t="s">
        <v>49</v>
      </c>
      <c r="B62">
        <f>Main!B30-Main!B48-Main!B49*Main!$A$30</f>
        <v>0.89982456140350564</v>
      </c>
      <c r="C62">
        <f>Main!C30-Main!C48-Main!C49*Main!$A$30</f>
        <v>-1.9307017543860638</v>
      </c>
    </row>
    <row r="63" spans="1:5" ht="15.75" x14ac:dyDescent="0.25">
      <c r="A63" s="21" t="s">
        <v>50</v>
      </c>
      <c r="B63">
        <f>Main!B31-Main!B48-Main!B49*Main!$A$31</f>
        <v>1.8796491228070238</v>
      </c>
      <c r="C63">
        <f>Main!C31-Main!C48-Main!C49*Main!$A$31</f>
        <v>-9.6119298245612299</v>
      </c>
    </row>
    <row r="64" spans="1:5" ht="15.75" x14ac:dyDescent="0.25">
      <c r="A64" s="21" t="s">
        <v>51</v>
      </c>
      <c r="B64">
        <f>Main!B32-Main!B48-Main!B49*Main!$A$32</f>
        <v>2.5894736842105317</v>
      </c>
      <c r="C64">
        <f>Main!C32-Main!C48-Main!C49*Main!$A$32</f>
        <v>-35.193157894736942</v>
      </c>
    </row>
    <row r="65" spans="1:4" ht="15.75" x14ac:dyDescent="0.25">
      <c r="A65" s="21" t="s">
        <v>52</v>
      </c>
      <c r="B65">
        <f>Main!B33-Main!B48-Main!B49*Main!$A$33</f>
        <v>5.929824561403052E-2</v>
      </c>
      <c r="C65">
        <f>Main!C33-Main!C48-Main!C49*Main!$A$33</f>
        <v>-2.0743859649123806</v>
      </c>
    </row>
    <row r="66" spans="1:4" ht="15.75" x14ac:dyDescent="0.25">
      <c r="A66" s="21" t="s">
        <v>53</v>
      </c>
      <c r="B66">
        <f>Main!B34-Main!B48-Main!B49*Main!$A$34</f>
        <v>-0.74087719298245247</v>
      </c>
      <c r="C66">
        <f>Main!C34-Main!C48-Main!C49*Main!$A$34</f>
        <v>8.9443859649122714</v>
      </c>
    </row>
    <row r="67" spans="1:4" ht="15.75" x14ac:dyDescent="0.25">
      <c r="A67" s="21" t="s">
        <v>54</v>
      </c>
      <c r="B67">
        <f>Main!B35-Main!B48-Main!B49*Main!$A$35</f>
        <v>-0.87105263157894797</v>
      </c>
      <c r="C67">
        <f>Main!C35-Main!C48-Main!C49*Main!$A$35</f>
        <v>4.4631578947369235</v>
      </c>
    </row>
    <row r="68" spans="1:4" ht="15.75" x14ac:dyDescent="0.25">
      <c r="A68" s="21" t="s">
        <v>55</v>
      </c>
      <c r="B68">
        <f>Main!B36-Main!B48-Main!B49*Main!$A$36</f>
        <v>-1.1612280701754401</v>
      </c>
      <c r="C68">
        <f>Main!C36-Main!C48-Main!C49*Main!$A$36</f>
        <v>8.7819298245613027</v>
      </c>
    </row>
    <row r="69" spans="1:4" ht="15.75" x14ac:dyDescent="0.25">
      <c r="A69" s="21" t="s">
        <v>56</v>
      </c>
      <c r="B69">
        <f>Main!B37-Main!B48-Main!B49*Main!$A$37</f>
        <v>-1.2014035087719321</v>
      </c>
      <c r="C69">
        <f>Main!C37-Main!C48-Main!C49*Main!$A$37</f>
        <v>8.9007017543858638</v>
      </c>
    </row>
    <row r="70" spans="1:4" ht="15.75" x14ac:dyDescent="0.25">
      <c r="A70" s="21" t="s">
        <v>57</v>
      </c>
      <c r="B70">
        <f>Main!B38-Main!B48-Main!B49*Main!$A$38</f>
        <v>-0.99157894736842422</v>
      </c>
      <c r="C70">
        <f>Main!C38-Main!C48-Main!C49*Main!$A$38</f>
        <v>6.8194736842106067</v>
      </c>
    </row>
    <row r="71" spans="1:4" ht="15.75" x14ac:dyDescent="0.25">
      <c r="A71" s="21" t="s">
        <v>58</v>
      </c>
      <c r="B71">
        <f>Main!B39-Main!B48-Main!B49*Main!$A$39</f>
        <v>-1.0817543859649135</v>
      </c>
      <c r="C71">
        <f>Main!C39-Main!C48-Main!C49*Main!$A$39</f>
        <v>-3.9617543859649231</v>
      </c>
    </row>
    <row r="72" spans="1:4" ht="15.75" x14ac:dyDescent="0.25">
      <c r="A72" s="21" t="s">
        <v>59</v>
      </c>
      <c r="B72">
        <f>Main!B40-Main!B48-Main!B49*Main!$A$40</f>
        <v>-0.15192982456140669</v>
      </c>
      <c r="C72">
        <f>Main!C40-Main!C48-Main!C49*Main!$A$40</f>
        <v>-1.9429824561402711</v>
      </c>
    </row>
    <row r="73" spans="1:4" ht="15.75" x14ac:dyDescent="0.25">
      <c r="A73" s="21" t="s">
        <v>60</v>
      </c>
      <c r="B73">
        <f>Main!B41-Main!B48-Main!B49*Main!$A$41</f>
        <v>1.2778947368421001</v>
      </c>
      <c r="C73">
        <f>Main!C41-Main!C48-Main!C49*Main!$A$41</f>
        <v>1.4757894736840171</v>
      </c>
    </row>
    <row r="74" spans="1:4" ht="15.75" x14ac:dyDescent="0.25">
      <c r="A74" s="21" t="s">
        <v>61</v>
      </c>
      <c r="B74">
        <f>Main!B42-Main!B48-Main!B49*Main!$A$42</f>
        <v>1.8377192982456023</v>
      </c>
      <c r="C74">
        <f>Main!C42-Main!C48-Main!C49*Main!$A$42</f>
        <v>-3.805438596491058</v>
      </c>
    </row>
    <row r="75" spans="1:4" ht="15.75" x14ac:dyDescent="0.25">
      <c r="A75" s="21" t="s">
        <v>62</v>
      </c>
      <c r="B75">
        <f>Main!B43-Main!B48-Main!B49*Main!$A$43</f>
        <v>-2.2456140350882947E-2</v>
      </c>
      <c r="C75">
        <f>Main!C43-Main!C48-Main!C49*Main!$A$43</f>
        <v>-1.8866666666667697</v>
      </c>
    </row>
    <row r="76" spans="1:4" ht="15.75" x14ac:dyDescent="0.25">
      <c r="A76" s="21" t="s">
        <v>63</v>
      </c>
      <c r="B76">
        <f>Main!B44-Main!B48-Main!B49*Main!$A$44</f>
        <v>-0.45263157894736139</v>
      </c>
      <c r="C76">
        <f>Main!C44-Main!C48-Main!C49*Main!$A$44</f>
        <v>0.53210526315797324</v>
      </c>
    </row>
    <row r="77" spans="1:4" ht="15.75" x14ac:dyDescent="0.25">
      <c r="A77" s="21"/>
      <c r="B77"/>
    </row>
    <row r="78" spans="1:4" ht="15.75" x14ac:dyDescent="0.25">
      <c r="A78" s="16" t="s">
        <v>26</v>
      </c>
      <c r="B78" s="12"/>
      <c r="C78" s="12"/>
    </row>
    <row r="79" spans="1:4" ht="15.75" x14ac:dyDescent="0.25">
      <c r="A79" s="6"/>
    </row>
    <row r="80" spans="1:4" ht="15.75" x14ac:dyDescent="0.25">
      <c r="A80" s="21" t="str">
        <f>"Test for Normality of Distribution"&amp;" for "&amp;Main!$B$57</f>
        <v>Test for Normality of Distribution for Corn price</v>
      </c>
      <c r="B80"/>
      <c r="C80"/>
      <c r="D80"/>
    </row>
    <row r="81" spans="1:7" ht="15.75" x14ac:dyDescent="0.25">
      <c r="A81" t="s">
        <v>64</v>
      </c>
      <c r="B81"/>
      <c r="C81" s="22">
        <v>0.95</v>
      </c>
      <c r="D81" t="s">
        <v>79</v>
      </c>
    </row>
    <row r="82" spans="1:7" ht="15.75" x14ac:dyDescent="0.25">
      <c r="A82" s="23" t="s">
        <v>65</v>
      </c>
      <c r="B82" s="23" t="s">
        <v>66</v>
      </c>
      <c r="C82" s="23" t="s">
        <v>67</v>
      </c>
      <c r="D82"/>
    </row>
    <row r="83" spans="1:7" ht="15.75" x14ac:dyDescent="0.25">
      <c r="A83" t="s">
        <v>68</v>
      </c>
      <c r="B83">
        <f t="array" ref="B83:C83">_xll.NORMSW(Main!$B$58:$B$76)</f>
        <v>0.87022814238904078</v>
      </c>
      <c r="C83">
        <v>1.4571787614894416E-2</v>
      </c>
      <c r="D83" s="24" t="str">
        <f>IF(ISNUMBER($C$83),IF(1-$C$81&gt;$C$83,"","Fail to ")&amp;"Reject the Ho that the Distribution is Normally Distributed*","Consult Critical Value Table")</f>
        <v>Reject the Ho that the Distribution is Normally Distributed*</v>
      </c>
      <c r="G83" s="2" t="s">
        <v>74</v>
      </c>
    </row>
    <row r="84" spans="1:7" ht="15.75" x14ac:dyDescent="0.25">
      <c r="A84" t="s">
        <v>69</v>
      </c>
      <c r="B84">
        <f t="array" ref="B84:C84">_xll.NORMAD(Main!$B$58:$B$76)</f>
        <v>0.92110901870505657</v>
      </c>
      <c r="C84">
        <v>1.5176503643192753E-2</v>
      </c>
      <c r="D84" s="24" t="str">
        <f>IF(ISNUMBER($C$84),IF(1-$C$81&gt;$C$84,"","Fail to ")&amp;"Reject the Ho that the Distribution is Normally Distributed*","Consult Critical Value Table")</f>
        <v>Reject the Ho that the Distribution is Normally Distributed*</v>
      </c>
      <c r="G84" s="2" t="s">
        <v>75</v>
      </c>
    </row>
    <row r="85" spans="1:7" ht="15.75" x14ac:dyDescent="0.25">
      <c r="A85" t="s">
        <v>70</v>
      </c>
      <c r="B85">
        <f t="array" ref="B85:C85">_xll.NORMCVM(Main!$B$58:$B$76)</f>
        <v>0.15584563465831608</v>
      </c>
      <c r="C85">
        <v>1.7639428740747271E-2</v>
      </c>
      <c r="D85" s="24" t="str">
        <f>IF(ISNUMBER($C$85),IF(1-$C$81&gt;$C$85,"","Fail to ")&amp;"Reject the Ho that the Distribution is Normally Distributed*","Consult Critical Value Table")</f>
        <v>Reject the Ho that the Distribution is Normally Distributed*</v>
      </c>
      <c r="G85" s="2" t="s">
        <v>76</v>
      </c>
    </row>
    <row r="86" spans="1:7" ht="15.75" x14ac:dyDescent="0.25">
      <c r="A86" t="s">
        <v>71</v>
      </c>
      <c r="B86">
        <f t="array" ref="B86:C86">_xll.NORMKS(Main!$B$58:$B$76,FALSE)</f>
        <v>0.21645098817741248</v>
      </c>
      <c r="C86" t="str">
        <v>NA</v>
      </c>
      <c r="D86" s="24" t="str">
        <f>IF(ISNUMBER($C$86),IF(1-$C$81&gt;$C$86,"","Fail to ")&amp;"Reject the Ho that the Distribution is Normally Distributed*","Consult Critical Value Table")</f>
        <v>Consult Critical Value Table</v>
      </c>
      <c r="G86" s="2" t="s">
        <v>77</v>
      </c>
    </row>
    <row r="87" spans="1:7" ht="15.75" x14ac:dyDescent="0.25">
      <c r="A87" t="s">
        <v>72</v>
      </c>
      <c r="B87">
        <f t="array" ref="B87:C87">_xll.NORMCHI(Main!$B$58:$B$76,10)</f>
        <v>10.157894736842104</v>
      </c>
      <c r="C87">
        <v>0.3378547016814113</v>
      </c>
      <c r="D87" s="24" t="str">
        <f>IF(ISNUMBER($C$87),IF(1-$C$81&gt;$C$87,"","Fail to ")&amp;"Reject the Ho that the Distribution is Normally Distributed*","Consult Critical Value Table")</f>
        <v>Fail to Reject the Ho that the Distribution is Normally Distributed*</v>
      </c>
      <c r="G87" s="2" t="s">
        <v>78</v>
      </c>
    </row>
    <row r="88" spans="1:7" ht="15.75" x14ac:dyDescent="0.25">
      <c r="A88"/>
      <c r="B88"/>
      <c r="C88"/>
      <c r="D88" s="25" t="s">
        <v>73</v>
      </c>
    </row>
    <row r="90" spans="1:7" ht="15.75" x14ac:dyDescent="0.25">
      <c r="A90" s="21" t="str">
        <f>"Test for Normality of Distribution"&amp;" for "&amp;Main!$C$57</f>
        <v>Test for Normality of Distribution for Corn yield</v>
      </c>
      <c r="B90"/>
      <c r="C90"/>
      <c r="D90"/>
    </row>
    <row r="91" spans="1:7" ht="15.75" x14ac:dyDescent="0.25">
      <c r="A91" t="s">
        <v>64</v>
      </c>
      <c r="B91"/>
      <c r="C91" s="22">
        <v>0.95</v>
      </c>
      <c r="D91"/>
    </row>
    <row r="92" spans="1:7" ht="15.75" x14ac:dyDescent="0.25">
      <c r="A92" s="23" t="s">
        <v>65</v>
      </c>
      <c r="B92" s="23" t="s">
        <v>66</v>
      </c>
      <c r="C92" s="23" t="s">
        <v>67</v>
      </c>
      <c r="D92"/>
    </row>
    <row r="93" spans="1:7" ht="15.75" x14ac:dyDescent="0.25">
      <c r="A93" t="s">
        <v>68</v>
      </c>
      <c r="B93">
        <f t="array" ref="B93:C93">_xll.NORMSW(Main!$C$58:$C$76)</f>
        <v>0.76570835620836886</v>
      </c>
      <c r="C93">
        <v>3.7832153993677675E-4</v>
      </c>
      <c r="D93" s="24" t="str">
        <f>IF(ISNUMBER($C$93),IF(1-$C$91&gt;$C$93,"","Fail to ")&amp;"Reject the Ho that the Distribution is Normally Distributed*","Consult Critical Value Table")</f>
        <v>Reject the Ho that the Distribution is Normally Distributed*</v>
      </c>
    </row>
    <row r="94" spans="1:7" ht="15.75" x14ac:dyDescent="0.25">
      <c r="A94" t="s">
        <v>69</v>
      </c>
      <c r="B94">
        <f t="array" ref="B94:C94">_xll.NORMAD(Main!$C$58:$C$76)</f>
        <v>1.2367847646899008</v>
      </c>
      <c r="C94">
        <v>2.3373990665835624E-3</v>
      </c>
      <c r="D94" s="24" t="str">
        <f>IF(ISNUMBER($C$94),IF(1-$C$91&gt;$C$94,"","Fail to ")&amp;"Reject the Ho that the Distribution is Normally Distributed*","Consult Critical Value Table")</f>
        <v>Reject the Ho that the Distribution is Normally Distributed*</v>
      </c>
    </row>
    <row r="95" spans="1:7" ht="15.75" x14ac:dyDescent="0.25">
      <c r="A95" t="s">
        <v>70</v>
      </c>
      <c r="B95">
        <f t="array" ref="B95:C95">_xll.NORMCVM(Main!$C$58:$C$76)</f>
        <v>0.1841169070201697</v>
      </c>
      <c r="C95">
        <v>7.4372669586190493E-3</v>
      </c>
      <c r="D95" s="24" t="str">
        <f>IF(ISNUMBER($C$95),IF(1-$C$91&gt;$C$95,"","Fail to ")&amp;"Reject the Ho that the Distribution is Normally Distributed*","Consult Critical Value Table")</f>
        <v>Reject the Ho that the Distribution is Normally Distributed*</v>
      </c>
    </row>
    <row r="96" spans="1:7" ht="15.75" x14ac:dyDescent="0.25">
      <c r="A96" t="s">
        <v>71</v>
      </c>
      <c r="B96">
        <f t="array" ref="B96:C96">_xll.NORMKS(Main!$C$58:$C$76,FALSE)</f>
        <v>0.24266821918449233</v>
      </c>
      <c r="C96" t="str">
        <v>NA</v>
      </c>
      <c r="D96" s="24" t="str">
        <f>IF(ISNUMBER($C$96),IF(1-$C$91&gt;$C$96,"","Fail to ")&amp;"Reject the Ho that the Distribution is Normally Distributed*","Consult Critical Value Table")</f>
        <v>Consult Critical Value Table</v>
      </c>
    </row>
    <row r="97" spans="1:16" ht="15.75" x14ac:dyDescent="0.25">
      <c r="A97" t="s">
        <v>72</v>
      </c>
      <c r="B97">
        <f t="array" ref="B97:C97">_xll.NORMCHI(Main!$C$58:$C$76,10)</f>
        <v>8.8947368421052637</v>
      </c>
      <c r="C97">
        <v>0.44704719175044227</v>
      </c>
      <c r="D97" s="24" t="str">
        <f>IF(ISNUMBER($C$97),IF(1-$C$91&gt;$C$97,"","Fail to ")&amp;"Reject the Ho that the Distribution is Normally Distributed*","Consult Critical Value Table")</f>
        <v>Fail to Reject the Ho that the Distribution is Normally Distributed*</v>
      </c>
    </row>
    <row r="98" spans="1:16" ht="15.75" x14ac:dyDescent="0.25">
      <c r="A98"/>
      <c r="B98"/>
      <c r="C98"/>
      <c r="D98" s="25" t="s">
        <v>73</v>
      </c>
      <c r="O98" s="6"/>
    </row>
    <row r="100" spans="1:16" ht="15.75" x14ac:dyDescent="0.25">
      <c r="E100" s="2" t="s">
        <v>82</v>
      </c>
      <c r="F100" s="2" t="s">
        <v>83</v>
      </c>
      <c r="G100" s="2" t="s">
        <v>84</v>
      </c>
      <c r="H100" s="2" t="s">
        <v>85</v>
      </c>
      <c r="O100" s="6"/>
    </row>
    <row r="101" spans="1:16" ht="15.75" x14ac:dyDescent="0.25">
      <c r="A101" s="16" t="s">
        <v>6</v>
      </c>
      <c r="B101" s="12"/>
      <c r="C101" s="12"/>
    </row>
    <row r="102" spans="1:16" ht="15.75" x14ac:dyDescent="0.25">
      <c r="A102" s="4"/>
      <c r="B102" s="4" t="s">
        <v>8</v>
      </c>
      <c r="C102" s="4" t="s">
        <v>80</v>
      </c>
      <c r="D102" s="4" t="s">
        <v>81</v>
      </c>
      <c r="P102" s="11"/>
    </row>
    <row r="103" spans="1:16" ht="15.75" x14ac:dyDescent="0.25">
      <c r="A103" s="4" t="s">
        <v>0</v>
      </c>
      <c r="B103" s="8"/>
      <c r="C103" s="1"/>
      <c r="D103" s="8"/>
      <c r="P103" s="11"/>
    </row>
    <row r="104" spans="1:16" x14ac:dyDescent="0.2">
      <c r="A104" s="3">
        <f>A44+1</f>
        <v>2025</v>
      </c>
      <c r="B104" s="5">
        <v>3.9</v>
      </c>
      <c r="C104" s="1" cm="1">
        <f t="array" aca="1" ref="C104" ca="1">_xll.EMPIRICAL($B$58:$B$76)</f>
        <v>-0.11720549466316608</v>
      </c>
      <c r="D104" s="8">
        <f ca="1">B104+C104</f>
        <v>3.7827945053368337</v>
      </c>
      <c r="E104" s="2" t="str" cm="1">
        <f t="array" aca="1" ref="E104" ca="1">_xll.VFORMULA(D104)</f>
        <v>=B104+C104</v>
      </c>
      <c r="P104" s="11"/>
    </row>
    <row r="105" spans="1:16" x14ac:dyDescent="0.2">
      <c r="A105" s="3">
        <f>A104+1</f>
        <v>2026</v>
      </c>
      <c r="B105" s="5">
        <v>4</v>
      </c>
      <c r="C105" s="1" cm="1">
        <f t="array" aca="1" ref="C105" ca="1">_xll.EMPIRICAL($B$58:$B$76)</f>
        <v>2.0162085817575948E-2</v>
      </c>
      <c r="D105" s="8">
        <f t="shared" ref="D105:D108" ca="1" si="17">B105+C105</f>
        <v>4.0201620858175762</v>
      </c>
      <c r="P105" s="11"/>
    </row>
    <row r="106" spans="1:16" x14ac:dyDescent="0.2">
      <c r="A106" s="3">
        <f t="shared" ref="A106:A108" si="18">A105+1</f>
        <v>2027</v>
      </c>
      <c r="B106" s="5">
        <v>4.0999999999999996</v>
      </c>
      <c r="C106" s="1" cm="1">
        <f t="array" aca="1" ref="C106" ca="1">_xll.EMPIRICAL($B$58:$B$76)</f>
        <v>-0.60243562397203554</v>
      </c>
      <c r="D106" s="8">
        <f t="shared" ca="1" si="17"/>
        <v>3.497564376027964</v>
      </c>
      <c r="P106" s="11"/>
    </row>
    <row r="107" spans="1:16" x14ac:dyDescent="0.2">
      <c r="A107" s="3">
        <f t="shared" si="18"/>
        <v>2028</v>
      </c>
      <c r="B107" s="5">
        <v>4.2</v>
      </c>
      <c r="C107" s="1" cm="1">
        <f t="array" aca="1" ref="C107" ca="1">_xll.EMPIRICAL($B$58:$B$76)</f>
        <v>-1.1811858274225622</v>
      </c>
      <c r="D107" s="8">
        <f t="shared" ca="1" si="17"/>
        <v>3.018814172577438</v>
      </c>
      <c r="P107" s="11"/>
    </row>
    <row r="108" spans="1:16" x14ac:dyDescent="0.2">
      <c r="A108" s="3">
        <f t="shared" si="18"/>
        <v>2029</v>
      </c>
      <c r="B108" s="5">
        <v>4.3</v>
      </c>
      <c r="C108" s="1" cm="1">
        <f t="array" aca="1" ref="C108" ca="1">_xll.EMPIRICAL($B$58:$B$76)</f>
        <v>-0.15142740885416939</v>
      </c>
      <c r="D108" s="8">
        <f t="shared" ca="1" si="17"/>
        <v>4.1485725911458307</v>
      </c>
      <c r="P108" s="11"/>
    </row>
    <row r="109" spans="1:16" x14ac:dyDescent="0.2">
      <c r="C109" s="2" t="str" cm="1">
        <f t="array" aca="1" ref="C109" ca="1">_xll.VFORMULA(C108)</f>
        <v>=EMPIRICAL($B$58:$B$76)</v>
      </c>
      <c r="P109" s="11"/>
    </row>
    <row r="110" spans="1:16" x14ac:dyDescent="0.2">
      <c r="P110" s="11"/>
    </row>
    <row r="111" spans="1:16" ht="15.75" x14ac:dyDescent="0.25">
      <c r="A111" s="16" t="s">
        <v>7</v>
      </c>
      <c r="B111" s="12"/>
      <c r="C111" s="12"/>
      <c r="P111" s="11"/>
    </row>
    <row r="112" spans="1:16" x14ac:dyDescent="0.2">
      <c r="P112" s="11"/>
    </row>
    <row r="113" spans="1:16" ht="15.75" x14ac:dyDescent="0.25">
      <c r="A113" s="21" t="s">
        <v>86</v>
      </c>
      <c r="B113"/>
      <c r="C113"/>
      <c r="P113" s="11"/>
    </row>
    <row r="114" spans="1:16" ht="15.75" x14ac:dyDescent="0.25">
      <c r="A114"/>
      <c r="B114"/>
      <c r="C114"/>
      <c r="P114" s="11"/>
    </row>
    <row r="115" spans="1:16" ht="15.75" x14ac:dyDescent="0.25">
      <c r="A115" s="21" t="s">
        <v>87</v>
      </c>
      <c r="B115"/>
      <c r="C115"/>
      <c r="P115" s="11"/>
    </row>
    <row r="116" spans="1:16" ht="15.75" x14ac:dyDescent="0.25">
      <c r="A116" s="23" t="s">
        <v>88</v>
      </c>
      <c r="B116" s="23" t="s">
        <v>89</v>
      </c>
      <c r="C116" s="23" t="str">
        <f>C57</f>
        <v>Corn yield</v>
      </c>
      <c r="P116" s="11"/>
    </row>
    <row r="117" spans="1:16" ht="15.75" x14ac:dyDescent="0.25">
      <c r="A117" t="s">
        <v>82</v>
      </c>
      <c r="B117" s="26" t="s">
        <v>90</v>
      </c>
      <c r="C117">
        <f t="array" ref="C117:C118">_xll.MOMBETA(C58:C76,MIN(C58:C76)*(1-SIGN(MIN(C58:C76))*0.01),MAX(C58:C76)*(1+SIGN(MAX(C58:C76))*0.01))</f>
        <v>2.3293924346923207</v>
      </c>
      <c r="P117" s="11"/>
    </row>
    <row r="118" spans="1:16" ht="15.75" x14ac:dyDescent="0.25">
      <c r="A118"/>
      <c r="B118" s="26" t="s">
        <v>91</v>
      </c>
      <c r="C118">
        <v>0.77775308443538638</v>
      </c>
      <c r="E118" s="11"/>
      <c r="P118" s="11"/>
    </row>
    <row r="119" spans="1:16" ht="15.75" x14ac:dyDescent="0.25">
      <c r="B119" s="2" t="s">
        <v>92</v>
      </c>
      <c r="C119" s="2">
        <f>MIN(C58:C76)</f>
        <v>-35.193157894736942</v>
      </c>
      <c r="D119" s="2" t="str" cm="1">
        <f t="array" aca="1" ref="D119" ca="1">_xll.VFORMULA(C119)</f>
        <v>=MIN(C58:C76)</v>
      </c>
      <c r="E119" s="11"/>
      <c r="J119"/>
      <c r="K119" s="26"/>
      <c r="L119"/>
      <c r="P119" s="11"/>
    </row>
    <row r="120" spans="1:16" ht="15.75" x14ac:dyDescent="0.25">
      <c r="A120" s="6"/>
      <c r="B120" s="27" t="s">
        <v>93</v>
      </c>
      <c r="C120" s="2">
        <f>MAX(C58:C76)</f>
        <v>11.750526315789557</v>
      </c>
      <c r="D120" s="2" t="str" cm="1">
        <f t="array" aca="1" ref="D120" ca="1">_xll.VFORMULA(C120)</f>
        <v>=MAX(C58:C76)</v>
      </c>
      <c r="E120" s="11"/>
      <c r="J120"/>
      <c r="K120" s="26"/>
      <c r="L120"/>
      <c r="P120" s="11"/>
    </row>
    <row r="121" spans="1:16" ht="15.75" x14ac:dyDescent="0.25">
      <c r="A121" s="6"/>
      <c r="D121" s="2" t="s">
        <v>96</v>
      </c>
      <c r="E121" s="11"/>
      <c r="J121"/>
      <c r="K121" s="26"/>
      <c r="L121"/>
      <c r="P121" s="11"/>
    </row>
    <row r="122" spans="1:16" ht="15.75" x14ac:dyDescent="0.25">
      <c r="E122" s="11"/>
      <c r="J122"/>
      <c r="K122" s="26"/>
      <c r="L122"/>
      <c r="P122" s="11"/>
    </row>
    <row r="123" spans="1:16" ht="15.75" x14ac:dyDescent="0.25">
      <c r="A123" s="4" t="str">
        <f>A103</f>
        <v>Year</v>
      </c>
      <c r="B123" s="4" t="s">
        <v>8</v>
      </c>
      <c r="C123" s="4" t="s">
        <v>80</v>
      </c>
      <c r="D123" s="6" t="s">
        <v>94</v>
      </c>
      <c r="E123" s="8" t="s">
        <v>95</v>
      </c>
      <c r="J123"/>
      <c r="K123" s="26"/>
      <c r="L123"/>
      <c r="P123" s="11"/>
    </row>
    <row r="124" spans="1:16" ht="15.75" x14ac:dyDescent="0.25">
      <c r="A124" s="4">
        <f t="shared" ref="A124:A128" si="19">A104</f>
        <v>2025</v>
      </c>
      <c r="B124" s="10">
        <f>$C$48+$C$49*A124</f>
        <v>182.74912280701756</v>
      </c>
      <c r="C124" s="5">
        <f ca="1">_xlfn.BETA.INV(E124,$C$117,$C$118,$C$119,$C$120)</f>
        <v>11.522311379117596</v>
      </c>
      <c r="D124" s="8">
        <f ca="1">B124+C124</f>
        <v>194.27143418613514</v>
      </c>
      <c r="E124" s="1" cm="1">
        <f t="array" aca="1" ref="E124" ca="1">_xll.UNIFORM()</f>
        <v>0.96812807116657495</v>
      </c>
      <c r="F124" s="2" t="str" cm="1">
        <f t="array" aca="1" ref="F124" ca="1">_xll.VFORMULA(E124)</f>
        <v>=UNIFORM()</v>
      </c>
      <c r="J124"/>
      <c r="K124" s="26"/>
      <c r="L124"/>
      <c r="P124" s="11"/>
    </row>
    <row r="125" spans="1:16" ht="15.75" x14ac:dyDescent="0.25">
      <c r="A125" s="4">
        <f t="shared" si="19"/>
        <v>2026</v>
      </c>
      <c r="B125" s="10">
        <f t="shared" ref="B125:B129" si="20">$C$48+$C$49*A125</f>
        <v>184.630350877193</v>
      </c>
      <c r="C125" s="5">
        <f t="shared" ref="C125:C128" ca="1" si="21">_xlfn.BETA.INV(E125,$C$117,$C$118,$C$119,$C$120)</f>
        <v>2.8719738329981155</v>
      </c>
      <c r="D125" s="8">
        <f t="shared" ref="D125:D128" ca="1" si="22">B125+C125</f>
        <v>187.50232471019112</v>
      </c>
      <c r="E125" s="1" cm="1">
        <f t="array" aca="1" ref="E125" ca="1">_xll.UNIFORM()</f>
        <v>0.50823453068733215</v>
      </c>
      <c r="J125"/>
      <c r="K125" s="26"/>
      <c r="L125"/>
      <c r="P125" s="11"/>
    </row>
    <row r="126" spans="1:16" ht="15.75" x14ac:dyDescent="0.25">
      <c r="A126" s="4">
        <f t="shared" si="19"/>
        <v>2027</v>
      </c>
      <c r="B126" s="10">
        <f t="shared" si="20"/>
        <v>186.51157894736843</v>
      </c>
      <c r="C126" s="5">
        <f t="shared" ca="1" si="21"/>
        <v>10.164762704703037</v>
      </c>
      <c r="D126" s="8">
        <f t="shared" ca="1" si="22"/>
        <v>196.67634165207147</v>
      </c>
      <c r="E126" s="1" cm="1">
        <f t="array" aca="1" ref="E126" ca="1">_xll.UNIFORM()</f>
        <v>0.85847367998212576</v>
      </c>
      <c r="J126"/>
      <c r="K126" s="26"/>
      <c r="L126"/>
      <c r="P126" s="11"/>
    </row>
    <row r="127" spans="1:16" ht="15.75" x14ac:dyDescent="0.25">
      <c r="A127" s="4">
        <f t="shared" si="19"/>
        <v>2028</v>
      </c>
      <c r="B127" s="10">
        <f t="shared" si="20"/>
        <v>188.39280701754387</v>
      </c>
      <c r="C127" s="5">
        <f t="shared" ca="1" si="21"/>
        <v>-20.860830875583588</v>
      </c>
      <c r="D127" s="8">
        <f t="shared" ca="1" si="22"/>
        <v>167.53197614196029</v>
      </c>
      <c r="E127" s="1" cm="1">
        <f t="array" aca="1" ref="E127" ca="1">_xll.UNIFORM()</f>
        <v>4.4743293896317482E-2</v>
      </c>
      <c r="J127"/>
      <c r="K127" s="26"/>
      <c r="L127"/>
      <c r="P127" s="11"/>
    </row>
    <row r="128" spans="1:16" ht="15.75" x14ac:dyDescent="0.25">
      <c r="A128" s="4">
        <f t="shared" si="19"/>
        <v>2029</v>
      </c>
      <c r="B128" s="10">
        <f t="shared" si="20"/>
        <v>190.27403508771931</v>
      </c>
      <c r="C128" s="5">
        <f t="shared" ca="1" si="21"/>
        <v>7.1276333951754083</v>
      </c>
      <c r="D128" s="8">
        <f t="shared" ca="1" si="22"/>
        <v>197.40166848289471</v>
      </c>
      <c r="E128" s="1" cm="1">
        <f t="array" aca="1" ref="E128" ca="1">_xll.UNIFORM()</f>
        <v>0.6870393380522728</v>
      </c>
      <c r="J128"/>
      <c r="K128" s="26"/>
      <c r="L128"/>
      <c r="P128" s="11"/>
    </row>
    <row r="129" spans="1:16" ht="15.75" x14ac:dyDescent="0.25">
      <c r="C129" s="2" t="str" cm="1">
        <f t="array" aca="1" ref="C129" ca="1">_xll.VFORMULA(C128)</f>
        <v>=BETA.INV(E128,$C$117,$C$118,$C$119,$C$120)</v>
      </c>
      <c r="D129" s="2" t="str" cm="1">
        <f t="array" aca="1" ref="D129" ca="1">_xll.VFORMULA(D128)</f>
        <v>=B128+C128</v>
      </c>
      <c r="E129" s="11"/>
      <c r="J129"/>
      <c r="K129" s="26"/>
      <c r="L129"/>
      <c r="P129" s="11"/>
    </row>
    <row r="130" spans="1:16" ht="15.75" x14ac:dyDescent="0.25">
      <c r="B130" s="28" t="str" cm="1">
        <f t="array" aca="1" ref="B130" ca="1">_xll.VFORMULA(B128)</f>
        <v>=$C$48+$C$49*A128</v>
      </c>
      <c r="E130" s="11"/>
      <c r="J130"/>
      <c r="K130" s="26"/>
      <c r="L130"/>
      <c r="P130" s="11"/>
    </row>
    <row r="131" spans="1:16" ht="15.75" x14ac:dyDescent="0.25">
      <c r="E131" s="11"/>
      <c r="J131"/>
      <c r="K131" s="26"/>
      <c r="L131"/>
    </row>
    <row r="132" spans="1:16" ht="15.75" x14ac:dyDescent="0.25">
      <c r="E132" s="11"/>
      <c r="J132"/>
      <c r="K132" s="26"/>
      <c r="L132"/>
      <c r="P132" s="11"/>
    </row>
    <row r="133" spans="1:16" ht="15.75" x14ac:dyDescent="0.25">
      <c r="E133" s="11"/>
      <c r="J133"/>
      <c r="K133" s="26"/>
      <c r="L133"/>
    </row>
    <row r="134" spans="1:16" ht="15.75" x14ac:dyDescent="0.25">
      <c r="A134" s="16" t="s">
        <v>11</v>
      </c>
      <c r="B134" s="12"/>
      <c r="C134" s="12"/>
      <c r="E134" s="11"/>
      <c r="J134"/>
      <c r="K134" s="26"/>
      <c r="L134"/>
      <c r="P134" s="11"/>
    </row>
    <row r="135" spans="1:16" ht="15.75" x14ac:dyDescent="0.25">
      <c r="E135" s="11"/>
      <c r="J135"/>
      <c r="K135" s="26"/>
      <c r="L135"/>
      <c r="P135" s="11"/>
    </row>
    <row r="136" spans="1:16" ht="15.75" x14ac:dyDescent="0.25">
      <c r="A136" s="1" t="str">
        <f>F2</f>
        <v>Year</v>
      </c>
      <c r="B136" s="1" t="str">
        <f>E2</f>
        <v>Diesel ($/gallon)</v>
      </c>
      <c r="E136" s="11"/>
      <c r="J136"/>
      <c r="K136" s="26"/>
      <c r="L136"/>
    </row>
    <row r="137" spans="1:16" ht="15.75" x14ac:dyDescent="0.25">
      <c r="A137" s="1">
        <f>F3</f>
        <v>2006</v>
      </c>
      <c r="B137" s="1">
        <f>E3</f>
        <v>2.5760000000000001</v>
      </c>
      <c r="C137" s="4" t="s">
        <v>21</v>
      </c>
      <c r="E137" s="6" t="s">
        <v>12</v>
      </c>
      <c r="J137"/>
      <c r="K137" s="26"/>
      <c r="L137"/>
    </row>
    <row r="138" spans="1:16" ht="15.75" x14ac:dyDescent="0.25">
      <c r="A138" s="1">
        <f>F4</f>
        <v>2007</v>
      </c>
      <c r="B138" s="1">
        <f>E4</f>
        <v>2.8109999999999999</v>
      </c>
      <c r="C138" s="1">
        <f>B138-B137</f>
        <v>0.23499999999999988</v>
      </c>
      <c r="E138" s="1" t="s">
        <v>13</v>
      </c>
      <c r="F138" s="1" t="s">
        <v>14</v>
      </c>
      <c r="G138" s="1" t="s">
        <v>15</v>
      </c>
      <c r="J138"/>
      <c r="K138" s="26"/>
      <c r="L138"/>
    </row>
    <row r="139" spans="1:16" ht="15.75" x14ac:dyDescent="0.25">
      <c r="A139" s="1">
        <f>F5</f>
        <v>2008</v>
      </c>
      <c r="B139" s="1">
        <f>E5</f>
        <v>3.2629999999999999</v>
      </c>
      <c r="C139" s="1">
        <f t="shared" ref="C139:C155" si="23">B139-B138</f>
        <v>0.45199999999999996</v>
      </c>
      <c r="E139" s="1">
        <v>0</v>
      </c>
      <c r="F139" s="1" t="b">
        <v>1</v>
      </c>
      <c r="G139" s="2" cm="1">
        <f t="array" ref="G139">_xll.DF($B$137:$B$155,F139,,E139)</f>
        <v>-2.1977809481633082</v>
      </c>
      <c r="J139"/>
      <c r="K139" s="26"/>
      <c r="L139"/>
    </row>
    <row r="140" spans="1:16" ht="15.75" x14ac:dyDescent="0.25">
      <c r="A140" s="1">
        <f>F6</f>
        <v>2009</v>
      </c>
      <c r="B140" s="1">
        <f>E6</f>
        <v>2.3650000000000002</v>
      </c>
      <c r="C140" s="1">
        <f t="shared" si="23"/>
        <v>-0.89799999999999969</v>
      </c>
      <c r="E140" s="7">
        <v>1</v>
      </c>
      <c r="F140" s="7" t="b">
        <v>1</v>
      </c>
      <c r="G140" s="33" cm="1">
        <f t="array" ref="G140">_xll.DF($B$137:$B$155,F140,,E140)</f>
        <v>-3.5941789449332164</v>
      </c>
      <c r="I140" s="2" t="s">
        <v>121</v>
      </c>
      <c r="J140"/>
      <c r="K140" s="26"/>
      <c r="L140"/>
    </row>
    <row r="141" spans="1:16" ht="15.75" x14ac:dyDescent="0.25">
      <c r="A141" s="1">
        <f>F7</f>
        <v>2010</v>
      </c>
      <c r="B141" s="1">
        <f>E7</f>
        <v>2.7930000000000001</v>
      </c>
      <c r="C141" s="1">
        <f t="shared" si="23"/>
        <v>0.42799999999999994</v>
      </c>
      <c r="E141" s="1"/>
      <c r="F141" s="1"/>
      <c r="J141"/>
      <c r="K141" s="26"/>
      <c r="L141"/>
    </row>
    <row r="142" spans="1:16" ht="15.75" x14ac:dyDescent="0.25">
      <c r="A142" s="1">
        <f>F8</f>
        <v>2011</v>
      </c>
      <c r="B142" s="1">
        <f>E8</f>
        <v>3.528</v>
      </c>
      <c r="C142" s="1">
        <f t="shared" si="23"/>
        <v>0.73499999999999988</v>
      </c>
      <c r="E142" s="11"/>
      <c r="J142"/>
      <c r="K142" s="26"/>
      <c r="L142"/>
    </row>
    <row r="143" spans="1:16" ht="15.75" x14ac:dyDescent="0.25">
      <c r="A143" s="1">
        <f>F9</f>
        <v>2012</v>
      </c>
      <c r="B143" s="1">
        <f>E9</f>
        <v>3.61</v>
      </c>
      <c r="C143" s="1">
        <f t="shared" si="23"/>
        <v>8.1999999999999851E-2</v>
      </c>
      <c r="E143" s="11"/>
      <c r="J143"/>
      <c r="K143" s="26"/>
      <c r="L143"/>
    </row>
    <row r="144" spans="1:16" ht="15.75" x14ac:dyDescent="0.25">
      <c r="A144" s="1">
        <f>F10</f>
        <v>2013</v>
      </c>
      <c r="B144" s="1">
        <f>E10</f>
        <v>3.5110000000000001</v>
      </c>
      <c r="C144" s="1">
        <f t="shared" si="23"/>
        <v>-9.8999999999999755E-2</v>
      </c>
      <c r="E144" s="6" t="s">
        <v>16</v>
      </c>
      <c r="J144"/>
      <c r="K144" s="26"/>
      <c r="L144"/>
    </row>
    <row r="145" spans="1:12" ht="15.75" x14ac:dyDescent="0.25">
      <c r="A145" s="1">
        <f>F11</f>
        <v>2014</v>
      </c>
      <c r="B145" s="1">
        <f>E11</f>
        <v>3.3759999999999999</v>
      </c>
      <c r="C145" s="1">
        <f t="shared" si="23"/>
        <v>-0.13500000000000023</v>
      </c>
      <c r="E145" s="1" t="s">
        <v>17</v>
      </c>
      <c r="F145" s="1" t="s">
        <v>13</v>
      </c>
      <c r="G145" s="1" t="s">
        <v>18</v>
      </c>
      <c r="H145" s="7" t="s">
        <v>19</v>
      </c>
      <c r="I145" s="1" t="s">
        <v>20</v>
      </c>
      <c r="J145"/>
      <c r="K145" s="26"/>
      <c r="L145"/>
    </row>
    <row r="146" spans="1:12" ht="15.75" x14ac:dyDescent="0.25">
      <c r="A146" s="1">
        <f>F12</f>
        <v>2015</v>
      </c>
      <c r="B146" s="1">
        <f>E12</f>
        <v>2.423</v>
      </c>
      <c r="C146" s="1">
        <f t="shared" si="23"/>
        <v>-0.95299999999999985</v>
      </c>
      <c r="E146" s="1">
        <v>1</v>
      </c>
      <c r="F146" s="1">
        <v>1</v>
      </c>
      <c r="G146" s="1">
        <f t="array" ref="G146:I146">_xll.AUTOCORR($B$137:$B$155,E146,F146)</f>
        <v>3.7856238546671223E-2</v>
      </c>
      <c r="H146" s="7">
        <v>0.16061041791940076</v>
      </c>
      <c r="I146" s="1">
        <v>0.23570226039551584</v>
      </c>
      <c r="J146"/>
      <c r="K146"/>
      <c r="L146"/>
    </row>
    <row r="147" spans="1:12" ht="15.75" x14ac:dyDescent="0.25">
      <c r="A147" s="1">
        <f>F13</f>
        <v>2016</v>
      </c>
      <c r="B147" s="1">
        <f>E13</f>
        <v>2.177</v>
      </c>
      <c r="C147" s="1">
        <f t="shared" si="23"/>
        <v>-0.246</v>
      </c>
      <c r="E147" s="1">
        <v>2</v>
      </c>
      <c r="F147" s="1">
        <v>1</v>
      </c>
      <c r="G147" s="1">
        <f t="array" ref="G147:I147">_xll.AUTOCORR($B$137:$B$155,E147,F147)</f>
        <v>-0.44020222836403067</v>
      </c>
      <c r="H147" s="7">
        <v>-1.8649491480373184</v>
      </c>
      <c r="I147" s="1">
        <v>0.23603980238673083</v>
      </c>
      <c r="J147"/>
      <c r="K147" s="26"/>
      <c r="L147"/>
    </row>
    <row r="148" spans="1:12" ht="15.75" x14ac:dyDescent="0.25">
      <c r="A148" s="1">
        <f>F14</f>
        <v>2017</v>
      </c>
      <c r="B148" s="1">
        <f>E14</f>
        <v>2.448</v>
      </c>
      <c r="C148" s="1">
        <f t="shared" si="23"/>
        <v>0.27099999999999991</v>
      </c>
      <c r="E148" s="1">
        <v>3</v>
      </c>
      <c r="F148" s="1">
        <v>1</v>
      </c>
      <c r="G148" s="1">
        <f t="array" ref="G148:I148">_xll.AUTOCORR($B$137:$B$155,E148,F148)</f>
        <v>-3.0249582664694803E-2</v>
      </c>
      <c r="H148" s="7">
        <v>-0.10883843648089239</v>
      </c>
      <c r="I148" s="1">
        <v>0.27793106592454037</v>
      </c>
      <c r="J148"/>
      <c r="K148"/>
      <c r="L148"/>
    </row>
    <row r="149" spans="1:12" ht="15.75" x14ac:dyDescent="0.25">
      <c r="A149" s="1">
        <f>F15</f>
        <v>2018</v>
      </c>
      <c r="B149" s="1">
        <f>E15</f>
        <v>2.714</v>
      </c>
      <c r="C149" s="1">
        <f t="shared" si="23"/>
        <v>0.26600000000000001</v>
      </c>
      <c r="E149" s="1">
        <v>4</v>
      </c>
      <c r="F149" s="1">
        <v>1</v>
      </c>
      <c r="G149" s="1">
        <f t="array" ref="G149:I149">_xll.AUTOCORR($B$137:$B$155,E149,F149)</f>
        <v>6.8974817037966527E-2</v>
      </c>
      <c r="H149" s="7">
        <v>0.24800922927210045</v>
      </c>
      <c r="I149" s="1">
        <v>0.27811391229433485</v>
      </c>
      <c r="J149"/>
      <c r="K149" s="26"/>
      <c r="L149"/>
    </row>
    <row r="150" spans="1:12" ht="15.75" x14ac:dyDescent="0.25">
      <c r="A150" s="1">
        <f>F16</f>
        <v>2019</v>
      </c>
      <c r="B150" s="1">
        <f>E16</f>
        <v>2.5659999999999998</v>
      </c>
      <c r="C150" s="1">
        <f t="shared" si="23"/>
        <v>-0.14800000000000013</v>
      </c>
      <c r="E150" s="1">
        <v>5</v>
      </c>
      <c r="F150" s="1">
        <v>1</v>
      </c>
      <c r="G150" s="1">
        <f t="array" ref="G150:I150">_xll.AUTOCORR($B$137:$B$155,E150,F150)</f>
        <v>-1.6955401644575617E-2</v>
      </c>
      <c r="H150" s="7">
        <v>-6.075840567345215E-2</v>
      </c>
      <c r="I150" s="1">
        <v>0.27906264913702516</v>
      </c>
      <c r="J150"/>
      <c r="K150" s="26"/>
      <c r="L150"/>
    </row>
    <row r="151" spans="1:12" ht="15.75" x14ac:dyDescent="0.25">
      <c r="A151" s="1">
        <f>F17</f>
        <v>2020</v>
      </c>
      <c r="B151" s="1">
        <f>E17</f>
        <v>2.1440000000000001</v>
      </c>
      <c r="C151" s="1">
        <f t="shared" si="23"/>
        <v>-0.42199999999999971</v>
      </c>
      <c r="E151" s="1"/>
      <c r="F151" s="1"/>
      <c r="G151" s="1"/>
      <c r="H151" s="1"/>
      <c r="I151" s="1"/>
      <c r="J151"/>
      <c r="K151"/>
      <c r="L151"/>
    </row>
    <row r="152" spans="1:12" x14ac:dyDescent="0.2">
      <c r="A152" s="1">
        <f>F18</f>
        <v>2021</v>
      </c>
      <c r="B152" s="1">
        <f>E18</f>
        <v>2.9790000000000001</v>
      </c>
      <c r="C152" s="1">
        <f t="shared" si="23"/>
        <v>0.83499999999999996</v>
      </c>
      <c r="E152" s="1"/>
      <c r="F152" s="1"/>
      <c r="G152" s="1"/>
      <c r="H152" s="1"/>
      <c r="I152" s="1"/>
    </row>
    <row r="153" spans="1:12" x14ac:dyDescent="0.2">
      <c r="A153" s="1">
        <f>F19</f>
        <v>2022</v>
      </c>
      <c r="B153" s="1">
        <f>E19</f>
        <v>3.8809999999999998</v>
      </c>
      <c r="C153" s="1">
        <f t="shared" si="23"/>
        <v>0.90199999999999969</v>
      </c>
      <c r="E153" s="1"/>
      <c r="F153" s="1"/>
      <c r="G153" s="1"/>
      <c r="H153" s="1"/>
      <c r="I153" s="1"/>
    </row>
    <row r="154" spans="1:12" x14ac:dyDescent="0.2">
      <c r="A154" s="1">
        <f>F20</f>
        <v>2023</v>
      </c>
      <c r="B154" s="1">
        <f>E20</f>
        <v>3.4830000000000001</v>
      </c>
      <c r="C154" s="1">
        <f t="shared" si="23"/>
        <v>-0.39799999999999969</v>
      </c>
      <c r="E154" s="1"/>
      <c r="F154" s="1"/>
      <c r="G154" s="1"/>
      <c r="H154" s="1"/>
      <c r="I154" s="1"/>
    </row>
    <row r="155" spans="1:12" x14ac:dyDescent="0.2">
      <c r="A155" s="1">
        <f>F21</f>
        <v>2024</v>
      </c>
      <c r="B155" s="1">
        <f>E21</f>
        <v>3.28</v>
      </c>
      <c r="C155" s="1">
        <f t="shared" si="23"/>
        <v>-0.20300000000000029</v>
      </c>
    </row>
    <row r="157" spans="1:12" ht="15.75" x14ac:dyDescent="0.25">
      <c r="A157" s="6" t="s">
        <v>27</v>
      </c>
      <c r="B157" s="2" t="s">
        <v>122</v>
      </c>
    </row>
    <row r="158" spans="1:12" ht="15.75" x14ac:dyDescent="0.25">
      <c r="A158" s="6"/>
      <c r="B158" s="2">
        <f>B155</f>
        <v>3.28</v>
      </c>
      <c r="C158" s="1" t="s">
        <v>21</v>
      </c>
    </row>
    <row r="159" spans="1:12" x14ac:dyDescent="0.2">
      <c r="A159" s="2">
        <v>2025</v>
      </c>
      <c r="B159" s="34">
        <f ca="1">B158+C159</f>
        <v>3.6286865182335717</v>
      </c>
      <c r="C159" s="34" cm="1">
        <f t="array" aca="1" ref="C159" ca="1">_xll.NORM(F159,F160)</f>
        <v>0.34868651823357183</v>
      </c>
      <c r="F159" s="2">
        <f>AVERAGE(C138:C155)</f>
        <v>3.9111111111111097E-2</v>
      </c>
    </row>
    <row r="160" spans="1:12" x14ac:dyDescent="0.2">
      <c r="B160" s="34"/>
      <c r="C160" s="35"/>
      <c r="F160" s="2">
        <f>STDEV(C138:C155)</f>
        <v>0.53246981564701223</v>
      </c>
    </row>
    <row r="161" spans="1:4" x14ac:dyDescent="0.2">
      <c r="B161" s="34"/>
      <c r="C161" s="35"/>
      <c r="D161" s="14"/>
    </row>
    <row r="162" spans="1:4" x14ac:dyDescent="0.2">
      <c r="D162" s="14"/>
    </row>
    <row r="163" spans="1:4" x14ac:dyDescent="0.2">
      <c r="D163" s="14"/>
    </row>
    <row r="164" spans="1:4" x14ac:dyDescent="0.2">
      <c r="D164" s="14"/>
    </row>
    <row r="165" spans="1:4" x14ac:dyDescent="0.2">
      <c r="D165" s="14"/>
    </row>
    <row r="166" spans="1:4" x14ac:dyDescent="0.2">
      <c r="D166" s="15"/>
    </row>
    <row r="168" spans="1:4" ht="15.75" x14ac:dyDescent="0.25">
      <c r="A168" s="6" t="s">
        <v>10</v>
      </c>
      <c r="B168" s="10"/>
    </row>
    <row r="169" spans="1:4" ht="15.75" x14ac:dyDescent="0.25">
      <c r="A169" s="6" t="s">
        <v>24</v>
      </c>
      <c r="B169" s="10"/>
    </row>
    <row r="173" spans="1:4" ht="15.75" x14ac:dyDescent="0.25">
      <c r="A173" s="6" t="s">
        <v>22</v>
      </c>
      <c r="B173" s="4" t="s">
        <v>23</v>
      </c>
      <c r="C173" s="4" t="s">
        <v>21</v>
      </c>
    </row>
    <row r="174" spans="1:4" x14ac:dyDescent="0.2">
      <c r="A174" s="1">
        <v>2023</v>
      </c>
      <c r="B174" s="1"/>
    </row>
    <row r="175" spans="1:4" x14ac:dyDescent="0.2">
      <c r="A175" s="7">
        <f>A174+1</f>
        <v>2024</v>
      </c>
      <c r="B175" s="8"/>
      <c r="C175" s="1"/>
    </row>
    <row r="176" spans="1:4" x14ac:dyDescent="0.2">
      <c r="A176" s="7">
        <f t="shared" ref="A176:A179" si="24">A175+1</f>
        <v>2025</v>
      </c>
      <c r="B176" s="8"/>
      <c r="C176" s="1"/>
    </row>
    <row r="177" spans="1:3" x14ac:dyDescent="0.2">
      <c r="A177" s="7">
        <f t="shared" si="24"/>
        <v>2026</v>
      </c>
      <c r="B177" s="8"/>
      <c r="C177" s="1"/>
    </row>
    <row r="178" spans="1:3" x14ac:dyDescent="0.2">
      <c r="A178" s="7">
        <f t="shared" si="24"/>
        <v>2027</v>
      </c>
      <c r="B178" s="8"/>
      <c r="C178" s="1"/>
    </row>
    <row r="179" spans="1:3" x14ac:dyDescent="0.2">
      <c r="A179" s="7">
        <f t="shared" si="24"/>
        <v>2028</v>
      </c>
      <c r="B179" s="8"/>
      <c r="C179" s="1"/>
    </row>
    <row r="183" spans="1:3" ht="15.75" x14ac:dyDescent="0.25">
      <c r="A183" s="16" t="s">
        <v>25</v>
      </c>
      <c r="B183" s="16"/>
    </row>
    <row r="185" spans="1:3" ht="15.75" x14ac:dyDescent="0.25">
      <c r="A185" s="4" t="str">
        <f>D2</f>
        <v>Corn VC</v>
      </c>
      <c r="B185" s="4" t="str">
        <f t="shared" ref="B185:C185" si="25">E2</f>
        <v>Diesel ($/gallon)</v>
      </c>
      <c r="C185" s="4" t="str">
        <f t="shared" si="25"/>
        <v>Year</v>
      </c>
    </row>
    <row r="186" spans="1:3" x14ac:dyDescent="0.2">
      <c r="A186" s="1">
        <f>D3</f>
        <v>208.17</v>
      </c>
      <c r="B186" s="1">
        <f>E3</f>
        <v>2.5760000000000001</v>
      </c>
      <c r="C186" s="1">
        <f>F3</f>
        <v>2006</v>
      </c>
    </row>
    <row r="187" spans="1:3" x14ac:dyDescent="0.2">
      <c r="A187" s="1">
        <f>D4</f>
        <v>231.25</v>
      </c>
      <c r="B187" s="1">
        <f>E4</f>
        <v>2.8109999999999999</v>
      </c>
      <c r="C187" s="1">
        <f>F4</f>
        <v>2007</v>
      </c>
    </row>
    <row r="188" spans="1:3" x14ac:dyDescent="0.2">
      <c r="A188" s="1">
        <f>D5</f>
        <v>298.06</v>
      </c>
      <c r="B188" s="1">
        <f>E5</f>
        <v>3.2629999999999999</v>
      </c>
      <c r="C188" s="1">
        <f>F5</f>
        <v>2008</v>
      </c>
    </row>
    <row r="189" spans="1:3" x14ac:dyDescent="0.2">
      <c r="A189" s="1">
        <f>D6</f>
        <v>297.42</v>
      </c>
      <c r="B189" s="1">
        <f>E6</f>
        <v>2.3650000000000002</v>
      </c>
      <c r="C189" s="1">
        <f>F6</f>
        <v>2009</v>
      </c>
    </row>
    <row r="190" spans="1:3" x14ac:dyDescent="0.2">
      <c r="A190" s="1">
        <f>D7</f>
        <v>289.37</v>
      </c>
      <c r="B190" s="1">
        <f>E7</f>
        <v>2.7930000000000001</v>
      </c>
      <c r="C190" s="1">
        <f>F7</f>
        <v>2010</v>
      </c>
    </row>
    <row r="191" spans="1:3" x14ac:dyDescent="0.2">
      <c r="A191" s="1">
        <f>D8</f>
        <v>335.25</v>
      </c>
      <c r="B191" s="1">
        <f>E8</f>
        <v>3.528</v>
      </c>
      <c r="C191" s="1">
        <f>F8</f>
        <v>2011</v>
      </c>
    </row>
    <row r="192" spans="1:3" x14ac:dyDescent="0.2">
      <c r="A192" s="1">
        <f>D9</f>
        <v>352.61</v>
      </c>
      <c r="B192" s="1">
        <f>E9</f>
        <v>3.61</v>
      </c>
      <c r="C192" s="1">
        <f>F9</f>
        <v>2012</v>
      </c>
    </row>
    <row r="193" spans="1:6" x14ac:dyDescent="0.2">
      <c r="A193" s="1">
        <f>D10</f>
        <v>358.72</v>
      </c>
      <c r="B193" s="1">
        <f>E10</f>
        <v>3.5110000000000001</v>
      </c>
      <c r="C193" s="1">
        <f>F10</f>
        <v>2013</v>
      </c>
    </row>
    <row r="194" spans="1:6" x14ac:dyDescent="0.2">
      <c r="A194" s="1">
        <f>D11</f>
        <v>360.08</v>
      </c>
      <c r="B194" s="1">
        <f>E11</f>
        <v>3.3759999999999999</v>
      </c>
      <c r="C194" s="1">
        <f>F11</f>
        <v>2014</v>
      </c>
    </row>
    <row r="195" spans="1:6" x14ac:dyDescent="0.2">
      <c r="A195" s="1">
        <f>D12</f>
        <v>337.08</v>
      </c>
      <c r="B195" s="1">
        <f>E12</f>
        <v>2.423</v>
      </c>
      <c r="C195" s="1">
        <f>F12</f>
        <v>2015</v>
      </c>
    </row>
    <row r="196" spans="1:6" x14ac:dyDescent="0.2">
      <c r="A196" s="1">
        <f>D13</f>
        <v>345.04</v>
      </c>
      <c r="B196" s="1">
        <f>E13</f>
        <v>2.177</v>
      </c>
      <c r="C196" s="1">
        <f>F13</f>
        <v>2016</v>
      </c>
    </row>
    <row r="197" spans="1:6" x14ac:dyDescent="0.2">
      <c r="A197" s="1">
        <f>D14</f>
        <v>333.87</v>
      </c>
      <c r="B197" s="1">
        <f>E14</f>
        <v>2.448</v>
      </c>
      <c r="C197" s="1">
        <f>F14</f>
        <v>2017</v>
      </c>
    </row>
    <row r="198" spans="1:6" x14ac:dyDescent="0.2">
      <c r="A198" s="1">
        <f>D15</f>
        <v>335.12</v>
      </c>
      <c r="B198" s="1">
        <f>E15</f>
        <v>2.714</v>
      </c>
      <c r="C198" s="1">
        <f>F15</f>
        <v>2018</v>
      </c>
    </row>
    <row r="199" spans="1:6" x14ac:dyDescent="0.2">
      <c r="A199" s="1">
        <f>D16</f>
        <v>342.63</v>
      </c>
      <c r="B199" s="1">
        <f>E16</f>
        <v>2.5659999999999998</v>
      </c>
      <c r="C199" s="1">
        <f>F16</f>
        <v>2019</v>
      </c>
    </row>
    <row r="200" spans="1:6" x14ac:dyDescent="0.2">
      <c r="A200" s="1">
        <f>D17</f>
        <v>333.28</v>
      </c>
      <c r="B200" s="1">
        <f>E17</f>
        <v>2.1440000000000001</v>
      </c>
      <c r="C200" s="1">
        <f>F17</f>
        <v>2020</v>
      </c>
    </row>
    <row r="201" spans="1:6" x14ac:dyDescent="0.2">
      <c r="A201" s="1">
        <f>D18</f>
        <v>359.78</v>
      </c>
      <c r="B201" s="1">
        <f>E18</f>
        <v>2.9790000000000001</v>
      </c>
      <c r="C201" s="1">
        <f>F18</f>
        <v>2021</v>
      </c>
    </row>
    <row r="202" spans="1:6" x14ac:dyDescent="0.2">
      <c r="A202" s="1">
        <f>D19</f>
        <v>486.78</v>
      </c>
      <c r="B202" s="1">
        <f>E19</f>
        <v>3.8809999999999998</v>
      </c>
      <c r="C202" s="1">
        <f>F19</f>
        <v>2022</v>
      </c>
    </row>
    <row r="203" spans="1:6" x14ac:dyDescent="0.2">
      <c r="A203" s="1">
        <f>D20</f>
        <v>507.54</v>
      </c>
      <c r="B203" s="1">
        <f>E20</f>
        <v>3.4830000000000001</v>
      </c>
      <c r="C203" s="1">
        <f>F20</f>
        <v>2023</v>
      </c>
    </row>
    <row r="204" spans="1:6" x14ac:dyDescent="0.2">
      <c r="A204" s="1">
        <f>D21</f>
        <v>453.66</v>
      </c>
      <c r="B204" s="1">
        <f>E21</f>
        <v>3.28</v>
      </c>
      <c r="C204" s="1">
        <f>F21</f>
        <v>2024</v>
      </c>
    </row>
    <row r="206" spans="1:6" ht="15.75" x14ac:dyDescent="0.25">
      <c r="A206" s="17"/>
    </row>
    <row r="207" spans="1:6" ht="15.75" x14ac:dyDescent="0.25">
      <c r="A207" s="6"/>
      <c r="B207" s="18"/>
      <c r="C207" s="19"/>
      <c r="D207" s="18"/>
      <c r="E207" s="17"/>
    </row>
    <row r="208" spans="1:6" ht="15.75" x14ac:dyDescent="0.25">
      <c r="A208" s="6"/>
      <c r="B208" s="18"/>
      <c r="C208" s="19"/>
      <c r="D208" s="18"/>
      <c r="E208" s="19"/>
      <c r="F208" s="18"/>
    </row>
    <row r="209" spans="1:6" ht="15.75" x14ac:dyDescent="0.25">
      <c r="A209" s="6"/>
      <c r="B209" s="18"/>
      <c r="C209" s="19"/>
      <c r="D209" s="18"/>
      <c r="E209" s="19"/>
      <c r="F209" s="18"/>
    </row>
    <row r="210" spans="1:6" ht="15.75" x14ac:dyDescent="0.25">
      <c r="A210" s="6"/>
      <c r="B210" s="18"/>
      <c r="C210" s="19"/>
      <c r="D210" s="18"/>
      <c r="E210" s="19"/>
      <c r="F210" s="18"/>
    </row>
    <row r="211" spans="1:6" ht="15.75" x14ac:dyDescent="0.25">
      <c r="A211" s="6"/>
      <c r="B211" s="18"/>
      <c r="C211" s="19"/>
      <c r="D211" s="18"/>
      <c r="E211" s="6"/>
      <c r="F211" s="18"/>
    </row>
    <row r="212" spans="1:6" ht="15.75" x14ac:dyDescent="0.25">
      <c r="A212" s="6"/>
      <c r="B212" s="18"/>
      <c r="C212" s="19"/>
      <c r="D212" s="18"/>
      <c r="E212" s="19"/>
      <c r="F212" s="18"/>
    </row>
    <row r="213" spans="1:6" ht="15.75" x14ac:dyDescent="0.25">
      <c r="A213" s="20"/>
    </row>
    <row r="214" spans="1:6" ht="15.75" x14ac:dyDescent="0.25">
      <c r="A214" s="6"/>
      <c r="B214" s="18"/>
      <c r="C214" s="18"/>
      <c r="D214" s="18"/>
    </row>
    <row r="215" spans="1:6" ht="15.75" x14ac:dyDescent="0.25">
      <c r="A215" s="6"/>
      <c r="B215" s="18"/>
      <c r="C215" s="18"/>
      <c r="D215" s="18"/>
    </row>
    <row r="216" spans="1:6" ht="15.75" x14ac:dyDescent="0.25">
      <c r="A216" s="6"/>
      <c r="B216" s="18"/>
      <c r="C216" s="18"/>
      <c r="D216" s="18"/>
    </row>
    <row r="217" spans="1:6" ht="15.75" x14ac:dyDescent="0.25">
      <c r="A217" s="6"/>
      <c r="B217" s="18"/>
      <c r="C217" s="18"/>
      <c r="D217" s="18"/>
    </row>
    <row r="218" spans="1:6" ht="15.75" x14ac:dyDescent="0.25">
      <c r="A218" s="6"/>
      <c r="B218" s="18"/>
      <c r="C218" s="18"/>
      <c r="D218" s="18"/>
    </row>
    <row r="219" spans="1:6" ht="15.75" x14ac:dyDescent="0.25">
      <c r="A219" s="6"/>
      <c r="B219" s="18"/>
      <c r="C219" s="18"/>
      <c r="D219" s="18"/>
    </row>
    <row r="220" spans="1:6" ht="15.75" x14ac:dyDescent="0.25">
      <c r="A220" s="6"/>
      <c r="B220" s="18"/>
      <c r="C220" s="18"/>
      <c r="D220" s="18"/>
    </row>
    <row r="221" spans="1:6" ht="15.75" x14ac:dyDescent="0.25">
      <c r="A221" s="6"/>
    </row>
    <row r="222" spans="1:6" ht="15.75" x14ac:dyDescent="0.25">
      <c r="A222" s="6"/>
    </row>
    <row r="223" spans="1:6" ht="15.75" x14ac:dyDescent="0.25">
      <c r="A223" s="6"/>
      <c r="C223" s="6"/>
    </row>
    <row r="224" spans="1:6" ht="15.75" x14ac:dyDescent="0.25">
      <c r="A224" s="6"/>
      <c r="B224" s="6"/>
      <c r="C224" s="6"/>
      <c r="D224" s="6"/>
    </row>
    <row r="225" spans="1:3" x14ac:dyDescent="0.2">
      <c r="A225" s="18"/>
      <c r="B225" s="18"/>
      <c r="C225" s="18"/>
    </row>
    <row r="226" spans="1:3" x14ac:dyDescent="0.2">
      <c r="A226" s="18"/>
      <c r="B226" s="18"/>
      <c r="C226" s="18"/>
    </row>
    <row r="227" spans="1:3" x14ac:dyDescent="0.2">
      <c r="A227" s="18"/>
      <c r="B227" s="18"/>
      <c r="C227" s="18"/>
    </row>
    <row r="228" spans="1:3" x14ac:dyDescent="0.2">
      <c r="A228" s="18"/>
      <c r="B228" s="18"/>
      <c r="C228" s="18"/>
    </row>
    <row r="229" spans="1:3" x14ac:dyDescent="0.2">
      <c r="A229" s="18"/>
      <c r="B229" s="18"/>
      <c r="C229" s="18"/>
    </row>
    <row r="230" spans="1:3" x14ac:dyDescent="0.2">
      <c r="A230" s="18"/>
      <c r="B230" s="18"/>
      <c r="C230" s="18"/>
    </row>
    <row r="231" spans="1:3" x14ac:dyDescent="0.2">
      <c r="A231" s="18"/>
      <c r="B231" s="18"/>
      <c r="C231" s="18"/>
    </row>
    <row r="232" spans="1:3" x14ac:dyDescent="0.2">
      <c r="A232" s="18"/>
      <c r="B232" s="18"/>
      <c r="C232" s="18"/>
    </row>
    <row r="233" spans="1:3" x14ac:dyDescent="0.2">
      <c r="A233" s="18"/>
      <c r="B233" s="18"/>
      <c r="C233" s="18"/>
    </row>
    <row r="234" spans="1:3" x14ac:dyDescent="0.2">
      <c r="A234" s="18"/>
      <c r="B234" s="18"/>
      <c r="C234" s="18"/>
    </row>
    <row r="235" spans="1:3" x14ac:dyDescent="0.2">
      <c r="A235" s="18"/>
      <c r="B235" s="18"/>
      <c r="C235" s="18"/>
    </row>
    <row r="236" spans="1:3" x14ac:dyDescent="0.2">
      <c r="A236" s="18"/>
      <c r="B236" s="18"/>
      <c r="C236" s="18"/>
    </row>
    <row r="237" spans="1:3" x14ac:dyDescent="0.2">
      <c r="A237" s="18"/>
      <c r="B237" s="18"/>
      <c r="C237" s="18"/>
    </row>
    <row r="238" spans="1:3" x14ac:dyDescent="0.2">
      <c r="A238" s="18"/>
      <c r="B238" s="18"/>
      <c r="C238" s="18"/>
    </row>
    <row r="239" spans="1:3" x14ac:dyDescent="0.2">
      <c r="A239" s="18"/>
      <c r="B239" s="18"/>
      <c r="C239" s="18"/>
    </row>
    <row r="240" spans="1:3" x14ac:dyDescent="0.2">
      <c r="A240" s="18"/>
      <c r="B240" s="18"/>
      <c r="C240" s="18"/>
    </row>
    <row r="241" spans="1:4" x14ac:dyDescent="0.2">
      <c r="A241" s="18"/>
      <c r="B241" s="18"/>
      <c r="C241" s="18"/>
    </row>
    <row r="242" spans="1:4" x14ac:dyDescent="0.2">
      <c r="A242" s="18"/>
      <c r="B242" s="18"/>
      <c r="C242" s="18"/>
    </row>
    <row r="245" spans="1:4" ht="15.75" x14ac:dyDescent="0.25">
      <c r="A245" s="16" t="s">
        <v>29</v>
      </c>
      <c r="B245" s="12"/>
      <c r="C245" s="12"/>
    </row>
    <row r="247" spans="1:4" ht="15.75" x14ac:dyDescent="0.25">
      <c r="A247" s="6"/>
    </row>
    <row r="248" spans="1:4" x14ac:dyDescent="0.2">
      <c r="C248" s="13"/>
    </row>
    <row r="250" spans="1:4" x14ac:dyDescent="0.2">
      <c r="D250" s="14"/>
    </row>
    <row r="251" spans="1:4" x14ac:dyDescent="0.2">
      <c r="D251" s="14"/>
    </row>
    <row r="252" spans="1:4" x14ac:dyDescent="0.2">
      <c r="D252" s="14"/>
    </row>
    <row r="253" spans="1:4" x14ac:dyDescent="0.2">
      <c r="D253" s="14"/>
    </row>
    <row r="254" spans="1:4" x14ac:dyDescent="0.2">
      <c r="D254" s="14"/>
    </row>
    <row r="255" spans="1:4" x14ac:dyDescent="0.2">
      <c r="D255" s="15"/>
    </row>
    <row r="258" spans="1:4" ht="15.75" x14ac:dyDescent="0.25">
      <c r="A258" s="16" t="s">
        <v>30</v>
      </c>
      <c r="B258" s="16"/>
      <c r="C258" s="16"/>
    </row>
    <row r="259" spans="1:4" ht="15.75" x14ac:dyDescent="0.25">
      <c r="B259" s="4" t="s">
        <v>28</v>
      </c>
      <c r="C259" s="4" t="s">
        <v>8</v>
      </c>
      <c r="D259" s="4" t="s">
        <v>9</v>
      </c>
    </row>
    <row r="260" spans="1:4" x14ac:dyDescent="0.2">
      <c r="A260" s="1">
        <v>2024</v>
      </c>
      <c r="B260" s="8"/>
      <c r="C260" s="8"/>
      <c r="D260" s="9"/>
    </row>
    <row r="261" spans="1:4" x14ac:dyDescent="0.2">
      <c r="A261" s="1">
        <f>A260+1</f>
        <v>2025</v>
      </c>
      <c r="B261" s="8"/>
      <c r="C261" s="8"/>
      <c r="D261" s="9"/>
    </row>
    <row r="262" spans="1:4" x14ac:dyDescent="0.2">
      <c r="A262" s="1">
        <f t="shared" ref="A262:A264" si="26">A261+1</f>
        <v>2026</v>
      </c>
      <c r="B262" s="8"/>
      <c r="C262" s="8"/>
      <c r="D262" s="9"/>
    </row>
    <row r="263" spans="1:4" x14ac:dyDescent="0.2">
      <c r="A263" s="1">
        <f t="shared" si="26"/>
        <v>2027</v>
      </c>
      <c r="B263" s="8"/>
      <c r="C263" s="8"/>
      <c r="D263" s="9"/>
    </row>
    <row r="264" spans="1:4" x14ac:dyDescent="0.2">
      <c r="A264" s="1">
        <f t="shared" si="26"/>
        <v>2028</v>
      </c>
      <c r="B264" s="8"/>
      <c r="C264" s="8"/>
      <c r="D264" s="9"/>
    </row>
  </sheetData>
  <conditionalFormatting sqref="B213:B214">
    <cfRule type="expression" dxfId="2" priority="1" stopIfTrue="1">
      <formula>$B$217&lt;=(1-$A$213)</formula>
    </cfRule>
  </conditionalFormatting>
  <conditionalFormatting sqref="C213:C214">
    <cfRule type="expression" dxfId="1" priority="3" stopIfTrue="1">
      <formula>$C$217&lt;=(1-$A$213)</formula>
    </cfRule>
  </conditionalFormatting>
  <conditionalFormatting sqref="D213:D214">
    <cfRule type="expression" dxfId="0" priority="5" stopIfTrue="1">
      <formula>$D$217&lt;=(1-$A$213)</formula>
    </cfRule>
  </conditionalFormatting>
  <printOptions headings="1" gridLines="1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SimData_yield_beta_2025</vt:lpstr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2025-03-25T19:07:10Z</dcterms:modified>
</cp:coreProperties>
</file>