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1475" windowHeight="9015" activeTab="1"/>
  </bookViews>
  <sheets>
    <sheet name="SimData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Sheet1!$A$1:$AF$38</definedName>
  </definedNames>
  <calcPr calcId="125725"/>
</workbook>
</file>

<file path=xl/calcChain.xml><?xml version="1.0" encoding="utf-8"?>
<calcChain xmlns="http://schemas.openxmlformats.org/spreadsheetml/2006/main">
  <c r="B38" i="1"/>
  <c r="B32"/>
  <c r="B33"/>
  <c r="B34"/>
  <c r="B35"/>
  <c r="B36"/>
  <c r="B37"/>
  <c r="A33"/>
  <c r="A34"/>
  <c r="A35"/>
  <c r="A36"/>
  <c r="A37"/>
  <c r="A32"/>
  <c r="F503" i="4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G5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G447" s="1"/>
  <c r="G448" s="1"/>
  <c r="G449" s="1"/>
  <c r="G450" s="1"/>
  <c r="G451" s="1"/>
  <c r="G452" s="1"/>
  <c r="G453" s="1"/>
  <c r="G454" s="1"/>
  <c r="G455" s="1"/>
  <c r="G456" s="1"/>
  <c r="G457" s="1"/>
  <c r="G458" s="1"/>
  <c r="G459" s="1"/>
  <c r="G460" s="1"/>
  <c r="G461" s="1"/>
  <c r="G462" s="1"/>
  <c r="G463" s="1"/>
  <c r="G464" s="1"/>
  <c r="G465" s="1"/>
  <c r="G466" s="1"/>
  <c r="G467" s="1"/>
  <c r="G468" s="1"/>
  <c r="G469" s="1"/>
  <c r="G470" s="1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490" s="1"/>
  <c r="G491" s="1"/>
  <c r="G492" s="1"/>
  <c r="G493" s="1"/>
  <c r="G494" s="1"/>
  <c r="G495" s="1"/>
  <c r="G496" s="1"/>
  <c r="G497" s="1"/>
  <c r="G498" s="1"/>
  <c r="G499" s="1"/>
  <c r="G500" s="1"/>
  <c r="G501" s="1"/>
  <c r="G502" s="1"/>
  <c r="G503" s="1"/>
  <c r="F5"/>
  <c r="F4"/>
  <c r="F3"/>
  <c r="B22" i="1"/>
  <c r="B23"/>
  <c r="B24"/>
  <c r="B25"/>
  <c r="B26"/>
  <c r="B27"/>
  <c r="A26"/>
  <c r="A27"/>
  <c r="A21"/>
  <c r="A22"/>
  <c r="A23"/>
  <c r="A24"/>
  <c r="A25"/>
  <c r="A20"/>
  <c r="B519" i="4"/>
  <c r="B517"/>
  <c r="B8"/>
  <c r="B7"/>
  <c r="B6"/>
  <c r="B4"/>
  <c r="B3"/>
  <c r="B515"/>
  <c r="B513"/>
  <c r="B511"/>
  <c r="B2"/>
  <c r="C11" i="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B21" l="1"/>
  <c r="B5" i="4"/>
  <c r="C13" i="1"/>
  <c r="C14" s="1"/>
  <c r="C15" s="1"/>
  <c r="C16" s="1"/>
  <c r="D13"/>
  <c r="D14" s="1"/>
  <c r="E13"/>
  <c r="E14" s="1"/>
  <c r="F13"/>
  <c r="F14" s="1"/>
  <c r="F15" s="1"/>
  <c r="F16" s="1"/>
  <c r="G13"/>
  <c r="G14" s="1"/>
  <c r="G15" s="1"/>
  <c r="G16" s="1"/>
  <c r="H13"/>
  <c r="H14" s="1"/>
  <c r="I13"/>
  <c r="I14" s="1"/>
  <c r="J13"/>
  <c r="J14" s="1"/>
  <c r="J15" s="1"/>
  <c r="J16" s="1"/>
  <c r="K13"/>
  <c r="K14" s="1"/>
  <c r="K15" s="1"/>
  <c r="K16" s="1"/>
  <c r="L13"/>
  <c r="L14" s="1"/>
  <c r="M13"/>
  <c r="M14" s="1"/>
  <c r="N13"/>
  <c r="N14" s="1"/>
  <c r="N15" s="1"/>
  <c r="N16" s="1"/>
  <c r="O13"/>
  <c r="O14" s="1"/>
  <c r="O15" s="1"/>
  <c r="O16" s="1"/>
  <c r="P13"/>
  <c r="P14" s="1"/>
  <c r="Q13"/>
  <c r="Q14" s="1"/>
  <c r="R13"/>
  <c r="R14" s="1"/>
  <c r="R15" s="1"/>
  <c r="R16" s="1"/>
  <c r="S13"/>
  <c r="S14" s="1"/>
  <c r="S15" s="1"/>
  <c r="S16" s="1"/>
  <c r="T13"/>
  <c r="T14" s="1"/>
  <c r="U13"/>
  <c r="U14" s="1"/>
  <c r="V13"/>
  <c r="V14" s="1"/>
  <c r="V15" s="1"/>
  <c r="V16" s="1"/>
  <c r="W13"/>
  <c r="W14" s="1"/>
  <c r="W15" s="1"/>
  <c r="W16" s="1"/>
  <c r="X13"/>
  <c r="X14" s="1"/>
  <c r="Y13"/>
  <c r="Y14" s="1"/>
  <c r="Z13"/>
  <c r="Z14" s="1"/>
  <c r="Z15" s="1"/>
  <c r="Z16" s="1"/>
  <c r="AA13"/>
  <c r="AA14" s="1"/>
  <c r="AA15" s="1"/>
  <c r="AA16" s="1"/>
  <c r="AB13"/>
  <c r="AB14" s="1"/>
  <c r="AC13"/>
  <c r="AC14" s="1"/>
  <c r="AD13"/>
  <c r="AD14" s="1"/>
  <c r="AD15" s="1"/>
  <c r="AD16" s="1"/>
  <c r="AE13"/>
  <c r="AE14" s="1"/>
  <c r="AE15" s="1"/>
  <c r="AE16" s="1"/>
  <c r="AF13"/>
  <c r="AF14" s="1"/>
  <c r="B12"/>
  <c r="B11"/>
  <c r="A1"/>
  <c r="AF15" l="1"/>
  <c r="AF16" s="1"/>
  <c r="AB15"/>
  <c r="AB16" s="1"/>
  <c r="X15"/>
  <c r="X16" s="1"/>
  <c r="T15"/>
  <c r="T16" s="1"/>
  <c r="P15"/>
  <c r="P16" s="1"/>
  <c r="L15"/>
  <c r="L16" s="1"/>
  <c r="H15"/>
  <c r="H16" s="1"/>
  <c r="D15"/>
  <c r="D16" s="1"/>
  <c r="AC15"/>
  <c r="AC16" s="1"/>
  <c r="Y15"/>
  <c r="Y16" s="1"/>
  <c r="U15"/>
  <c r="U16" s="1"/>
  <c r="Q15"/>
  <c r="Q16" s="1"/>
  <c r="M15"/>
  <c r="M16" s="1"/>
  <c r="I15"/>
  <c r="I16" s="1"/>
  <c r="E15"/>
  <c r="E16" s="1"/>
  <c r="B13"/>
  <c r="B14" s="1"/>
  <c r="B15" l="1"/>
  <c r="B16" s="1"/>
  <c r="B17" s="1"/>
</calcChain>
</file>

<file path=xl/sharedStrings.xml><?xml version="1.0" encoding="utf-8"?>
<sst xmlns="http://schemas.openxmlformats.org/spreadsheetml/2006/main" count="66" uniqueCount="66">
  <si>
    <t>Rain Prob</t>
  </si>
  <si>
    <t xml:space="preserve">Inches Rain </t>
  </si>
  <si>
    <t>Average</t>
  </si>
  <si>
    <t>Std Dev</t>
  </si>
  <si>
    <t>gal/inch</t>
  </si>
  <si>
    <t>Loss Fraction</t>
  </si>
  <si>
    <t>Rainfall</t>
  </si>
  <si>
    <t>Rain yes no</t>
  </si>
  <si>
    <t>Inches Rain</t>
  </si>
  <si>
    <t>Rain</t>
  </si>
  <si>
    <t>Gallons rain</t>
  </si>
  <si>
    <t>Loss</t>
  </si>
  <si>
    <t>Net Rain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</si>
  <si>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</si>
  <si>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</si>
  <si>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</si>
  <si>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</si>
  <si>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</si>
  <si>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</si>
  <si>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</si>
  <si>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</si>
  <si>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</si>
  <si>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</si>
  <si>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</si>
  <si>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</si>
  <si>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</si>
  <si>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</si>
  <si>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</si>
  <si>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</si>
  <si>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</si>
  <si>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</si>
  <si>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</si>
  <si>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</si>
  <si>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</si>
  <si>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</si>
  <si>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</si>
  <si>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</si>
  <si>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</si>
  <si>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</si>
  <si>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</si>
  <si>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</si>
  <si>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</si>
  <si>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</si>
  <si>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</si>
  <si>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Sum 30 Days</t>
  </si>
  <si>
    <t>Variable</t>
  </si>
  <si>
    <t>Mean</t>
  </si>
  <si>
    <t>StDev</t>
  </si>
  <si>
    <t>CV</t>
  </si>
  <si>
    <t>Min</t>
  </si>
  <si>
    <t>Max</t>
  </si>
  <si>
    <t>Iteration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</si>
  <si>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</si>
  <si>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</si>
  <si>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</si>
  <si>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</si>
  <si>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</si>
  <si>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</si>
  <si>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</si>
  <si>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</si>
  <si>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</si>
  <si>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</si>
  <si>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Simetar Simulation Results for 500 Iterations.  7:58:18 AM 9/16/2010 (0.98 sec.).  © 2008.</t>
  </si>
  <si>
    <t>CDFProb.</t>
  </si>
  <si>
    <t>Probabilities</t>
  </si>
  <si>
    <t>P(50K to 100KI)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</si>
</sst>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CDF</a:t>
            </a:r>
            <a:endParaRPr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SimData!$F$3</c:f>
              <c:strCache>
                <c:ptCount val="1"/>
                <c:pt idx="0">
                  <c:v>Sum 30 Days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SimData!$F$4:$F$503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4384.535377252997</c:v>
                </c:pt>
                <c:pt idx="16">
                  <c:v>8053.4481558451398</c:v>
                </c:pt>
                <c:pt idx="17">
                  <c:v>8393.5391241169455</c:v>
                </c:pt>
                <c:pt idx="18">
                  <c:v>8637.8176500836853</c:v>
                </c:pt>
                <c:pt idx="19">
                  <c:v>12250.977501089461</c:v>
                </c:pt>
                <c:pt idx="20">
                  <c:v>12282.858624550032</c:v>
                </c:pt>
                <c:pt idx="21">
                  <c:v>12287.67683887589</c:v>
                </c:pt>
                <c:pt idx="22">
                  <c:v>12705.141995330034</c:v>
                </c:pt>
                <c:pt idx="23">
                  <c:v>12742.290751993609</c:v>
                </c:pt>
                <c:pt idx="24">
                  <c:v>13164.703533458898</c:v>
                </c:pt>
                <c:pt idx="25">
                  <c:v>14585.868173022531</c:v>
                </c:pt>
                <c:pt idx="26">
                  <c:v>14627.355621057577</c:v>
                </c:pt>
                <c:pt idx="27">
                  <c:v>14688.759388706278</c:v>
                </c:pt>
                <c:pt idx="28">
                  <c:v>14853.524449337687</c:v>
                </c:pt>
                <c:pt idx="29">
                  <c:v>14907.934521648542</c:v>
                </c:pt>
                <c:pt idx="30">
                  <c:v>14974.783526923222</c:v>
                </c:pt>
                <c:pt idx="31">
                  <c:v>15397.504911194832</c:v>
                </c:pt>
                <c:pt idx="32">
                  <c:v>15960.807001577265</c:v>
                </c:pt>
                <c:pt idx="33">
                  <c:v>16200.387000641847</c:v>
                </c:pt>
                <c:pt idx="34">
                  <c:v>16786.579702436276</c:v>
                </c:pt>
                <c:pt idx="35">
                  <c:v>16980.596155423009</c:v>
                </c:pt>
                <c:pt idx="36">
                  <c:v>17222.997600847124</c:v>
                </c:pt>
                <c:pt idx="37">
                  <c:v>17511.679918341873</c:v>
                </c:pt>
                <c:pt idx="38">
                  <c:v>18307.399364448065</c:v>
                </c:pt>
                <c:pt idx="39">
                  <c:v>18373.208231124427</c:v>
                </c:pt>
                <c:pt idx="40">
                  <c:v>18443.835920032703</c:v>
                </c:pt>
                <c:pt idx="41">
                  <c:v>18567.274433698323</c:v>
                </c:pt>
                <c:pt idx="42">
                  <c:v>19268.630755563019</c:v>
                </c:pt>
                <c:pt idx="43">
                  <c:v>19478.616770329238</c:v>
                </c:pt>
                <c:pt idx="44">
                  <c:v>19746.52422946259</c:v>
                </c:pt>
                <c:pt idx="45">
                  <c:v>19790.440496456642</c:v>
                </c:pt>
                <c:pt idx="46">
                  <c:v>20107.651769629334</c:v>
                </c:pt>
                <c:pt idx="47">
                  <c:v>20207.129588342759</c:v>
                </c:pt>
                <c:pt idx="48">
                  <c:v>20481.695913725598</c:v>
                </c:pt>
                <c:pt idx="49">
                  <c:v>21253.046178242574</c:v>
                </c:pt>
                <c:pt idx="50">
                  <c:v>21515.005683289688</c:v>
                </c:pt>
                <c:pt idx="51">
                  <c:v>21709.160826688872</c:v>
                </c:pt>
                <c:pt idx="52">
                  <c:v>22448.979671902041</c:v>
                </c:pt>
                <c:pt idx="53">
                  <c:v>23198.412939577305</c:v>
                </c:pt>
                <c:pt idx="54">
                  <c:v>23240.354887572474</c:v>
                </c:pt>
                <c:pt idx="55">
                  <c:v>23260.726697284234</c:v>
                </c:pt>
                <c:pt idx="56">
                  <c:v>23514.857194979129</c:v>
                </c:pt>
                <c:pt idx="57">
                  <c:v>23780.32572050314</c:v>
                </c:pt>
                <c:pt idx="58">
                  <c:v>24085.254864481416</c:v>
                </c:pt>
                <c:pt idx="59">
                  <c:v>24208.979877600745</c:v>
                </c:pt>
                <c:pt idx="60">
                  <c:v>24357.71249321604</c:v>
                </c:pt>
                <c:pt idx="61">
                  <c:v>24484.607186127105</c:v>
                </c:pt>
                <c:pt idx="62">
                  <c:v>24569.741575591026</c:v>
                </c:pt>
                <c:pt idx="63">
                  <c:v>24775.818269160507</c:v>
                </c:pt>
                <c:pt idx="64">
                  <c:v>24933.099363411573</c:v>
                </c:pt>
                <c:pt idx="65">
                  <c:v>24973.21271391074</c:v>
                </c:pt>
                <c:pt idx="66">
                  <c:v>25138.066853593009</c:v>
                </c:pt>
                <c:pt idx="67">
                  <c:v>25206.234397225493</c:v>
                </c:pt>
                <c:pt idx="68">
                  <c:v>25462.436069982235</c:v>
                </c:pt>
                <c:pt idx="69">
                  <c:v>25978.947607487578</c:v>
                </c:pt>
                <c:pt idx="70">
                  <c:v>26239.495388463023</c:v>
                </c:pt>
                <c:pt idx="71">
                  <c:v>26594.471780888482</c:v>
                </c:pt>
                <c:pt idx="72">
                  <c:v>26801.916696857952</c:v>
                </c:pt>
                <c:pt idx="73">
                  <c:v>27455.186039382355</c:v>
                </c:pt>
                <c:pt idx="74">
                  <c:v>27987.412234622519</c:v>
                </c:pt>
                <c:pt idx="75">
                  <c:v>28223.806800777675</c:v>
                </c:pt>
                <c:pt idx="76">
                  <c:v>28347.029314109386</c:v>
                </c:pt>
                <c:pt idx="77">
                  <c:v>28362.262565501136</c:v>
                </c:pt>
                <c:pt idx="78">
                  <c:v>28888.354677884156</c:v>
                </c:pt>
                <c:pt idx="79">
                  <c:v>28961.243688536411</c:v>
                </c:pt>
                <c:pt idx="80">
                  <c:v>28966.334919558562</c:v>
                </c:pt>
                <c:pt idx="81">
                  <c:v>29211.409681888454</c:v>
                </c:pt>
                <c:pt idx="82">
                  <c:v>30116.051541311379</c:v>
                </c:pt>
                <c:pt idx="83">
                  <c:v>30135.805028637093</c:v>
                </c:pt>
                <c:pt idx="84">
                  <c:v>30327.27450662541</c:v>
                </c:pt>
                <c:pt idx="85">
                  <c:v>30706.516657503602</c:v>
                </c:pt>
                <c:pt idx="86">
                  <c:v>30978.476170937887</c:v>
                </c:pt>
                <c:pt idx="87">
                  <c:v>31379.475370911998</c:v>
                </c:pt>
                <c:pt idx="88">
                  <c:v>31427.117355579783</c:v>
                </c:pt>
                <c:pt idx="89">
                  <c:v>31635.798812290122</c:v>
                </c:pt>
                <c:pt idx="90">
                  <c:v>32184.10792058062</c:v>
                </c:pt>
                <c:pt idx="91">
                  <c:v>32189.301468294034</c:v>
                </c:pt>
                <c:pt idx="92">
                  <c:v>33078.769342866821</c:v>
                </c:pt>
                <c:pt idx="93">
                  <c:v>33143.771657484089</c:v>
                </c:pt>
                <c:pt idx="94">
                  <c:v>33437.736146774783</c:v>
                </c:pt>
                <c:pt idx="95">
                  <c:v>33474.881216030466</c:v>
                </c:pt>
                <c:pt idx="96">
                  <c:v>34475.679874003181</c:v>
                </c:pt>
                <c:pt idx="97">
                  <c:v>34573.750652637151</c:v>
                </c:pt>
                <c:pt idx="98">
                  <c:v>34690.831121789874</c:v>
                </c:pt>
                <c:pt idx="99">
                  <c:v>34749.30292788706</c:v>
                </c:pt>
                <c:pt idx="100">
                  <c:v>34963.350966165497</c:v>
                </c:pt>
                <c:pt idx="101">
                  <c:v>35177.265109830048</c:v>
                </c:pt>
                <c:pt idx="102">
                  <c:v>35725.963910435778</c:v>
                </c:pt>
                <c:pt idx="103">
                  <c:v>36023.032631553688</c:v>
                </c:pt>
                <c:pt idx="104">
                  <c:v>36061.135276501234</c:v>
                </c:pt>
                <c:pt idx="105">
                  <c:v>36157.954892016976</c:v>
                </c:pt>
                <c:pt idx="106">
                  <c:v>36501.951819611961</c:v>
                </c:pt>
                <c:pt idx="107">
                  <c:v>36570.834756989498</c:v>
                </c:pt>
                <c:pt idx="108">
                  <c:v>36613.968774183697</c:v>
                </c:pt>
                <c:pt idx="109">
                  <c:v>36654.024069423584</c:v>
                </c:pt>
                <c:pt idx="110">
                  <c:v>36676.360909713228</c:v>
                </c:pt>
                <c:pt idx="111">
                  <c:v>37227.470089011724</c:v>
                </c:pt>
                <c:pt idx="112">
                  <c:v>37251.639790259724</c:v>
                </c:pt>
                <c:pt idx="113">
                  <c:v>37357.825147693919</c:v>
                </c:pt>
                <c:pt idx="114">
                  <c:v>37393.873118498908</c:v>
                </c:pt>
                <c:pt idx="115">
                  <c:v>37633.58372710312</c:v>
                </c:pt>
                <c:pt idx="116">
                  <c:v>37671.810752397359</c:v>
                </c:pt>
                <c:pt idx="117">
                  <c:v>38018.395339913135</c:v>
                </c:pt>
                <c:pt idx="118">
                  <c:v>38504.622129828225</c:v>
                </c:pt>
                <c:pt idx="119">
                  <c:v>38716.779577843132</c:v>
                </c:pt>
                <c:pt idx="120">
                  <c:v>38816.311331786186</c:v>
                </c:pt>
                <c:pt idx="121">
                  <c:v>39206.839622759057</c:v>
                </c:pt>
                <c:pt idx="122">
                  <c:v>39224.598379798845</c:v>
                </c:pt>
                <c:pt idx="123">
                  <c:v>39375.108297372688</c:v>
                </c:pt>
                <c:pt idx="124">
                  <c:v>39380.22139702487</c:v>
                </c:pt>
                <c:pt idx="125">
                  <c:v>39386.19893809424</c:v>
                </c:pt>
                <c:pt idx="126">
                  <c:v>39466.239345993628</c:v>
                </c:pt>
                <c:pt idx="127">
                  <c:v>39803.706949159598</c:v>
                </c:pt>
                <c:pt idx="128">
                  <c:v>39942.198771652664</c:v>
                </c:pt>
                <c:pt idx="129">
                  <c:v>40241.344080346098</c:v>
                </c:pt>
                <c:pt idx="130">
                  <c:v>40478.060680085175</c:v>
                </c:pt>
                <c:pt idx="131">
                  <c:v>40535.806072158579</c:v>
                </c:pt>
                <c:pt idx="132">
                  <c:v>40720.687398489201</c:v>
                </c:pt>
                <c:pt idx="133">
                  <c:v>41064.42009820191</c:v>
                </c:pt>
                <c:pt idx="134">
                  <c:v>41511.049320273552</c:v>
                </c:pt>
                <c:pt idx="135">
                  <c:v>41511.154182396072</c:v>
                </c:pt>
                <c:pt idx="136">
                  <c:v>41678.98982728472</c:v>
                </c:pt>
                <c:pt idx="137">
                  <c:v>41735.629273036015</c:v>
                </c:pt>
                <c:pt idx="138">
                  <c:v>41769.263605984946</c:v>
                </c:pt>
                <c:pt idx="139">
                  <c:v>42101.374459747429</c:v>
                </c:pt>
                <c:pt idx="140">
                  <c:v>42499.394513085819</c:v>
                </c:pt>
                <c:pt idx="141">
                  <c:v>42548.559263075818</c:v>
                </c:pt>
                <c:pt idx="142">
                  <c:v>42593.009265185028</c:v>
                </c:pt>
                <c:pt idx="143">
                  <c:v>42691.336439804538</c:v>
                </c:pt>
                <c:pt idx="144">
                  <c:v>43018.704398129586</c:v>
                </c:pt>
                <c:pt idx="145">
                  <c:v>43427.48690643657</c:v>
                </c:pt>
                <c:pt idx="146">
                  <c:v>43433.279487611493</c:v>
                </c:pt>
                <c:pt idx="147">
                  <c:v>43675.702964456286</c:v>
                </c:pt>
                <c:pt idx="148">
                  <c:v>44307.521852974365</c:v>
                </c:pt>
                <c:pt idx="149">
                  <c:v>44490.158804589533</c:v>
                </c:pt>
                <c:pt idx="150">
                  <c:v>44847.27785605003</c:v>
                </c:pt>
                <c:pt idx="151">
                  <c:v>45089.47466219739</c:v>
                </c:pt>
                <c:pt idx="152">
                  <c:v>45165.515882540465</c:v>
                </c:pt>
                <c:pt idx="153">
                  <c:v>45487.606655530559</c:v>
                </c:pt>
                <c:pt idx="154">
                  <c:v>45685.421829440391</c:v>
                </c:pt>
                <c:pt idx="155">
                  <c:v>45730.761113238288</c:v>
                </c:pt>
                <c:pt idx="156">
                  <c:v>45844.246777772147</c:v>
                </c:pt>
                <c:pt idx="157">
                  <c:v>46044.528963050427</c:v>
                </c:pt>
                <c:pt idx="158">
                  <c:v>46132.489622223497</c:v>
                </c:pt>
                <c:pt idx="159">
                  <c:v>46239.212359621801</c:v>
                </c:pt>
                <c:pt idx="160">
                  <c:v>46319.687012898619</c:v>
                </c:pt>
                <c:pt idx="161">
                  <c:v>46820.426367705055</c:v>
                </c:pt>
                <c:pt idx="162">
                  <c:v>46908.078007056945</c:v>
                </c:pt>
                <c:pt idx="163">
                  <c:v>47653.047558212565</c:v>
                </c:pt>
                <c:pt idx="164">
                  <c:v>47840.984187104732</c:v>
                </c:pt>
                <c:pt idx="165">
                  <c:v>48134.96935127968</c:v>
                </c:pt>
                <c:pt idx="166">
                  <c:v>48258.246862089843</c:v>
                </c:pt>
                <c:pt idx="167">
                  <c:v>48744.83100887225</c:v>
                </c:pt>
                <c:pt idx="168">
                  <c:v>49076.89875401515</c:v>
                </c:pt>
                <c:pt idx="169">
                  <c:v>49583.696675622137</c:v>
                </c:pt>
                <c:pt idx="170">
                  <c:v>49598.916094783162</c:v>
                </c:pt>
                <c:pt idx="171">
                  <c:v>49642.586006656231</c:v>
                </c:pt>
                <c:pt idx="172">
                  <c:v>49817.794185641542</c:v>
                </c:pt>
                <c:pt idx="173">
                  <c:v>49838.161439096264</c:v>
                </c:pt>
                <c:pt idx="174">
                  <c:v>49996.233480029463</c:v>
                </c:pt>
                <c:pt idx="175">
                  <c:v>50095.816789076373</c:v>
                </c:pt>
                <c:pt idx="176">
                  <c:v>50594.68830283999</c:v>
                </c:pt>
                <c:pt idx="177">
                  <c:v>50746.948490317685</c:v>
                </c:pt>
                <c:pt idx="178">
                  <c:v>51098.803160300638</c:v>
                </c:pt>
                <c:pt idx="179">
                  <c:v>51558.556462928493</c:v>
                </c:pt>
                <c:pt idx="180">
                  <c:v>51717.624671012665</c:v>
                </c:pt>
                <c:pt idx="181">
                  <c:v>52079.807136754593</c:v>
                </c:pt>
                <c:pt idx="182">
                  <c:v>52098.030370553781</c:v>
                </c:pt>
                <c:pt idx="183">
                  <c:v>52495.144667122731</c:v>
                </c:pt>
                <c:pt idx="184">
                  <c:v>52507.343846344796</c:v>
                </c:pt>
                <c:pt idx="185">
                  <c:v>52529.032205640629</c:v>
                </c:pt>
                <c:pt idx="186">
                  <c:v>52621.025349878546</c:v>
                </c:pt>
                <c:pt idx="187">
                  <c:v>52693.090988958502</c:v>
                </c:pt>
                <c:pt idx="188">
                  <c:v>52727.619117779286</c:v>
                </c:pt>
                <c:pt idx="189">
                  <c:v>52759.927274265501</c:v>
                </c:pt>
                <c:pt idx="190">
                  <c:v>52783.860844578703</c:v>
                </c:pt>
                <c:pt idx="191">
                  <c:v>52893.532206528354</c:v>
                </c:pt>
                <c:pt idx="192">
                  <c:v>52907.203123899133</c:v>
                </c:pt>
                <c:pt idx="193">
                  <c:v>52966.656326731834</c:v>
                </c:pt>
                <c:pt idx="194">
                  <c:v>53017.683951444502</c:v>
                </c:pt>
                <c:pt idx="195">
                  <c:v>53022.490933534791</c:v>
                </c:pt>
                <c:pt idx="196">
                  <c:v>53041.845446148123</c:v>
                </c:pt>
                <c:pt idx="197">
                  <c:v>53346.10241228879</c:v>
                </c:pt>
                <c:pt idx="198">
                  <c:v>53400.496025675973</c:v>
                </c:pt>
                <c:pt idx="199">
                  <c:v>53617.272495316545</c:v>
                </c:pt>
                <c:pt idx="200">
                  <c:v>53790.108883373992</c:v>
                </c:pt>
                <c:pt idx="201">
                  <c:v>54014.516238919066</c:v>
                </c:pt>
                <c:pt idx="202">
                  <c:v>54028.556034434929</c:v>
                </c:pt>
                <c:pt idx="203">
                  <c:v>54210.189776730098</c:v>
                </c:pt>
                <c:pt idx="204">
                  <c:v>54485.505185130205</c:v>
                </c:pt>
                <c:pt idx="205">
                  <c:v>54517.577418020694</c:v>
                </c:pt>
                <c:pt idx="206">
                  <c:v>54522.001663663032</c:v>
                </c:pt>
                <c:pt idx="207">
                  <c:v>54608.611931017149</c:v>
                </c:pt>
                <c:pt idx="208">
                  <c:v>54630.1546822815</c:v>
                </c:pt>
                <c:pt idx="209">
                  <c:v>54810.690925887437</c:v>
                </c:pt>
                <c:pt idx="210">
                  <c:v>55483.457960342646</c:v>
                </c:pt>
                <c:pt idx="211">
                  <c:v>55630.229034113872</c:v>
                </c:pt>
                <c:pt idx="212">
                  <c:v>55802.813619849461</c:v>
                </c:pt>
                <c:pt idx="213">
                  <c:v>55820.591888725496</c:v>
                </c:pt>
                <c:pt idx="214">
                  <c:v>55861.36194442118</c:v>
                </c:pt>
                <c:pt idx="215">
                  <c:v>56120.536552514815</c:v>
                </c:pt>
                <c:pt idx="216">
                  <c:v>56130.966141277619</c:v>
                </c:pt>
                <c:pt idx="217">
                  <c:v>56395.361189700736</c:v>
                </c:pt>
                <c:pt idx="218">
                  <c:v>56717.065913140112</c:v>
                </c:pt>
                <c:pt idx="219">
                  <c:v>56837.16672175804</c:v>
                </c:pt>
                <c:pt idx="220">
                  <c:v>57394.647198252635</c:v>
                </c:pt>
                <c:pt idx="221">
                  <c:v>58134.068540162967</c:v>
                </c:pt>
                <c:pt idx="222">
                  <c:v>58350.224483125683</c:v>
                </c:pt>
                <c:pt idx="223">
                  <c:v>58378.379653658529</c:v>
                </c:pt>
                <c:pt idx="224">
                  <c:v>58574.962488609926</c:v>
                </c:pt>
                <c:pt idx="225">
                  <c:v>58613.915022965281</c:v>
                </c:pt>
                <c:pt idx="226">
                  <c:v>58719.408399869033</c:v>
                </c:pt>
                <c:pt idx="227">
                  <c:v>58895.94205294516</c:v>
                </c:pt>
                <c:pt idx="228">
                  <c:v>58902.453382269399</c:v>
                </c:pt>
                <c:pt idx="229">
                  <c:v>59046.887709444884</c:v>
                </c:pt>
                <c:pt idx="230">
                  <c:v>59148.354760158065</c:v>
                </c:pt>
                <c:pt idx="231">
                  <c:v>59304.671841104304</c:v>
                </c:pt>
                <c:pt idx="232">
                  <c:v>59389.220675355253</c:v>
                </c:pt>
                <c:pt idx="233">
                  <c:v>59428.042911207318</c:v>
                </c:pt>
                <c:pt idx="234">
                  <c:v>59662.283467806446</c:v>
                </c:pt>
                <c:pt idx="235">
                  <c:v>59805.337558123239</c:v>
                </c:pt>
                <c:pt idx="236">
                  <c:v>60168.071888043451</c:v>
                </c:pt>
                <c:pt idx="237">
                  <c:v>60324.419489104825</c:v>
                </c:pt>
                <c:pt idx="238">
                  <c:v>60404.990307594824</c:v>
                </c:pt>
                <c:pt idx="239">
                  <c:v>60459.477481283357</c:v>
                </c:pt>
                <c:pt idx="240">
                  <c:v>60582.782116403381</c:v>
                </c:pt>
                <c:pt idx="241">
                  <c:v>60823.489617632913</c:v>
                </c:pt>
                <c:pt idx="242">
                  <c:v>60853.382686099227</c:v>
                </c:pt>
                <c:pt idx="243">
                  <c:v>61513.809708072222</c:v>
                </c:pt>
                <c:pt idx="244">
                  <c:v>61546.090430032127</c:v>
                </c:pt>
                <c:pt idx="245">
                  <c:v>61726.150936379629</c:v>
                </c:pt>
                <c:pt idx="246">
                  <c:v>61920.553709878623</c:v>
                </c:pt>
                <c:pt idx="247">
                  <c:v>62034.543242710984</c:v>
                </c:pt>
                <c:pt idx="248">
                  <c:v>62085.149963058269</c:v>
                </c:pt>
                <c:pt idx="249">
                  <c:v>62092.276735439547</c:v>
                </c:pt>
                <c:pt idx="250">
                  <c:v>62541.725943221667</c:v>
                </c:pt>
                <c:pt idx="251">
                  <c:v>62719.496247966825</c:v>
                </c:pt>
                <c:pt idx="252">
                  <c:v>62837.688058160944</c:v>
                </c:pt>
                <c:pt idx="253">
                  <c:v>63352.130355588757</c:v>
                </c:pt>
                <c:pt idx="254">
                  <c:v>63422.076035871039</c:v>
                </c:pt>
                <c:pt idx="255">
                  <c:v>63485.462155392182</c:v>
                </c:pt>
                <c:pt idx="256">
                  <c:v>63514.518789715337</c:v>
                </c:pt>
                <c:pt idx="257">
                  <c:v>63705.939929229571</c:v>
                </c:pt>
                <c:pt idx="258">
                  <c:v>63761.778018140059</c:v>
                </c:pt>
                <c:pt idx="259">
                  <c:v>63872.216977054253</c:v>
                </c:pt>
                <c:pt idx="260">
                  <c:v>64564.493228527412</c:v>
                </c:pt>
                <c:pt idx="261">
                  <c:v>64748.216268692755</c:v>
                </c:pt>
                <c:pt idx="262">
                  <c:v>65283.16726938379</c:v>
                </c:pt>
                <c:pt idx="263">
                  <c:v>65598.256737720862</c:v>
                </c:pt>
                <c:pt idx="264">
                  <c:v>65659.809150096044</c:v>
                </c:pt>
                <c:pt idx="265">
                  <c:v>65879.827327755222</c:v>
                </c:pt>
                <c:pt idx="266">
                  <c:v>66058.822800628986</c:v>
                </c:pt>
                <c:pt idx="267">
                  <c:v>66204.47340442006</c:v>
                </c:pt>
                <c:pt idx="268">
                  <c:v>66234.913818563276</c:v>
                </c:pt>
                <c:pt idx="269">
                  <c:v>66385.867160907539</c:v>
                </c:pt>
                <c:pt idx="270">
                  <c:v>66799.052708550807</c:v>
                </c:pt>
                <c:pt idx="271">
                  <c:v>66900.723287205765</c:v>
                </c:pt>
                <c:pt idx="272">
                  <c:v>67105.045903265083</c:v>
                </c:pt>
                <c:pt idx="273">
                  <c:v>68221.20932989585</c:v>
                </c:pt>
                <c:pt idx="274">
                  <c:v>68305.820704672442</c:v>
                </c:pt>
                <c:pt idx="275">
                  <c:v>68970.844582908903</c:v>
                </c:pt>
                <c:pt idx="276">
                  <c:v>69603.904184058323</c:v>
                </c:pt>
                <c:pt idx="277">
                  <c:v>69808.294597247179</c:v>
                </c:pt>
                <c:pt idx="278">
                  <c:v>69860.345371460091</c:v>
                </c:pt>
                <c:pt idx="279">
                  <c:v>69993.010207488827</c:v>
                </c:pt>
                <c:pt idx="280">
                  <c:v>70017.405059364741</c:v>
                </c:pt>
                <c:pt idx="281">
                  <c:v>70545.6548627351</c:v>
                </c:pt>
                <c:pt idx="282">
                  <c:v>70587.826466389408</c:v>
                </c:pt>
                <c:pt idx="283">
                  <c:v>70692.443753963977</c:v>
                </c:pt>
                <c:pt idx="284">
                  <c:v>70794.851248834209</c:v>
                </c:pt>
                <c:pt idx="285">
                  <c:v>71210.891694625738</c:v>
                </c:pt>
                <c:pt idx="286">
                  <c:v>71365.832905510702</c:v>
                </c:pt>
                <c:pt idx="287">
                  <c:v>71385.765075729942</c:v>
                </c:pt>
                <c:pt idx="288">
                  <c:v>71476.368513686684</c:v>
                </c:pt>
                <c:pt idx="289">
                  <c:v>71495.09351172336</c:v>
                </c:pt>
                <c:pt idx="290">
                  <c:v>71767.882447474578</c:v>
                </c:pt>
                <c:pt idx="291">
                  <c:v>71825.74339683025</c:v>
                </c:pt>
                <c:pt idx="292">
                  <c:v>72014.025209410029</c:v>
                </c:pt>
                <c:pt idx="293">
                  <c:v>72434.357145916365</c:v>
                </c:pt>
                <c:pt idx="294">
                  <c:v>72492.016769038935</c:v>
                </c:pt>
                <c:pt idx="295">
                  <c:v>72623.343701181628</c:v>
                </c:pt>
                <c:pt idx="296">
                  <c:v>72873.330804328318</c:v>
                </c:pt>
                <c:pt idx="297">
                  <c:v>72982.821026528167</c:v>
                </c:pt>
                <c:pt idx="298">
                  <c:v>73790.70127458169</c:v>
                </c:pt>
                <c:pt idx="299">
                  <c:v>73806.945299022453</c:v>
                </c:pt>
                <c:pt idx="300">
                  <c:v>73834.253331931483</c:v>
                </c:pt>
                <c:pt idx="301">
                  <c:v>73991.42161513734</c:v>
                </c:pt>
                <c:pt idx="302">
                  <c:v>74355.341024551919</c:v>
                </c:pt>
                <c:pt idx="303">
                  <c:v>74986.198749527946</c:v>
                </c:pt>
                <c:pt idx="304">
                  <c:v>75172.752050675481</c:v>
                </c:pt>
                <c:pt idx="305">
                  <c:v>75261.717174309437</c:v>
                </c:pt>
                <c:pt idx="306">
                  <c:v>75401.15246344448</c:v>
                </c:pt>
                <c:pt idx="307">
                  <c:v>75693.850382299963</c:v>
                </c:pt>
                <c:pt idx="308">
                  <c:v>75997.437353591871</c:v>
                </c:pt>
                <c:pt idx="309">
                  <c:v>76022.66983373632</c:v>
                </c:pt>
                <c:pt idx="310">
                  <c:v>76029.461806663225</c:v>
                </c:pt>
                <c:pt idx="311">
                  <c:v>76119.803945876673</c:v>
                </c:pt>
                <c:pt idx="312">
                  <c:v>76295.295598082565</c:v>
                </c:pt>
                <c:pt idx="313">
                  <c:v>76302.39586776137</c:v>
                </c:pt>
                <c:pt idx="314">
                  <c:v>76372.930789780105</c:v>
                </c:pt>
                <c:pt idx="315">
                  <c:v>76406.453531143008</c:v>
                </c:pt>
                <c:pt idx="316">
                  <c:v>76593.18350811812</c:v>
                </c:pt>
                <c:pt idx="317">
                  <c:v>77234.836741939711</c:v>
                </c:pt>
                <c:pt idx="318">
                  <c:v>77311.648357382015</c:v>
                </c:pt>
                <c:pt idx="319">
                  <c:v>77534.52506476597</c:v>
                </c:pt>
                <c:pt idx="320">
                  <c:v>77656.958446945486</c:v>
                </c:pt>
                <c:pt idx="321">
                  <c:v>77737.70420928832</c:v>
                </c:pt>
                <c:pt idx="322">
                  <c:v>78105.638669988082</c:v>
                </c:pt>
                <c:pt idx="323">
                  <c:v>78237.549037590652</c:v>
                </c:pt>
                <c:pt idx="324">
                  <c:v>78304.91307829319</c:v>
                </c:pt>
                <c:pt idx="325">
                  <c:v>79149.537439211228</c:v>
                </c:pt>
                <c:pt idx="326">
                  <c:v>79221.120241209064</c:v>
                </c:pt>
                <c:pt idx="327">
                  <c:v>79280.512836756679</c:v>
                </c:pt>
                <c:pt idx="328">
                  <c:v>79617.262466725617</c:v>
                </c:pt>
                <c:pt idx="329">
                  <c:v>79637.135122783307</c:v>
                </c:pt>
                <c:pt idx="330">
                  <c:v>79749.51452247116</c:v>
                </c:pt>
                <c:pt idx="331">
                  <c:v>79764.714539365086</c:v>
                </c:pt>
                <c:pt idx="332">
                  <c:v>79899.729255323371</c:v>
                </c:pt>
                <c:pt idx="333">
                  <c:v>79899.785200314145</c:v>
                </c:pt>
                <c:pt idx="334">
                  <c:v>80345.950116416454</c:v>
                </c:pt>
                <c:pt idx="335">
                  <c:v>80377.996472238447</c:v>
                </c:pt>
                <c:pt idx="336">
                  <c:v>80389.625382595987</c:v>
                </c:pt>
                <c:pt idx="337">
                  <c:v>80686.460274376324</c:v>
                </c:pt>
                <c:pt idx="338">
                  <c:v>80730.362112639545</c:v>
                </c:pt>
                <c:pt idx="339">
                  <c:v>81068.437910173641</c:v>
                </c:pt>
                <c:pt idx="340">
                  <c:v>81105.039088038728</c:v>
                </c:pt>
                <c:pt idx="341">
                  <c:v>81384.826618387815</c:v>
                </c:pt>
                <c:pt idx="342">
                  <c:v>82377.258738664284</c:v>
                </c:pt>
                <c:pt idx="343">
                  <c:v>82640.018717649393</c:v>
                </c:pt>
                <c:pt idx="344">
                  <c:v>83277.805020927408</c:v>
                </c:pt>
                <c:pt idx="345">
                  <c:v>83280.704452410646</c:v>
                </c:pt>
                <c:pt idx="346">
                  <c:v>83488.951317683372</c:v>
                </c:pt>
                <c:pt idx="347">
                  <c:v>84697.900015198393</c:v>
                </c:pt>
                <c:pt idx="348">
                  <c:v>85191.054604256162</c:v>
                </c:pt>
                <c:pt idx="349">
                  <c:v>85254.803157151386</c:v>
                </c:pt>
                <c:pt idx="350">
                  <c:v>85310.429300134463</c:v>
                </c:pt>
                <c:pt idx="351">
                  <c:v>85418.858637338883</c:v>
                </c:pt>
                <c:pt idx="352">
                  <c:v>85530.325649266248</c:v>
                </c:pt>
                <c:pt idx="353">
                  <c:v>85622.589407382329</c:v>
                </c:pt>
                <c:pt idx="354">
                  <c:v>85726.376241728765</c:v>
                </c:pt>
                <c:pt idx="355">
                  <c:v>85771.818948800996</c:v>
                </c:pt>
                <c:pt idx="356">
                  <c:v>86315.789709113655</c:v>
                </c:pt>
                <c:pt idx="357">
                  <c:v>86479.001994235135</c:v>
                </c:pt>
                <c:pt idx="358">
                  <c:v>86863.373143418081</c:v>
                </c:pt>
                <c:pt idx="359">
                  <c:v>86880.747738860795</c:v>
                </c:pt>
                <c:pt idx="360">
                  <c:v>87167.722828133948</c:v>
                </c:pt>
                <c:pt idx="361">
                  <c:v>87717.399129696365</c:v>
                </c:pt>
                <c:pt idx="362">
                  <c:v>87746.177990347147</c:v>
                </c:pt>
                <c:pt idx="363">
                  <c:v>87788.106129129083</c:v>
                </c:pt>
                <c:pt idx="364">
                  <c:v>87822.381244581542</c:v>
                </c:pt>
                <c:pt idx="365">
                  <c:v>87996.42659510755</c:v>
                </c:pt>
                <c:pt idx="366">
                  <c:v>88304.934421268801</c:v>
                </c:pt>
                <c:pt idx="367">
                  <c:v>88503.013786242314</c:v>
                </c:pt>
                <c:pt idx="368">
                  <c:v>89126.481259409236</c:v>
                </c:pt>
                <c:pt idx="369">
                  <c:v>89213.618538385301</c:v>
                </c:pt>
                <c:pt idx="370">
                  <c:v>89244.346679699651</c:v>
                </c:pt>
                <c:pt idx="371">
                  <c:v>89809.545610524685</c:v>
                </c:pt>
                <c:pt idx="372">
                  <c:v>90017.791791173266</c:v>
                </c:pt>
                <c:pt idx="373">
                  <c:v>90502.911444152793</c:v>
                </c:pt>
                <c:pt idx="374">
                  <c:v>90956.150258887006</c:v>
                </c:pt>
                <c:pt idx="375">
                  <c:v>90979.253424113078</c:v>
                </c:pt>
                <c:pt idx="376">
                  <c:v>91474.008213008419</c:v>
                </c:pt>
                <c:pt idx="377">
                  <c:v>91541.985243956893</c:v>
                </c:pt>
                <c:pt idx="378">
                  <c:v>91832.337483346855</c:v>
                </c:pt>
                <c:pt idx="379">
                  <c:v>91861.461536845993</c:v>
                </c:pt>
                <c:pt idx="380">
                  <c:v>92108.402595257285</c:v>
                </c:pt>
                <c:pt idx="381">
                  <c:v>92328.417233559579</c:v>
                </c:pt>
                <c:pt idx="382">
                  <c:v>92409.659818445507</c:v>
                </c:pt>
                <c:pt idx="383">
                  <c:v>92923.633823638665</c:v>
                </c:pt>
                <c:pt idx="384">
                  <c:v>93010.12375749831</c:v>
                </c:pt>
                <c:pt idx="385">
                  <c:v>93432.882630969165</c:v>
                </c:pt>
                <c:pt idx="386">
                  <c:v>93732.991034117964</c:v>
                </c:pt>
                <c:pt idx="387">
                  <c:v>93935.906786145584</c:v>
                </c:pt>
                <c:pt idx="388">
                  <c:v>94029.741035879342</c:v>
                </c:pt>
                <c:pt idx="389">
                  <c:v>94183.064592513358</c:v>
                </c:pt>
                <c:pt idx="390">
                  <c:v>94540.839136479219</c:v>
                </c:pt>
                <c:pt idx="391">
                  <c:v>94653.773290288198</c:v>
                </c:pt>
                <c:pt idx="392">
                  <c:v>94713.372062855735</c:v>
                </c:pt>
                <c:pt idx="393">
                  <c:v>94985.174461694638</c:v>
                </c:pt>
                <c:pt idx="394">
                  <c:v>94988.095207444363</c:v>
                </c:pt>
                <c:pt idx="395">
                  <c:v>95366.175055230851</c:v>
                </c:pt>
                <c:pt idx="396">
                  <c:v>96510.58896795394</c:v>
                </c:pt>
                <c:pt idx="397">
                  <c:v>97078.212976463445</c:v>
                </c:pt>
                <c:pt idx="398">
                  <c:v>97305.109014814341</c:v>
                </c:pt>
                <c:pt idx="399">
                  <c:v>97498.787760521809</c:v>
                </c:pt>
                <c:pt idx="400">
                  <c:v>98388.754249063379</c:v>
                </c:pt>
                <c:pt idx="401">
                  <c:v>98699.759722980438</c:v>
                </c:pt>
                <c:pt idx="402">
                  <c:v>98855.616859461443</c:v>
                </c:pt>
                <c:pt idx="403">
                  <c:v>98954.332427427027</c:v>
                </c:pt>
                <c:pt idx="404">
                  <c:v>99147.668596826217</c:v>
                </c:pt>
                <c:pt idx="405">
                  <c:v>99152.288361343803</c:v>
                </c:pt>
                <c:pt idx="406">
                  <c:v>99167.747987581621</c:v>
                </c:pt>
                <c:pt idx="407">
                  <c:v>99329.850669053485</c:v>
                </c:pt>
                <c:pt idx="408">
                  <c:v>99330.415182675977</c:v>
                </c:pt>
                <c:pt idx="409">
                  <c:v>99695.335024251704</c:v>
                </c:pt>
                <c:pt idx="410">
                  <c:v>100740.40124408317</c:v>
                </c:pt>
                <c:pt idx="411">
                  <c:v>100822.16786670781</c:v>
                </c:pt>
                <c:pt idx="412">
                  <c:v>100879.25856976467</c:v>
                </c:pt>
                <c:pt idx="413">
                  <c:v>100967.97869487136</c:v>
                </c:pt>
                <c:pt idx="414">
                  <c:v>101271.54899858411</c:v>
                </c:pt>
                <c:pt idx="415">
                  <c:v>101350.50683832788</c:v>
                </c:pt>
                <c:pt idx="416">
                  <c:v>101717.46195022998</c:v>
                </c:pt>
                <c:pt idx="417">
                  <c:v>101761.44595948239</c:v>
                </c:pt>
                <c:pt idx="418">
                  <c:v>101908.29252996536</c:v>
                </c:pt>
                <c:pt idx="419">
                  <c:v>102199.06496928161</c:v>
                </c:pt>
                <c:pt idx="420">
                  <c:v>102691.60527038512</c:v>
                </c:pt>
                <c:pt idx="421">
                  <c:v>104494.97254665972</c:v>
                </c:pt>
                <c:pt idx="422">
                  <c:v>104920.19573231475</c:v>
                </c:pt>
                <c:pt idx="423">
                  <c:v>104964.23315855119</c:v>
                </c:pt>
                <c:pt idx="424">
                  <c:v>105502.82272975857</c:v>
                </c:pt>
                <c:pt idx="425">
                  <c:v>106354.71037101446</c:v>
                </c:pt>
                <c:pt idx="426">
                  <c:v>107423.24835052871</c:v>
                </c:pt>
                <c:pt idx="427">
                  <c:v>107610.60363202832</c:v>
                </c:pt>
                <c:pt idx="428">
                  <c:v>107664.46289932079</c:v>
                </c:pt>
                <c:pt idx="429">
                  <c:v>107825.75436267201</c:v>
                </c:pt>
                <c:pt idx="430">
                  <c:v>108290.12935617285</c:v>
                </c:pt>
                <c:pt idx="431">
                  <c:v>109056.37648617414</c:v>
                </c:pt>
                <c:pt idx="432">
                  <c:v>110219.18569137924</c:v>
                </c:pt>
                <c:pt idx="433">
                  <c:v>110527.70102072215</c:v>
                </c:pt>
                <c:pt idx="434">
                  <c:v>112020.46570518981</c:v>
                </c:pt>
                <c:pt idx="435">
                  <c:v>112436.8614683621</c:v>
                </c:pt>
                <c:pt idx="436">
                  <c:v>112980.51019423221</c:v>
                </c:pt>
                <c:pt idx="437">
                  <c:v>113127.45373929461</c:v>
                </c:pt>
                <c:pt idx="438">
                  <c:v>113618.79365228242</c:v>
                </c:pt>
                <c:pt idx="439">
                  <c:v>113981.13095681049</c:v>
                </c:pt>
                <c:pt idx="440">
                  <c:v>114539.56663889269</c:v>
                </c:pt>
                <c:pt idx="441">
                  <c:v>114546.42098607391</c:v>
                </c:pt>
                <c:pt idx="442">
                  <c:v>115288.39699348653</c:v>
                </c:pt>
                <c:pt idx="443">
                  <c:v>115695.11803844283</c:v>
                </c:pt>
                <c:pt idx="444">
                  <c:v>115794.11815559768</c:v>
                </c:pt>
                <c:pt idx="445">
                  <c:v>116787.48531813658</c:v>
                </c:pt>
                <c:pt idx="446">
                  <c:v>117757.19851401739</c:v>
                </c:pt>
                <c:pt idx="447">
                  <c:v>118080.92485790758</c:v>
                </c:pt>
                <c:pt idx="448">
                  <c:v>118176.35607036858</c:v>
                </c:pt>
                <c:pt idx="449">
                  <c:v>118188.43804505173</c:v>
                </c:pt>
                <c:pt idx="450">
                  <c:v>118631.34734687582</c:v>
                </c:pt>
                <c:pt idx="451">
                  <c:v>119521.13392635813</c:v>
                </c:pt>
                <c:pt idx="452">
                  <c:v>119724.50827848626</c:v>
                </c:pt>
                <c:pt idx="453">
                  <c:v>120560.1942093978</c:v>
                </c:pt>
                <c:pt idx="454">
                  <c:v>120664.13952520961</c:v>
                </c:pt>
                <c:pt idx="455">
                  <c:v>120828.49849335187</c:v>
                </c:pt>
                <c:pt idx="456">
                  <c:v>121518.88564274169</c:v>
                </c:pt>
                <c:pt idx="457">
                  <c:v>121893.26353316745</c:v>
                </c:pt>
                <c:pt idx="458">
                  <c:v>122468.80297631933</c:v>
                </c:pt>
                <c:pt idx="459">
                  <c:v>122948.39957983351</c:v>
                </c:pt>
                <c:pt idx="460">
                  <c:v>124077.83122302499</c:v>
                </c:pt>
                <c:pt idx="461">
                  <c:v>124898.33091325959</c:v>
                </c:pt>
                <c:pt idx="462">
                  <c:v>125019.63893090103</c:v>
                </c:pt>
                <c:pt idx="463">
                  <c:v>125587.29704841392</c:v>
                </c:pt>
                <c:pt idx="464">
                  <c:v>127452.32772989609</c:v>
                </c:pt>
                <c:pt idx="465">
                  <c:v>128048.50377046844</c:v>
                </c:pt>
                <c:pt idx="466">
                  <c:v>128396.13931056604</c:v>
                </c:pt>
                <c:pt idx="467">
                  <c:v>129465.59974465608</c:v>
                </c:pt>
                <c:pt idx="468">
                  <c:v>129554.29470394648</c:v>
                </c:pt>
                <c:pt idx="469">
                  <c:v>129700.31021802066</c:v>
                </c:pt>
                <c:pt idx="470">
                  <c:v>129979.3058944986</c:v>
                </c:pt>
                <c:pt idx="471">
                  <c:v>131970.1272862145</c:v>
                </c:pt>
                <c:pt idx="472">
                  <c:v>132353.59119380932</c:v>
                </c:pt>
                <c:pt idx="473">
                  <c:v>133346.79161857947</c:v>
                </c:pt>
                <c:pt idx="474">
                  <c:v>133844.67075175408</c:v>
                </c:pt>
                <c:pt idx="475">
                  <c:v>134351.2940158514</c:v>
                </c:pt>
                <c:pt idx="476">
                  <c:v>135592.08592329381</c:v>
                </c:pt>
                <c:pt idx="477">
                  <c:v>137136.78396139218</c:v>
                </c:pt>
                <c:pt idx="478">
                  <c:v>137167.82271835377</c:v>
                </c:pt>
                <c:pt idx="479">
                  <c:v>138603.60054051407</c:v>
                </c:pt>
                <c:pt idx="480">
                  <c:v>140677.43351573937</c:v>
                </c:pt>
                <c:pt idx="481">
                  <c:v>140819.95397212176</c:v>
                </c:pt>
                <c:pt idx="482">
                  <c:v>141908.33200059546</c:v>
                </c:pt>
                <c:pt idx="483">
                  <c:v>142956.82437949989</c:v>
                </c:pt>
                <c:pt idx="484">
                  <c:v>146215.32149174402</c:v>
                </c:pt>
                <c:pt idx="485">
                  <c:v>148410.80402955125</c:v>
                </c:pt>
                <c:pt idx="486">
                  <c:v>151396.68449902197</c:v>
                </c:pt>
                <c:pt idx="487">
                  <c:v>151601.85708986042</c:v>
                </c:pt>
                <c:pt idx="488">
                  <c:v>152884.55325010975</c:v>
                </c:pt>
                <c:pt idx="489">
                  <c:v>154358.11273537876</c:v>
                </c:pt>
                <c:pt idx="490">
                  <c:v>155562.14001641062</c:v>
                </c:pt>
                <c:pt idx="491">
                  <c:v>156630.42423256391</c:v>
                </c:pt>
                <c:pt idx="492">
                  <c:v>157311.7544337085</c:v>
                </c:pt>
                <c:pt idx="493">
                  <c:v>163629.1223003284</c:v>
                </c:pt>
                <c:pt idx="494">
                  <c:v>168147.90332219447</c:v>
                </c:pt>
                <c:pt idx="495">
                  <c:v>168223.56021113729</c:v>
                </c:pt>
                <c:pt idx="496">
                  <c:v>169188.50916312484</c:v>
                </c:pt>
                <c:pt idx="497">
                  <c:v>171069.94563974557</c:v>
                </c:pt>
                <c:pt idx="498">
                  <c:v>176302.16478262411</c:v>
                </c:pt>
                <c:pt idx="499">
                  <c:v>202214.77684477341</c:v>
                </c:pt>
              </c:numCache>
            </c:numRef>
          </c:xVal>
          <c:yVal>
            <c:numRef>
              <c:f>SimData!$G$4:$G$503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</c:ser>
        <c:axId val="182232960"/>
        <c:axId val="182234496"/>
      </c:scatterChart>
      <c:valAx>
        <c:axId val="182232960"/>
        <c:scaling>
          <c:orientation val="minMax"/>
        </c:scaling>
        <c:axPos val="b"/>
        <c:numFmt formatCode="General" sourceLinked="1"/>
        <c:tickLblPos val="nextTo"/>
        <c:crossAx val="182234496"/>
        <c:crosses val="autoZero"/>
        <c:crossBetween val="midCat"/>
      </c:valAx>
      <c:valAx>
        <c:axId val="182234496"/>
        <c:scaling>
          <c:orientation val="minMax"/>
          <c:max val="1"/>
          <c:min val="0"/>
        </c:scaling>
        <c:axPos val="l"/>
        <c:majorGridlines>
          <c:spPr>
            <a:ln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Prob</a:t>
                </a:r>
                <a:endParaRPr/>
              </a:p>
            </c:rich>
          </c:tx>
          <c:layout/>
        </c:title>
        <c:numFmt formatCode="General" sourceLinked="1"/>
        <c:tickLblPos val="nextTo"/>
        <c:crossAx val="182232960"/>
        <c:crosses val="autoZero"/>
        <c:crossBetween val="midCat"/>
      </c:valAx>
      <c:spPr>
        <a:noFill/>
      </c:spPr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CDF</a:t>
            </a:r>
            <a:endParaRPr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SimData!$F$3</c:f>
              <c:strCache>
                <c:ptCount val="1"/>
                <c:pt idx="0">
                  <c:v>Sum 30 Days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SimData!$F$4:$F$503</c:f>
              <c:numCache>
                <c:formatCode>General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4384.535377252997</c:v>
                </c:pt>
                <c:pt idx="16">
                  <c:v>8053.4481558451398</c:v>
                </c:pt>
                <c:pt idx="17">
                  <c:v>8393.5391241169455</c:v>
                </c:pt>
                <c:pt idx="18">
                  <c:v>8637.8176500836853</c:v>
                </c:pt>
                <c:pt idx="19">
                  <c:v>12250.977501089461</c:v>
                </c:pt>
                <c:pt idx="20">
                  <c:v>12282.858624550032</c:v>
                </c:pt>
                <c:pt idx="21">
                  <c:v>12287.67683887589</c:v>
                </c:pt>
                <c:pt idx="22">
                  <c:v>12705.141995330034</c:v>
                </c:pt>
                <c:pt idx="23">
                  <c:v>12742.290751993609</c:v>
                </c:pt>
                <c:pt idx="24">
                  <c:v>13164.703533458898</c:v>
                </c:pt>
                <c:pt idx="25">
                  <c:v>14585.868173022531</c:v>
                </c:pt>
                <c:pt idx="26">
                  <c:v>14627.355621057577</c:v>
                </c:pt>
                <c:pt idx="27">
                  <c:v>14688.759388706278</c:v>
                </c:pt>
                <c:pt idx="28">
                  <c:v>14853.524449337687</c:v>
                </c:pt>
                <c:pt idx="29">
                  <c:v>14907.934521648542</c:v>
                </c:pt>
                <c:pt idx="30">
                  <c:v>14974.783526923222</c:v>
                </c:pt>
                <c:pt idx="31">
                  <c:v>15397.504911194832</c:v>
                </c:pt>
                <c:pt idx="32">
                  <c:v>15960.807001577265</c:v>
                </c:pt>
                <c:pt idx="33">
                  <c:v>16200.387000641847</c:v>
                </c:pt>
                <c:pt idx="34">
                  <c:v>16786.579702436276</c:v>
                </c:pt>
                <c:pt idx="35">
                  <c:v>16980.596155423009</c:v>
                </c:pt>
                <c:pt idx="36">
                  <c:v>17222.997600847124</c:v>
                </c:pt>
                <c:pt idx="37">
                  <c:v>17511.679918341873</c:v>
                </c:pt>
                <c:pt idx="38">
                  <c:v>18307.399364448065</c:v>
                </c:pt>
                <c:pt idx="39">
                  <c:v>18373.208231124427</c:v>
                </c:pt>
                <c:pt idx="40">
                  <c:v>18443.835920032703</c:v>
                </c:pt>
                <c:pt idx="41">
                  <c:v>18567.274433698323</c:v>
                </c:pt>
                <c:pt idx="42">
                  <c:v>19268.630755563019</c:v>
                </c:pt>
                <c:pt idx="43">
                  <c:v>19478.616770329238</c:v>
                </c:pt>
                <c:pt idx="44">
                  <c:v>19746.52422946259</c:v>
                </c:pt>
                <c:pt idx="45">
                  <c:v>19790.440496456642</c:v>
                </c:pt>
                <c:pt idx="46">
                  <c:v>20107.651769629334</c:v>
                </c:pt>
                <c:pt idx="47">
                  <c:v>20207.129588342759</c:v>
                </c:pt>
                <c:pt idx="48">
                  <c:v>20481.695913725598</c:v>
                </c:pt>
                <c:pt idx="49">
                  <c:v>21253.046178242574</c:v>
                </c:pt>
                <c:pt idx="50">
                  <c:v>21515.005683289688</c:v>
                </c:pt>
                <c:pt idx="51">
                  <c:v>21709.160826688872</c:v>
                </c:pt>
                <c:pt idx="52">
                  <c:v>22448.979671902041</c:v>
                </c:pt>
                <c:pt idx="53">
                  <c:v>23198.412939577305</c:v>
                </c:pt>
                <c:pt idx="54">
                  <c:v>23240.354887572474</c:v>
                </c:pt>
                <c:pt idx="55">
                  <c:v>23260.726697284234</c:v>
                </c:pt>
                <c:pt idx="56">
                  <c:v>23514.857194979129</c:v>
                </c:pt>
                <c:pt idx="57">
                  <c:v>23780.32572050314</c:v>
                </c:pt>
                <c:pt idx="58">
                  <c:v>24085.254864481416</c:v>
                </c:pt>
                <c:pt idx="59">
                  <c:v>24208.979877600745</c:v>
                </c:pt>
                <c:pt idx="60">
                  <c:v>24357.71249321604</c:v>
                </c:pt>
                <c:pt idx="61">
                  <c:v>24484.607186127105</c:v>
                </c:pt>
                <c:pt idx="62">
                  <c:v>24569.741575591026</c:v>
                </c:pt>
                <c:pt idx="63">
                  <c:v>24775.818269160507</c:v>
                </c:pt>
                <c:pt idx="64">
                  <c:v>24933.099363411573</c:v>
                </c:pt>
                <c:pt idx="65">
                  <c:v>24973.21271391074</c:v>
                </c:pt>
                <c:pt idx="66">
                  <c:v>25138.066853593009</c:v>
                </c:pt>
                <c:pt idx="67">
                  <c:v>25206.234397225493</c:v>
                </c:pt>
                <c:pt idx="68">
                  <c:v>25462.436069982235</c:v>
                </c:pt>
                <c:pt idx="69">
                  <c:v>25978.947607487578</c:v>
                </c:pt>
                <c:pt idx="70">
                  <c:v>26239.495388463023</c:v>
                </c:pt>
                <c:pt idx="71">
                  <c:v>26594.471780888482</c:v>
                </c:pt>
                <c:pt idx="72">
                  <c:v>26801.916696857952</c:v>
                </c:pt>
                <c:pt idx="73">
                  <c:v>27455.186039382355</c:v>
                </c:pt>
                <c:pt idx="74">
                  <c:v>27987.412234622519</c:v>
                </c:pt>
                <c:pt idx="75">
                  <c:v>28223.806800777675</c:v>
                </c:pt>
                <c:pt idx="76">
                  <c:v>28347.029314109386</c:v>
                </c:pt>
                <c:pt idx="77">
                  <c:v>28362.262565501136</c:v>
                </c:pt>
                <c:pt idx="78">
                  <c:v>28888.354677884156</c:v>
                </c:pt>
                <c:pt idx="79">
                  <c:v>28961.243688536411</c:v>
                </c:pt>
                <c:pt idx="80">
                  <c:v>28966.334919558562</c:v>
                </c:pt>
                <c:pt idx="81">
                  <c:v>29211.409681888454</c:v>
                </c:pt>
                <c:pt idx="82">
                  <c:v>30116.051541311379</c:v>
                </c:pt>
                <c:pt idx="83">
                  <c:v>30135.805028637093</c:v>
                </c:pt>
                <c:pt idx="84">
                  <c:v>30327.27450662541</c:v>
                </c:pt>
                <c:pt idx="85">
                  <c:v>30706.516657503602</c:v>
                </c:pt>
                <c:pt idx="86">
                  <c:v>30978.476170937887</c:v>
                </c:pt>
                <c:pt idx="87">
                  <c:v>31379.475370911998</c:v>
                </c:pt>
                <c:pt idx="88">
                  <c:v>31427.117355579783</c:v>
                </c:pt>
                <c:pt idx="89">
                  <c:v>31635.798812290122</c:v>
                </c:pt>
                <c:pt idx="90">
                  <c:v>32184.10792058062</c:v>
                </c:pt>
                <c:pt idx="91">
                  <c:v>32189.301468294034</c:v>
                </c:pt>
                <c:pt idx="92">
                  <c:v>33078.769342866821</c:v>
                </c:pt>
                <c:pt idx="93">
                  <c:v>33143.771657484089</c:v>
                </c:pt>
                <c:pt idx="94">
                  <c:v>33437.736146774783</c:v>
                </c:pt>
                <c:pt idx="95">
                  <c:v>33474.881216030466</c:v>
                </c:pt>
                <c:pt idx="96">
                  <c:v>34475.679874003181</c:v>
                </c:pt>
                <c:pt idx="97">
                  <c:v>34573.750652637151</c:v>
                </c:pt>
                <c:pt idx="98">
                  <c:v>34690.831121789874</c:v>
                </c:pt>
                <c:pt idx="99">
                  <c:v>34749.30292788706</c:v>
                </c:pt>
                <c:pt idx="100">
                  <c:v>34963.350966165497</c:v>
                </c:pt>
                <c:pt idx="101">
                  <c:v>35177.265109830048</c:v>
                </c:pt>
                <c:pt idx="102">
                  <c:v>35725.963910435778</c:v>
                </c:pt>
                <c:pt idx="103">
                  <c:v>36023.032631553688</c:v>
                </c:pt>
                <c:pt idx="104">
                  <c:v>36061.135276501234</c:v>
                </c:pt>
                <c:pt idx="105">
                  <c:v>36157.954892016976</c:v>
                </c:pt>
                <c:pt idx="106">
                  <c:v>36501.951819611961</c:v>
                </c:pt>
                <c:pt idx="107">
                  <c:v>36570.834756989498</c:v>
                </c:pt>
                <c:pt idx="108">
                  <c:v>36613.968774183697</c:v>
                </c:pt>
                <c:pt idx="109">
                  <c:v>36654.024069423584</c:v>
                </c:pt>
                <c:pt idx="110">
                  <c:v>36676.360909713228</c:v>
                </c:pt>
                <c:pt idx="111">
                  <c:v>37227.470089011724</c:v>
                </c:pt>
                <c:pt idx="112">
                  <c:v>37251.639790259724</c:v>
                </c:pt>
                <c:pt idx="113">
                  <c:v>37357.825147693919</c:v>
                </c:pt>
                <c:pt idx="114">
                  <c:v>37393.873118498908</c:v>
                </c:pt>
                <c:pt idx="115">
                  <c:v>37633.58372710312</c:v>
                </c:pt>
                <c:pt idx="116">
                  <c:v>37671.810752397359</c:v>
                </c:pt>
                <c:pt idx="117">
                  <c:v>38018.395339913135</c:v>
                </c:pt>
                <c:pt idx="118">
                  <c:v>38504.622129828225</c:v>
                </c:pt>
                <c:pt idx="119">
                  <c:v>38716.779577843132</c:v>
                </c:pt>
                <c:pt idx="120">
                  <c:v>38816.311331786186</c:v>
                </c:pt>
                <c:pt idx="121">
                  <c:v>39206.839622759057</c:v>
                </c:pt>
                <c:pt idx="122">
                  <c:v>39224.598379798845</c:v>
                </c:pt>
                <c:pt idx="123">
                  <c:v>39375.108297372688</c:v>
                </c:pt>
                <c:pt idx="124">
                  <c:v>39380.22139702487</c:v>
                </c:pt>
                <c:pt idx="125">
                  <c:v>39386.19893809424</c:v>
                </c:pt>
                <c:pt idx="126">
                  <c:v>39466.239345993628</c:v>
                </c:pt>
                <c:pt idx="127">
                  <c:v>39803.706949159598</c:v>
                </c:pt>
                <c:pt idx="128">
                  <c:v>39942.198771652664</c:v>
                </c:pt>
                <c:pt idx="129">
                  <c:v>40241.344080346098</c:v>
                </c:pt>
                <c:pt idx="130">
                  <c:v>40478.060680085175</c:v>
                </c:pt>
                <c:pt idx="131">
                  <c:v>40535.806072158579</c:v>
                </c:pt>
                <c:pt idx="132">
                  <c:v>40720.687398489201</c:v>
                </c:pt>
                <c:pt idx="133">
                  <c:v>41064.42009820191</c:v>
                </c:pt>
                <c:pt idx="134">
                  <c:v>41511.049320273552</c:v>
                </c:pt>
                <c:pt idx="135">
                  <c:v>41511.154182396072</c:v>
                </c:pt>
                <c:pt idx="136">
                  <c:v>41678.98982728472</c:v>
                </c:pt>
                <c:pt idx="137">
                  <c:v>41735.629273036015</c:v>
                </c:pt>
                <c:pt idx="138">
                  <c:v>41769.263605984946</c:v>
                </c:pt>
                <c:pt idx="139">
                  <c:v>42101.374459747429</c:v>
                </c:pt>
                <c:pt idx="140">
                  <c:v>42499.394513085819</c:v>
                </c:pt>
                <c:pt idx="141">
                  <c:v>42548.559263075818</c:v>
                </c:pt>
                <c:pt idx="142">
                  <c:v>42593.009265185028</c:v>
                </c:pt>
                <c:pt idx="143">
                  <c:v>42691.336439804538</c:v>
                </c:pt>
                <c:pt idx="144">
                  <c:v>43018.704398129586</c:v>
                </c:pt>
                <c:pt idx="145">
                  <c:v>43427.48690643657</c:v>
                </c:pt>
                <c:pt idx="146">
                  <c:v>43433.279487611493</c:v>
                </c:pt>
                <c:pt idx="147">
                  <c:v>43675.702964456286</c:v>
                </c:pt>
                <c:pt idx="148">
                  <c:v>44307.521852974365</c:v>
                </c:pt>
                <c:pt idx="149">
                  <c:v>44490.158804589533</c:v>
                </c:pt>
                <c:pt idx="150">
                  <c:v>44847.27785605003</c:v>
                </c:pt>
                <c:pt idx="151">
                  <c:v>45089.47466219739</c:v>
                </c:pt>
                <c:pt idx="152">
                  <c:v>45165.515882540465</c:v>
                </c:pt>
                <c:pt idx="153">
                  <c:v>45487.606655530559</c:v>
                </c:pt>
                <c:pt idx="154">
                  <c:v>45685.421829440391</c:v>
                </c:pt>
                <c:pt idx="155">
                  <c:v>45730.761113238288</c:v>
                </c:pt>
                <c:pt idx="156">
                  <c:v>45844.246777772147</c:v>
                </c:pt>
                <c:pt idx="157">
                  <c:v>46044.528963050427</c:v>
                </c:pt>
                <c:pt idx="158">
                  <c:v>46132.489622223497</c:v>
                </c:pt>
                <c:pt idx="159">
                  <c:v>46239.212359621801</c:v>
                </c:pt>
                <c:pt idx="160">
                  <c:v>46319.687012898619</c:v>
                </c:pt>
                <c:pt idx="161">
                  <c:v>46820.426367705055</c:v>
                </c:pt>
                <c:pt idx="162">
                  <c:v>46908.078007056945</c:v>
                </c:pt>
                <c:pt idx="163">
                  <c:v>47653.047558212565</c:v>
                </c:pt>
                <c:pt idx="164">
                  <c:v>47840.984187104732</c:v>
                </c:pt>
                <c:pt idx="165">
                  <c:v>48134.96935127968</c:v>
                </c:pt>
                <c:pt idx="166">
                  <c:v>48258.246862089843</c:v>
                </c:pt>
                <c:pt idx="167">
                  <c:v>48744.83100887225</c:v>
                </c:pt>
                <c:pt idx="168">
                  <c:v>49076.89875401515</c:v>
                </c:pt>
                <c:pt idx="169">
                  <c:v>49583.696675622137</c:v>
                </c:pt>
                <c:pt idx="170">
                  <c:v>49598.916094783162</c:v>
                </c:pt>
                <c:pt idx="171">
                  <c:v>49642.586006656231</c:v>
                </c:pt>
                <c:pt idx="172">
                  <c:v>49817.794185641542</c:v>
                </c:pt>
                <c:pt idx="173">
                  <c:v>49838.161439096264</c:v>
                </c:pt>
                <c:pt idx="174">
                  <c:v>49996.233480029463</c:v>
                </c:pt>
                <c:pt idx="175">
                  <c:v>50095.816789076373</c:v>
                </c:pt>
                <c:pt idx="176">
                  <c:v>50594.68830283999</c:v>
                </c:pt>
                <c:pt idx="177">
                  <c:v>50746.948490317685</c:v>
                </c:pt>
                <c:pt idx="178">
                  <c:v>51098.803160300638</c:v>
                </c:pt>
                <c:pt idx="179">
                  <c:v>51558.556462928493</c:v>
                </c:pt>
                <c:pt idx="180">
                  <c:v>51717.624671012665</c:v>
                </c:pt>
                <c:pt idx="181">
                  <c:v>52079.807136754593</c:v>
                </c:pt>
                <c:pt idx="182">
                  <c:v>52098.030370553781</c:v>
                </c:pt>
                <c:pt idx="183">
                  <c:v>52495.144667122731</c:v>
                </c:pt>
                <c:pt idx="184">
                  <c:v>52507.343846344796</c:v>
                </c:pt>
                <c:pt idx="185">
                  <c:v>52529.032205640629</c:v>
                </c:pt>
                <c:pt idx="186">
                  <c:v>52621.025349878546</c:v>
                </c:pt>
                <c:pt idx="187">
                  <c:v>52693.090988958502</c:v>
                </c:pt>
                <c:pt idx="188">
                  <c:v>52727.619117779286</c:v>
                </c:pt>
                <c:pt idx="189">
                  <c:v>52759.927274265501</c:v>
                </c:pt>
                <c:pt idx="190">
                  <c:v>52783.860844578703</c:v>
                </c:pt>
                <c:pt idx="191">
                  <c:v>52893.532206528354</c:v>
                </c:pt>
                <c:pt idx="192">
                  <c:v>52907.203123899133</c:v>
                </c:pt>
                <c:pt idx="193">
                  <c:v>52966.656326731834</c:v>
                </c:pt>
                <c:pt idx="194">
                  <c:v>53017.683951444502</c:v>
                </c:pt>
                <c:pt idx="195">
                  <c:v>53022.490933534791</c:v>
                </c:pt>
                <c:pt idx="196">
                  <c:v>53041.845446148123</c:v>
                </c:pt>
                <c:pt idx="197">
                  <c:v>53346.10241228879</c:v>
                </c:pt>
                <c:pt idx="198">
                  <c:v>53400.496025675973</c:v>
                </c:pt>
                <c:pt idx="199">
                  <c:v>53617.272495316545</c:v>
                </c:pt>
                <c:pt idx="200">
                  <c:v>53790.108883373992</c:v>
                </c:pt>
                <c:pt idx="201">
                  <c:v>54014.516238919066</c:v>
                </c:pt>
                <c:pt idx="202">
                  <c:v>54028.556034434929</c:v>
                </c:pt>
                <c:pt idx="203">
                  <c:v>54210.189776730098</c:v>
                </c:pt>
                <c:pt idx="204">
                  <c:v>54485.505185130205</c:v>
                </c:pt>
                <c:pt idx="205">
                  <c:v>54517.577418020694</c:v>
                </c:pt>
                <c:pt idx="206">
                  <c:v>54522.001663663032</c:v>
                </c:pt>
                <c:pt idx="207">
                  <c:v>54608.611931017149</c:v>
                </c:pt>
                <c:pt idx="208">
                  <c:v>54630.1546822815</c:v>
                </c:pt>
                <c:pt idx="209">
                  <c:v>54810.690925887437</c:v>
                </c:pt>
                <c:pt idx="210">
                  <c:v>55483.457960342646</c:v>
                </c:pt>
                <c:pt idx="211">
                  <c:v>55630.229034113872</c:v>
                </c:pt>
                <c:pt idx="212">
                  <c:v>55802.813619849461</c:v>
                </c:pt>
                <c:pt idx="213">
                  <c:v>55820.591888725496</c:v>
                </c:pt>
                <c:pt idx="214">
                  <c:v>55861.36194442118</c:v>
                </c:pt>
                <c:pt idx="215">
                  <c:v>56120.536552514815</c:v>
                </c:pt>
                <c:pt idx="216">
                  <c:v>56130.966141277619</c:v>
                </c:pt>
                <c:pt idx="217">
                  <c:v>56395.361189700736</c:v>
                </c:pt>
                <c:pt idx="218">
                  <c:v>56717.065913140112</c:v>
                </c:pt>
                <c:pt idx="219">
                  <c:v>56837.16672175804</c:v>
                </c:pt>
                <c:pt idx="220">
                  <c:v>57394.647198252635</c:v>
                </c:pt>
                <c:pt idx="221">
                  <c:v>58134.068540162967</c:v>
                </c:pt>
                <c:pt idx="222">
                  <c:v>58350.224483125683</c:v>
                </c:pt>
                <c:pt idx="223">
                  <c:v>58378.379653658529</c:v>
                </c:pt>
                <c:pt idx="224">
                  <c:v>58574.962488609926</c:v>
                </c:pt>
                <c:pt idx="225">
                  <c:v>58613.915022965281</c:v>
                </c:pt>
                <c:pt idx="226">
                  <c:v>58719.408399869033</c:v>
                </c:pt>
                <c:pt idx="227">
                  <c:v>58895.94205294516</c:v>
                </c:pt>
                <c:pt idx="228">
                  <c:v>58902.453382269399</c:v>
                </c:pt>
                <c:pt idx="229">
                  <c:v>59046.887709444884</c:v>
                </c:pt>
                <c:pt idx="230">
                  <c:v>59148.354760158065</c:v>
                </c:pt>
                <c:pt idx="231">
                  <c:v>59304.671841104304</c:v>
                </c:pt>
                <c:pt idx="232">
                  <c:v>59389.220675355253</c:v>
                </c:pt>
                <c:pt idx="233">
                  <c:v>59428.042911207318</c:v>
                </c:pt>
                <c:pt idx="234">
                  <c:v>59662.283467806446</c:v>
                </c:pt>
                <c:pt idx="235">
                  <c:v>59805.337558123239</c:v>
                </c:pt>
                <c:pt idx="236">
                  <c:v>60168.071888043451</c:v>
                </c:pt>
                <c:pt idx="237">
                  <c:v>60324.419489104825</c:v>
                </c:pt>
                <c:pt idx="238">
                  <c:v>60404.990307594824</c:v>
                </c:pt>
                <c:pt idx="239">
                  <c:v>60459.477481283357</c:v>
                </c:pt>
                <c:pt idx="240">
                  <c:v>60582.782116403381</c:v>
                </c:pt>
                <c:pt idx="241">
                  <c:v>60823.489617632913</c:v>
                </c:pt>
                <c:pt idx="242">
                  <c:v>60853.382686099227</c:v>
                </c:pt>
                <c:pt idx="243">
                  <c:v>61513.809708072222</c:v>
                </c:pt>
                <c:pt idx="244">
                  <c:v>61546.090430032127</c:v>
                </c:pt>
                <c:pt idx="245">
                  <c:v>61726.150936379629</c:v>
                </c:pt>
                <c:pt idx="246">
                  <c:v>61920.553709878623</c:v>
                </c:pt>
                <c:pt idx="247">
                  <c:v>62034.543242710984</c:v>
                </c:pt>
                <c:pt idx="248">
                  <c:v>62085.149963058269</c:v>
                </c:pt>
                <c:pt idx="249">
                  <c:v>62092.276735439547</c:v>
                </c:pt>
                <c:pt idx="250">
                  <c:v>62541.725943221667</c:v>
                </c:pt>
                <c:pt idx="251">
                  <c:v>62719.496247966825</c:v>
                </c:pt>
                <c:pt idx="252">
                  <c:v>62837.688058160944</c:v>
                </c:pt>
                <c:pt idx="253">
                  <c:v>63352.130355588757</c:v>
                </c:pt>
                <c:pt idx="254">
                  <c:v>63422.076035871039</c:v>
                </c:pt>
                <c:pt idx="255">
                  <c:v>63485.462155392182</c:v>
                </c:pt>
                <c:pt idx="256">
                  <c:v>63514.518789715337</c:v>
                </c:pt>
                <c:pt idx="257">
                  <c:v>63705.939929229571</c:v>
                </c:pt>
                <c:pt idx="258">
                  <c:v>63761.778018140059</c:v>
                </c:pt>
                <c:pt idx="259">
                  <c:v>63872.216977054253</c:v>
                </c:pt>
                <c:pt idx="260">
                  <c:v>64564.493228527412</c:v>
                </c:pt>
                <c:pt idx="261">
                  <c:v>64748.216268692755</c:v>
                </c:pt>
                <c:pt idx="262">
                  <c:v>65283.16726938379</c:v>
                </c:pt>
                <c:pt idx="263">
                  <c:v>65598.256737720862</c:v>
                </c:pt>
                <c:pt idx="264">
                  <c:v>65659.809150096044</c:v>
                </c:pt>
                <c:pt idx="265">
                  <c:v>65879.827327755222</c:v>
                </c:pt>
                <c:pt idx="266">
                  <c:v>66058.822800628986</c:v>
                </c:pt>
                <c:pt idx="267">
                  <c:v>66204.47340442006</c:v>
                </c:pt>
                <c:pt idx="268">
                  <c:v>66234.913818563276</c:v>
                </c:pt>
                <c:pt idx="269">
                  <c:v>66385.867160907539</c:v>
                </c:pt>
                <c:pt idx="270">
                  <c:v>66799.052708550807</c:v>
                </c:pt>
                <c:pt idx="271">
                  <c:v>66900.723287205765</c:v>
                </c:pt>
                <c:pt idx="272">
                  <c:v>67105.045903265083</c:v>
                </c:pt>
                <c:pt idx="273">
                  <c:v>68221.20932989585</c:v>
                </c:pt>
                <c:pt idx="274">
                  <c:v>68305.820704672442</c:v>
                </c:pt>
                <c:pt idx="275">
                  <c:v>68970.844582908903</c:v>
                </c:pt>
                <c:pt idx="276">
                  <c:v>69603.904184058323</c:v>
                </c:pt>
                <c:pt idx="277">
                  <c:v>69808.294597247179</c:v>
                </c:pt>
                <c:pt idx="278">
                  <c:v>69860.345371460091</c:v>
                </c:pt>
                <c:pt idx="279">
                  <c:v>69993.010207488827</c:v>
                </c:pt>
                <c:pt idx="280">
                  <c:v>70017.405059364741</c:v>
                </c:pt>
                <c:pt idx="281">
                  <c:v>70545.6548627351</c:v>
                </c:pt>
                <c:pt idx="282">
                  <c:v>70587.826466389408</c:v>
                </c:pt>
                <c:pt idx="283">
                  <c:v>70692.443753963977</c:v>
                </c:pt>
                <c:pt idx="284">
                  <c:v>70794.851248834209</c:v>
                </c:pt>
                <c:pt idx="285">
                  <c:v>71210.891694625738</c:v>
                </c:pt>
                <c:pt idx="286">
                  <c:v>71365.832905510702</c:v>
                </c:pt>
                <c:pt idx="287">
                  <c:v>71385.765075729942</c:v>
                </c:pt>
                <c:pt idx="288">
                  <c:v>71476.368513686684</c:v>
                </c:pt>
                <c:pt idx="289">
                  <c:v>71495.09351172336</c:v>
                </c:pt>
                <c:pt idx="290">
                  <c:v>71767.882447474578</c:v>
                </c:pt>
                <c:pt idx="291">
                  <c:v>71825.74339683025</c:v>
                </c:pt>
                <c:pt idx="292">
                  <c:v>72014.025209410029</c:v>
                </c:pt>
                <c:pt idx="293">
                  <c:v>72434.357145916365</c:v>
                </c:pt>
                <c:pt idx="294">
                  <c:v>72492.016769038935</c:v>
                </c:pt>
                <c:pt idx="295">
                  <c:v>72623.343701181628</c:v>
                </c:pt>
                <c:pt idx="296">
                  <c:v>72873.330804328318</c:v>
                </c:pt>
                <c:pt idx="297">
                  <c:v>72982.821026528167</c:v>
                </c:pt>
                <c:pt idx="298">
                  <c:v>73790.70127458169</c:v>
                </c:pt>
                <c:pt idx="299">
                  <c:v>73806.945299022453</c:v>
                </c:pt>
                <c:pt idx="300">
                  <c:v>73834.253331931483</c:v>
                </c:pt>
                <c:pt idx="301">
                  <c:v>73991.42161513734</c:v>
                </c:pt>
                <c:pt idx="302">
                  <c:v>74355.341024551919</c:v>
                </c:pt>
                <c:pt idx="303">
                  <c:v>74986.198749527946</c:v>
                </c:pt>
                <c:pt idx="304">
                  <c:v>75172.752050675481</c:v>
                </c:pt>
                <c:pt idx="305">
                  <c:v>75261.717174309437</c:v>
                </c:pt>
                <c:pt idx="306">
                  <c:v>75401.15246344448</c:v>
                </c:pt>
                <c:pt idx="307">
                  <c:v>75693.850382299963</c:v>
                </c:pt>
                <c:pt idx="308">
                  <c:v>75997.437353591871</c:v>
                </c:pt>
                <c:pt idx="309">
                  <c:v>76022.66983373632</c:v>
                </c:pt>
                <c:pt idx="310">
                  <c:v>76029.461806663225</c:v>
                </c:pt>
                <c:pt idx="311">
                  <c:v>76119.803945876673</c:v>
                </c:pt>
                <c:pt idx="312">
                  <c:v>76295.295598082565</c:v>
                </c:pt>
                <c:pt idx="313">
                  <c:v>76302.39586776137</c:v>
                </c:pt>
                <c:pt idx="314">
                  <c:v>76372.930789780105</c:v>
                </c:pt>
                <c:pt idx="315">
                  <c:v>76406.453531143008</c:v>
                </c:pt>
                <c:pt idx="316">
                  <c:v>76593.18350811812</c:v>
                </c:pt>
                <c:pt idx="317">
                  <c:v>77234.836741939711</c:v>
                </c:pt>
                <c:pt idx="318">
                  <c:v>77311.648357382015</c:v>
                </c:pt>
                <c:pt idx="319">
                  <c:v>77534.52506476597</c:v>
                </c:pt>
                <c:pt idx="320">
                  <c:v>77656.958446945486</c:v>
                </c:pt>
                <c:pt idx="321">
                  <c:v>77737.70420928832</c:v>
                </c:pt>
                <c:pt idx="322">
                  <c:v>78105.638669988082</c:v>
                </c:pt>
                <c:pt idx="323">
                  <c:v>78237.549037590652</c:v>
                </c:pt>
                <c:pt idx="324">
                  <c:v>78304.91307829319</c:v>
                </c:pt>
                <c:pt idx="325">
                  <c:v>79149.537439211228</c:v>
                </c:pt>
                <c:pt idx="326">
                  <c:v>79221.120241209064</c:v>
                </c:pt>
                <c:pt idx="327">
                  <c:v>79280.512836756679</c:v>
                </c:pt>
                <c:pt idx="328">
                  <c:v>79617.262466725617</c:v>
                </c:pt>
                <c:pt idx="329">
                  <c:v>79637.135122783307</c:v>
                </c:pt>
                <c:pt idx="330">
                  <c:v>79749.51452247116</c:v>
                </c:pt>
                <c:pt idx="331">
                  <c:v>79764.714539365086</c:v>
                </c:pt>
                <c:pt idx="332">
                  <c:v>79899.729255323371</c:v>
                </c:pt>
                <c:pt idx="333">
                  <c:v>79899.785200314145</c:v>
                </c:pt>
                <c:pt idx="334">
                  <c:v>80345.950116416454</c:v>
                </c:pt>
                <c:pt idx="335">
                  <c:v>80377.996472238447</c:v>
                </c:pt>
                <c:pt idx="336">
                  <c:v>80389.625382595987</c:v>
                </c:pt>
                <c:pt idx="337">
                  <c:v>80686.460274376324</c:v>
                </c:pt>
                <c:pt idx="338">
                  <c:v>80730.362112639545</c:v>
                </c:pt>
                <c:pt idx="339">
                  <c:v>81068.437910173641</c:v>
                </c:pt>
                <c:pt idx="340">
                  <c:v>81105.039088038728</c:v>
                </c:pt>
                <c:pt idx="341">
                  <c:v>81384.826618387815</c:v>
                </c:pt>
                <c:pt idx="342">
                  <c:v>82377.258738664284</c:v>
                </c:pt>
                <c:pt idx="343">
                  <c:v>82640.018717649393</c:v>
                </c:pt>
                <c:pt idx="344">
                  <c:v>83277.805020927408</c:v>
                </c:pt>
                <c:pt idx="345">
                  <c:v>83280.704452410646</c:v>
                </c:pt>
                <c:pt idx="346">
                  <c:v>83488.951317683372</c:v>
                </c:pt>
                <c:pt idx="347">
                  <c:v>84697.900015198393</c:v>
                </c:pt>
                <c:pt idx="348">
                  <c:v>85191.054604256162</c:v>
                </c:pt>
                <c:pt idx="349">
                  <c:v>85254.803157151386</c:v>
                </c:pt>
                <c:pt idx="350">
                  <c:v>85310.429300134463</c:v>
                </c:pt>
                <c:pt idx="351">
                  <c:v>85418.858637338883</c:v>
                </c:pt>
                <c:pt idx="352">
                  <c:v>85530.325649266248</c:v>
                </c:pt>
                <c:pt idx="353">
                  <c:v>85622.589407382329</c:v>
                </c:pt>
                <c:pt idx="354">
                  <c:v>85726.376241728765</c:v>
                </c:pt>
                <c:pt idx="355">
                  <c:v>85771.818948800996</c:v>
                </c:pt>
                <c:pt idx="356">
                  <c:v>86315.789709113655</c:v>
                </c:pt>
                <c:pt idx="357">
                  <c:v>86479.001994235135</c:v>
                </c:pt>
                <c:pt idx="358">
                  <c:v>86863.373143418081</c:v>
                </c:pt>
                <c:pt idx="359">
                  <c:v>86880.747738860795</c:v>
                </c:pt>
                <c:pt idx="360">
                  <c:v>87167.722828133948</c:v>
                </c:pt>
                <c:pt idx="361">
                  <c:v>87717.399129696365</c:v>
                </c:pt>
                <c:pt idx="362">
                  <c:v>87746.177990347147</c:v>
                </c:pt>
                <c:pt idx="363">
                  <c:v>87788.106129129083</c:v>
                </c:pt>
                <c:pt idx="364">
                  <c:v>87822.381244581542</c:v>
                </c:pt>
                <c:pt idx="365">
                  <c:v>87996.42659510755</c:v>
                </c:pt>
                <c:pt idx="366">
                  <c:v>88304.934421268801</c:v>
                </c:pt>
                <c:pt idx="367">
                  <c:v>88503.013786242314</c:v>
                </c:pt>
                <c:pt idx="368">
                  <c:v>89126.481259409236</c:v>
                </c:pt>
                <c:pt idx="369">
                  <c:v>89213.618538385301</c:v>
                </c:pt>
                <c:pt idx="370">
                  <c:v>89244.346679699651</c:v>
                </c:pt>
                <c:pt idx="371">
                  <c:v>89809.545610524685</c:v>
                </c:pt>
                <c:pt idx="372">
                  <c:v>90017.791791173266</c:v>
                </c:pt>
                <c:pt idx="373">
                  <c:v>90502.911444152793</c:v>
                </c:pt>
                <c:pt idx="374">
                  <c:v>90956.150258887006</c:v>
                </c:pt>
                <c:pt idx="375">
                  <c:v>90979.253424113078</c:v>
                </c:pt>
                <c:pt idx="376">
                  <c:v>91474.008213008419</c:v>
                </c:pt>
                <c:pt idx="377">
                  <c:v>91541.985243956893</c:v>
                </c:pt>
                <c:pt idx="378">
                  <c:v>91832.337483346855</c:v>
                </c:pt>
                <c:pt idx="379">
                  <c:v>91861.461536845993</c:v>
                </c:pt>
                <c:pt idx="380">
                  <c:v>92108.402595257285</c:v>
                </c:pt>
                <c:pt idx="381">
                  <c:v>92328.417233559579</c:v>
                </c:pt>
                <c:pt idx="382">
                  <c:v>92409.659818445507</c:v>
                </c:pt>
                <c:pt idx="383">
                  <c:v>92923.633823638665</c:v>
                </c:pt>
                <c:pt idx="384">
                  <c:v>93010.12375749831</c:v>
                </c:pt>
                <c:pt idx="385">
                  <c:v>93432.882630969165</c:v>
                </c:pt>
                <c:pt idx="386">
                  <c:v>93732.991034117964</c:v>
                </c:pt>
                <c:pt idx="387">
                  <c:v>93935.906786145584</c:v>
                </c:pt>
                <c:pt idx="388">
                  <c:v>94029.741035879342</c:v>
                </c:pt>
                <c:pt idx="389">
                  <c:v>94183.064592513358</c:v>
                </c:pt>
                <c:pt idx="390">
                  <c:v>94540.839136479219</c:v>
                </c:pt>
                <c:pt idx="391">
                  <c:v>94653.773290288198</c:v>
                </c:pt>
                <c:pt idx="392">
                  <c:v>94713.372062855735</c:v>
                </c:pt>
                <c:pt idx="393">
                  <c:v>94985.174461694638</c:v>
                </c:pt>
                <c:pt idx="394">
                  <c:v>94988.095207444363</c:v>
                </c:pt>
                <c:pt idx="395">
                  <c:v>95366.175055230851</c:v>
                </c:pt>
                <c:pt idx="396">
                  <c:v>96510.58896795394</c:v>
                </c:pt>
                <c:pt idx="397">
                  <c:v>97078.212976463445</c:v>
                </c:pt>
                <c:pt idx="398">
                  <c:v>97305.109014814341</c:v>
                </c:pt>
                <c:pt idx="399">
                  <c:v>97498.787760521809</c:v>
                </c:pt>
                <c:pt idx="400">
                  <c:v>98388.754249063379</c:v>
                </c:pt>
                <c:pt idx="401">
                  <c:v>98699.759722980438</c:v>
                </c:pt>
                <c:pt idx="402">
                  <c:v>98855.616859461443</c:v>
                </c:pt>
                <c:pt idx="403">
                  <c:v>98954.332427427027</c:v>
                </c:pt>
                <c:pt idx="404">
                  <c:v>99147.668596826217</c:v>
                </c:pt>
                <c:pt idx="405">
                  <c:v>99152.288361343803</c:v>
                </c:pt>
                <c:pt idx="406">
                  <c:v>99167.747987581621</c:v>
                </c:pt>
                <c:pt idx="407">
                  <c:v>99329.850669053485</c:v>
                </c:pt>
                <c:pt idx="408">
                  <c:v>99330.415182675977</c:v>
                </c:pt>
                <c:pt idx="409">
                  <c:v>99695.335024251704</c:v>
                </c:pt>
                <c:pt idx="410">
                  <c:v>100740.40124408317</c:v>
                </c:pt>
                <c:pt idx="411">
                  <c:v>100822.16786670781</c:v>
                </c:pt>
                <c:pt idx="412">
                  <c:v>100879.25856976467</c:v>
                </c:pt>
                <c:pt idx="413">
                  <c:v>100967.97869487136</c:v>
                </c:pt>
                <c:pt idx="414">
                  <c:v>101271.54899858411</c:v>
                </c:pt>
                <c:pt idx="415">
                  <c:v>101350.50683832788</c:v>
                </c:pt>
                <c:pt idx="416">
                  <c:v>101717.46195022998</c:v>
                </c:pt>
                <c:pt idx="417">
                  <c:v>101761.44595948239</c:v>
                </c:pt>
                <c:pt idx="418">
                  <c:v>101908.29252996536</c:v>
                </c:pt>
                <c:pt idx="419">
                  <c:v>102199.06496928161</c:v>
                </c:pt>
                <c:pt idx="420">
                  <c:v>102691.60527038512</c:v>
                </c:pt>
                <c:pt idx="421">
                  <c:v>104494.97254665972</c:v>
                </c:pt>
                <c:pt idx="422">
                  <c:v>104920.19573231475</c:v>
                </c:pt>
                <c:pt idx="423">
                  <c:v>104964.23315855119</c:v>
                </c:pt>
                <c:pt idx="424">
                  <c:v>105502.82272975857</c:v>
                </c:pt>
                <c:pt idx="425">
                  <c:v>106354.71037101446</c:v>
                </c:pt>
                <c:pt idx="426">
                  <c:v>107423.24835052871</c:v>
                </c:pt>
                <c:pt idx="427">
                  <c:v>107610.60363202832</c:v>
                </c:pt>
                <c:pt idx="428">
                  <c:v>107664.46289932079</c:v>
                </c:pt>
                <c:pt idx="429">
                  <c:v>107825.75436267201</c:v>
                </c:pt>
                <c:pt idx="430">
                  <c:v>108290.12935617285</c:v>
                </c:pt>
                <c:pt idx="431">
                  <c:v>109056.37648617414</c:v>
                </c:pt>
                <c:pt idx="432">
                  <c:v>110219.18569137924</c:v>
                </c:pt>
                <c:pt idx="433">
                  <c:v>110527.70102072215</c:v>
                </c:pt>
                <c:pt idx="434">
                  <c:v>112020.46570518981</c:v>
                </c:pt>
                <c:pt idx="435">
                  <c:v>112436.8614683621</c:v>
                </c:pt>
                <c:pt idx="436">
                  <c:v>112980.51019423221</c:v>
                </c:pt>
                <c:pt idx="437">
                  <c:v>113127.45373929461</c:v>
                </c:pt>
                <c:pt idx="438">
                  <c:v>113618.79365228242</c:v>
                </c:pt>
                <c:pt idx="439">
                  <c:v>113981.13095681049</c:v>
                </c:pt>
                <c:pt idx="440">
                  <c:v>114539.56663889269</c:v>
                </c:pt>
                <c:pt idx="441">
                  <c:v>114546.42098607391</c:v>
                </c:pt>
                <c:pt idx="442">
                  <c:v>115288.39699348653</c:v>
                </c:pt>
                <c:pt idx="443">
                  <c:v>115695.11803844283</c:v>
                </c:pt>
                <c:pt idx="444">
                  <c:v>115794.11815559768</c:v>
                </c:pt>
                <c:pt idx="445">
                  <c:v>116787.48531813658</c:v>
                </c:pt>
                <c:pt idx="446">
                  <c:v>117757.19851401739</c:v>
                </c:pt>
                <c:pt idx="447">
                  <c:v>118080.92485790758</c:v>
                </c:pt>
                <c:pt idx="448">
                  <c:v>118176.35607036858</c:v>
                </c:pt>
                <c:pt idx="449">
                  <c:v>118188.43804505173</c:v>
                </c:pt>
                <c:pt idx="450">
                  <c:v>118631.34734687582</c:v>
                </c:pt>
                <c:pt idx="451">
                  <c:v>119521.13392635813</c:v>
                </c:pt>
                <c:pt idx="452">
                  <c:v>119724.50827848626</c:v>
                </c:pt>
                <c:pt idx="453">
                  <c:v>120560.1942093978</c:v>
                </c:pt>
                <c:pt idx="454">
                  <c:v>120664.13952520961</c:v>
                </c:pt>
                <c:pt idx="455">
                  <c:v>120828.49849335187</c:v>
                </c:pt>
                <c:pt idx="456">
                  <c:v>121518.88564274169</c:v>
                </c:pt>
                <c:pt idx="457">
                  <c:v>121893.26353316745</c:v>
                </c:pt>
                <c:pt idx="458">
                  <c:v>122468.80297631933</c:v>
                </c:pt>
                <c:pt idx="459">
                  <c:v>122948.39957983351</c:v>
                </c:pt>
                <c:pt idx="460">
                  <c:v>124077.83122302499</c:v>
                </c:pt>
                <c:pt idx="461">
                  <c:v>124898.33091325959</c:v>
                </c:pt>
                <c:pt idx="462">
                  <c:v>125019.63893090103</c:v>
                </c:pt>
                <c:pt idx="463">
                  <c:v>125587.29704841392</c:v>
                </c:pt>
                <c:pt idx="464">
                  <c:v>127452.32772989609</c:v>
                </c:pt>
                <c:pt idx="465">
                  <c:v>128048.50377046844</c:v>
                </c:pt>
                <c:pt idx="466">
                  <c:v>128396.13931056604</c:v>
                </c:pt>
                <c:pt idx="467">
                  <c:v>129465.59974465608</c:v>
                </c:pt>
                <c:pt idx="468">
                  <c:v>129554.29470394648</c:v>
                </c:pt>
                <c:pt idx="469">
                  <c:v>129700.31021802066</c:v>
                </c:pt>
                <c:pt idx="470">
                  <c:v>129979.3058944986</c:v>
                </c:pt>
                <c:pt idx="471">
                  <c:v>131970.1272862145</c:v>
                </c:pt>
                <c:pt idx="472">
                  <c:v>132353.59119380932</c:v>
                </c:pt>
                <c:pt idx="473">
                  <c:v>133346.79161857947</c:v>
                </c:pt>
                <c:pt idx="474">
                  <c:v>133844.67075175408</c:v>
                </c:pt>
                <c:pt idx="475">
                  <c:v>134351.2940158514</c:v>
                </c:pt>
                <c:pt idx="476">
                  <c:v>135592.08592329381</c:v>
                </c:pt>
                <c:pt idx="477">
                  <c:v>137136.78396139218</c:v>
                </c:pt>
                <c:pt idx="478">
                  <c:v>137167.82271835377</c:v>
                </c:pt>
                <c:pt idx="479">
                  <c:v>138603.60054051407</c:v>
                </c:pt>
                <c:pt idx="480">
                  <c:v>140677.43351573937</c:v>
                </c:pt>
                <c:pt idx="481">
                  <c:v>140819.95397212176</c:v>
                </c:pt>
                <c:pt idx="482">
                  <c:v>141908.33200059546</c:v>
                </c:pt>
                <c:pt idx="483">
                  <c:v>142956.82437949989</c:v>
                </c:pt>
                <c:pt idx="484">
                  <c:v>146215.32149174402</c:v>
                </c:pt>
                <c:pt idx="485">
                  <c:v>148410.80402955125</c:v>
                </c:pt>
                <c:pt idx="486">
                  <c:v>151396.68449902197</c:v>
                </c:pt>
                <c:pt idx="487">
                  <c:v>151601.85708986042</c:v>
                </c:pt>
                <c:pt idx="488">
                  <c:v>152884.55325010975</c:v>
                </c:pt>
                <c:pt idx="489">
                  <c:v>154358.11273537876</c:v>
                </c:pt>
                <c:pt idx="490">
                  <c:v>155562.14001641062</c:v>
                </c:pt>
                <c:pt idx="491">
                  <c:v>156630.42423256391</c:v>
                </c:pt>
                <c:pt idx="492">
                  <c:v>157311.7544337085</c:v>
                </c:pt>
                <c:pt idx="493">
                  <c:v>163629.1223003284</c:v>
                </c:pt>
                <c:pt idx="494">
                  <c:v>168147.90332219447</c:v>
                </c:pt>
                <c:pt idx="495">
                  <c:v>168223.56021113729</c:v>
                </c:pt>
                <c:pt idx="496">
                  <c:v>169188.50916312484</c:v>
                </c:pt>
                <c:pt idx="497">
                  <c:v>171069.94563974557</c:v>
                </c:pt>
                <c:pt idx="498">
                  <c:v>176302.16478262411</c:v>
                </c:pt>
                <c:pt idx="499">
                  <c:v>202214.77684477341</c:v>
                </c:pt>
              </c:numCache>
            </c:numRef>
          </c:xVal>
          <c:yVal>
            <c:numRef>
              <c:f>SimData!$G$4:$G$503</c:f>
              <c:numCache>
                <c:formatCode>General</c:formatCode>
                <c:ptCount val="500"/>
                <c:pt idx="0">
                  <c:v>0</c:v>
                </c:pt>
                <c:pt idx="1">
                  <c:v>2.004008016032064E-3</c:v>
                </c:pt>
                <c:pt idx="2">
                  <c:v>4.0080160320641279E-3</c:v>
                </c:pt>
                <c:pt idx="3">
                  <c:v>6.0120240480961915E-3</c:v>
                </c:pt>
                <c:pt idx="4">
                  <c:v>8.0160320641282558E-3</c:v>
                </c:pt>
                <c:pt idx="5">
                  <c:v>1.002004008016032E-2</c:v>
                </c:pt>
                <c:pt idx="6">
                  <c:v>1.2024048096192385E-2</c:v>
                </c:pt>
                <c:pt idx="7">
                  <c:v>1.4028056112224449E-2</c:v>
                </c:pt>
                <c:pt idx="8">
                  <c:v>1.6032064128256512E-2</c:v>
                </c:pt>
                <c:pt idx="9">
                  <c:v>1.8036072144288574E-2</c:v>
                </c:pt>
                <c:pt idx="10">
                  <c:v>2.0040080160320637E-2</c:v>
                </c:pt>
                <c:pt idx="11">
                  <c:v>2.20440881763527E-2</c:v>
                </c:pt>
                <c:pt idx="12">
                  <c:v>2.4048096192384762E-2</c:v>
                </c:pt>
                <c:pt idx="13">
                  <c:v>2.6052104208416825E-2</c:v>
                </c:pt>
                <c:pt idx="14">
                  <c:v>2.8056112224448888E-2</c:v>
                </c:pt>
                <c:pt idx="15">
                  <c:v>3.006012024048095E-2</c:v>
                </c:pt>
                <c:pt idx="16">
                  <c:v>3.2064128256513016E-2</c:v>
                </c:pt>
                <c:pt idx="17">
                  <c:v>3.4068136272545083E-2</c:v>
                </c:pt>
                <c:pt idx="18">
                  <c:v>3.6072144288577149E-2</c:v>
                </c:pt>
                <c:pt idx="19">
                  <c:v>3.8076152304609215E-2</c:v>
                </c:pt>
                <c:pt idx="20">
                  <c:v>4.0080160320641281E-2</c:v>
                </c:pt>
                <c:pt idx="21">
                  <c:v>4.2084168336673347E-2</c:v>
                </c:pt>
                <c:pt idx="22">
                  <c:v>4.4088176352705413E-2</c:v>
                </c:pt>
                <c:pt idx="23">
                  <c:v>4.6092184368737479E-2</c:v>
                </c:pt>
                <c:pt idx="24">
                  <c:v>4.8096192384769546E-2</c:v>
                </c:pt>
                <c:pt idx="25">
                  <c:v>5.0100200400801612E-2</c:v>
                </c:pt>
                <c:pt idx="26">
                  <c:v>5.2104208416833678E-2</c:v>
                </c:pt>
                <c:pt idx="27">
                  <c:v>5.4108216432865744E-2</c:v>
                </c:pt>
                <c:pt idx="28">
                  <c:v>5.611222444889781E-2</c:v>
                </c:pt>
                <c:pt idx="29">
                  <c:v>5.8116232464929876E-2</c:v>
                </c:pt>
                <c:pt idx="30">
                  <c:v>6.0120240480961942E-2</c:v>
                </c:pt>
                <c:pt idx="31">
                  <c:v>6.2124248496994008E-2</c:v>
                </c:pt>
                <c:pt idx="32">
                  <c:v>6.4128256513026075E-2</c:v>
                </c:pt>
                <c:pt idx="33">
                  <c:v>6.6132264529058141E-2</c:v>
                </c:pt>
                <c:pt idx="34">
                  <c:v>6.8136272545090207E-2</c:v>
                </c:pt>
                <c:pt idx="35">
                  <c:v>7.0140280561122273E-2</c:v>
                </c:pt>
                <c:pt idx="36">
                  <c:v>7.2144288577154339E-2</c:v>
                </c:pt>
                <c:pt idx="37">
                  <c:v>7.4148296593186405E-2</c:v>
                </c:pt>
                <c:pt idx="38">
                  <c:v>7.6152304609218471E-2</c:v>
                </c:pt>
                <c:pt idx="39">
                  <c:v>7.8156312625250537E-2</c:v>
                </c:pt>
                <c:pt idx="40">
                  <c:v>8.0160320641282604E-2</c:v>
                </c:pt>
                <c:pt idx="41">
                  <c:v>8.216432865731467E-2</c:v>
                </c:pt>
                <c:pt idx="42">
                  <c:v>8.4168336673346736E-2</c:v>
                </c:pt>
                <c:pt idx="43">
                  <c:v>8.6172344689378802E-2</c:v>
                </c:pt>
                <c:pt idx="44">
                  <c:v>8.8176352705410868E-2</c:v>
                </c:pt>
                <c:pt idx="45">
                  <c:v>9.0180360721442934E-2</c:v>
                </c:pt>
                <c:pt idx="46">
                  <c:v>9.2184368737475E-2</c:v>
                </c:pt>
                <c:pt idx="47">
                  <c:v>9.4188376753507067E-2</c:v>
                </c:pt>
                <c:pt idx="48">
                  <c:v>9.6192384769539133E-2</c:v>
                </c:pt>
                <c:pt idx="49">
                  <c:v>9.8196392785571199E-2</c:v>
                </c:pt>
                <c:pt idx="50">
                  <c:v>0.10020040080160326</c:v>
                </c:pt>
                <c:pt idx="51">
                  <c:v>0.10220440881763533</c:v>
                </c:pt>
                <c:pt idx="52">
                  <c:v>0.1042084168336674</c:v>
                </c:pt>
                <c:pt idx="53">
                  <c:v>0.10621242484969946</c:v>
                </c:pt>
                <c:pt idx="54">
                  <c:v>0.10821643286573153</c:v>
                </c:pt>
                <c:pt idx="55">
                  <c:v>0.1102204408817636</c:v>
                </c:pt>
                <c:pt idx="56">
                  <c:v>0.11222444889779566</c:v>
                </c:pt>
                <c:pt idx="57">
                  <c:v>0.11422845691382773</c:v>
                </c:pt>
                <c:pt idx="58">
                  <c:v>0.11623246492985979</c:v>
                </c:pt>
                <c:pt idx="59">
                  <c:v>0.11823647294589186</c:v>
                </c:pt>
                <c:pt idx="60">
                  <c:v>0.12024048096192393</c:v>
                </c:pt>
                <c:pt idx="61">
                  <c:v>0.12224448897795599</c:v>
                </c:pt>
                <c:pt idx="62">
                  <c:v>0.12424849699398806</c:v>
                </c:pt>
                <c:pt idx="63">
                  <c:v>0.12625250501002011</c:v>
                </c:pt>
                <c:pt idx="64">
                  <c:v>0.12825651302605218</c:v>
                </c:pt>
                <c:pt idx="65">
                  <c:v>0.13026052104208424</c:v>
                </c:pt>
                <c:pt idx="66">
                  <c:v>0.13226452905811631</c:v>
                </c:pt>
                <c:pt idx="67">
                  <c:v>0.13426853707414838</c:v>
                </c:pt>
                <c:pt idx="68">
                  <c:v>0.13627254509018044</c:v>
                </c:pt>
                <c:pt idx="69">
                  <c:v>0.13827655310621251</c:v>
                </c:pt>
                <c:pt idx="70">
                  <c:v>0.14028056112224457</c:v>
                </c:pt>
                <c:pt idx="71">
                  <c:v>0.14228456913827664</c:v>
                </c:pt>
                <c:pt idx="72">
                  <c:v>0.14428857715430871</c:v>
                </c:pt>
                <c:pt idx="73">
                  <c:v>0.14629258517034077</c:v>
                </c:pt>
                <c:pt idx="74">
                  <c:v>0.14829659318637284</c:v>
                </c:pt>
                <c:pt idx="75">
                  <c:v>0.1503006012024049</c:v>
                </c:pt>
                <c:pt idx="76">
                  <c:v>0.15230460921843697</c:v>
                </c:pt>
                <c:pt idx="77">
                  <c:v>0.15430861723446904</c:v>
                </c:pt>
                <c:pt idx="78">
                  <c:v>0.1563126252505011</c:v>
                </c:pt>
                <c:pt idx="79">
                  <c:v>0.15831663326653317</c:v>
                </c:pt>
                <c:pt idx="80">
                  <c:v>0.16032064128256523</c:v>
                </c:pt>
                <c:pt idx="81">
                  <c:v>0.1623246492985973</c:v>
                </c:pt>
                <c:pt idx="82">
                  <c:v>0.16432865731462937</c:v>
                </c:pt>
                <c:pt idx="83">
                  <c:v>0.16633266533066143</c:v>
                </c:pt>
                <c:pt idx="84">
                  <c:v>0.1683366733466935</c:v>
                </c:pt>
                <c:pt idx="85">
                  <c:v>0.17034068136272557</c:v>
                </c:pt>
                <c:pt idx="86">
                  <c:v>0.17234468937875763</c:v>
                </c:pt>
                <c:pt idx="87">
                  <c:v>0.1743486973947897</c:v>
                </c:pt>
                <c:pt idx="88">
                  <c:v>0.17635270541082176</c:v>
                </c:pt>
                <c:pt idx="89">
                  <c:v>0.17835671342685383</c:v>
                </c:pt>
                <c:pt idx="90">
                  <c:v>0.1803607214428859</c:v>
                </c:pt>
                <c:pt idx="91">
                  <c:v>0.18236472945891796</c:v>
                </c:pt>
                <c:pt idx="92">
                  <c:v>0.18436873747495003</c:v>
                </c:pt>
                <c:pt idx="93">
                  <c:v>0.18637274549098209</c:v>
                </c:pt>
                <c:pt idx="94">
                  <c:v>0.18837675350701416</c:v>
                </c:pt>
                <c:pt idx="95">
                  <c:v>0.19038076152304623</c:v>
                </c:pt>
                <c:pt idx="96">
                  <c:v>0.19238476953907829</c:v>
                </c:pt>
                <c:pt idx="97">
                  <c:v>0.19438877755511036</c:v>
                </c:pt>
                <c:pt idx="98">
                  <c:v>0.19639278557114243</c:v>
                </c:pt>
                <c:pt idx="99">
                  <c:v>0.19839679358717449</c:v>
                </c:pt>
                <c:pt idx="100">
                  <c:v>0.20040080160320656</c:v>
                </c:pt>
                <c:pt idx="101">
                  <c:v>0.20240480961923862</c:v>
                </c:pt>
                <c:pt idx="102">
                  <c:v>0.20440881763527069</c:v>
                </c:pt>
                <c:pt idx="103">
                  <c:v>0.20641282565130276</c:v>
                </c:pt>
                <c:pt idx="104">
                  <c:v>0.20841683366733482</c:v>
                </c:pt>
                <c:pt idx="105">
                  <c:v>0.21042084168336689</c:v>
                </c:pt>
                <c:pt idx="106">
                  <c:v>0.21242484969939895</c:v>
                </c:pt>
                <c:pt idx="107">
                  <c:v>0.21442885771543102</c:v>
                </c:pt>
                <c:pt idx="108">
                  <c:v>0.21643286573146309</c:v>
                </c:pt>
                <c:pt idx="109">
                  <c:v>0.21843687374749515</c:v>
                </c:pt>
                <c:pt idx="110">
                  <c:v>0.22044088176352722</c:v>
                </c:pt>
                <c:pt idx="111">
                  <c:v>0.22244488977955928</c:v>
                </c:pt>
                <c:pt idx="112">
                  <c:v>0.22444889779559135</c:v>
                </c:pt>
                <c:pt idx="113">
                  <c:v>0.22645290581162342</c:v>
                </c:pt>
                <c:pt idx="114">
                  <c:v>0.22845691382765548</c:v>
                </c:pt>
                <c:pt idx="115">
                  <c:v>0.23046092184368755</c:v>
                </c:pt>
                <c:pt idx="116">
                  <c:v>0.23246492985971962</c:v>
                </c:pt>
                <c:pt idx="117">
                  <c:v>0.23446893787575168</c:v>
                </c:pt>
                <c:pt idx="118">
                  <c:v>0.23647294589178375</c:v>
                </c:pt>
                <c:pt idx="119">
                  <c:v>0.23847695390781581</c:v>
                </c:pt>
                <c:pt idx="120">
                  <c:v>0.24048096192384788</c:v>
                </c:pt>
                <c:pt idx="121">
                  <c:v>0.24248496993987995</c:v>
                </c:pt>
                <c:pt idx="122">
                  <c:v>0.24448897795591201</c:v>
                </c:pt>
                <c:pt idx="123">
                  <c:v>0.24649298597194408</c:v>
                </c:pt>
                <c:pt idx="124">
                  <c:v>0.24849699398797614</c:v>
                </c:pt>
                <c:pt idx="125">
                  <c:v>0.25050100200400821</c:v>
                </c:pt>
                <c:pt idx="126">
                  <c:v>0.25250501002004028</c:v>
                </c:pt>
                <c:pt idx="127">
                  <c:v>0.25450901803607234</c:v>
                </c:pt>
                <c:pt idx="128">
                  <c:v>0.25651302605210441</c:v>
                </c:pt>
                <c:pt idx="129">
                  <c:v>0.25851703406813648</c:v>
                </c:pt>
                <c:pt idx="130">
                  <c:v>0.26052104208416854</c:v>
                </c:pt>
                <c:pt idx="131">
                  <c:v>0.26252505010020061</c:v>
                </c:pt>
                <c:pt idx="132">
                  <c:v>0.26452905811623267</c:v>
                </c:pt>
                <c:pt idx="133">
                  <c:v>0.26653306613226474</c:v>
                </c:pt>
                <c:pt idx="134">
                  <c:v>0.26853707414829681</c:v>
                </c:pt>
                <c:pt idx="135">
                  <c:v>0.27054108216432887</c:v>
                </c:pt>
                <c:pt idx="136">
                  <c:v>0.27254509018036094</c:v>
                </c:pt>
                <c:pt idx="137">
                  <c:v>0.274549098196393</c:v>
                </c:pt>
                <c:pt idx="138">
                  <c:v>0.27655310621242507</c:v>
                </c:pt>
                <c:pt idx="139">
                  <c:v>0.27855711422845714</c:v>
                </c:pt>
                <c:pt idx="140">
                  <c:v>0.2805611222444892</c:v>
                </c:pt>
                <c:pt idx="141">
                  <c:v>0.28256513026052127</c:v>
                </c:pt>
                <c:pt idx="142">
                  <c:v>0.28456913827655334</c:v>
                </c:pt>
                <c:pt idx="143">
                  <c:v>0.2865731462925854</c:v>
                </c:pt>
                <c:pt idx="144">
                  <c:v>0.28857715430861747</c:v>
                </c:pt>
                <c:pt idx="145">
                  <c:v>0.29058116232464953</c:v>
                </c:pt>
                <c:pt idx="146">
                  <c:v>0.2925851703406816</c:v>
                </c:pt>
                <c:pt idx="147">
                  <c:v>0.29458917835671367</c:v>
                </c:pt>
                <c:pt idx="148">
                  <c:v>0.29659318637274573</c:v>
                </c:pt>
                <c:pt idx="149">
                  <c:v>0.2985971943887778</c:v>
                </c:pt>
                <c:pt idx="150">
                  <c:v>0.30060120240480986</c:v>
                </c:pt>
                <c:pt idx="151">
                  <c:v>0.30260521042084193</c:v>
                </c:pt>
                <c:pt idx="152">
                  <c:v>0.304609218436874</c:v>
                </c:pt>
                <c:pt idx="153">
                  <c:v>0.30661322645290606</c:v>
                </c:pt>
                <c:pt idx="154">
                  <c:v>0.30861723446893813</c:v>
                </c:pt>
                <c:pt idx="155">
                  <c:v>0.31062124248497019</c:v>
                </c:pt>
                <c:pt idx="156">
                  <c:v>0.31262525050100226</c:v>
                </c:pt>
                <c:pt idx="157">
                  <c:v>0.31462925851703433</c:v>
                </c:pt>
                <c:pt idx="158">
                  <c:v>0.31663326653306639</c:v>
                </c:pt>
                <c:pt idx="159">
                  <c:v>0.31863727454909846</c:v>
                </c:pt>
                <c:pt idx="160">
                  <c:v>0.32064128256513053</c:v>
                </c:pt>
                <c:pt idx="161">
                  <c:v>0.32264529058116259</c:v>
                </c:pt>
                <c:pt idx="162">
                  <c:v>0.32464929859719466</c:v>
                </c:pt>
                <c:pt idx="163">
                  <c:v>0.32665330661322672</c:v>
                </c:pt>
                <c:pt idx="164">
                  <c:v>0.32865731462925879</c:v>
                </c:pt>
                <c:pt idx="165">
                  <c:v>0.33066132264529086</c:v>
                </c:pt>
                <c:pt idx="166">
                  <c:v>0.33266533066132292</c:v>
                </c:pt>
                <c:pt idx="167">
                  <c:v>0.33466933867735499</c:v>
                </c:pt>
                <c:pt idx="168">
                  <c:v>0.33667334669338705</c:v>
                </c:pt>
                <c:pt idx="169">
                  <c:v>0.33867735470941912</c:v>
                </c:pt>
                <c:pt idx="170">
                  <c:v>0.34068136272545119</c:v>
                </c:pt>
                <c:pt idx="171">
                  <c:v>0.34268537074148325</c:v>
                </c:pt>
                <c:pt idx="172">
                  <c:v>0.34468937875751532</c:v>
                </c:pt>
                <c:pt idx="173">
                  <c:v>0.34669338677354739</c:v>
                </c:pt>
                <c:pt idx="174">
                  <c:v>0.34869739478957945</c:v>
                </c:pt>
                <c:pt idx="175">
                  <c:v>0.35070140280561152</c:v>
                </c:pt>
                <c:pt idx="176">
                  <c:v>0.35270541082164358</c:v>
                </c:pt>
                <c:pt idx="177">
                  <c:v>0.35470941883767565</c:v>
                </c:pt>
                <c:pt idx="178">
                  <c:v>0.35671342685370772</c:v>
                </c:pt>
                <c:pt idx="179">
                  <c:v>0.35871743486973978</c:v>
                </c:pt>
                <c:pt idx="180">
                  <c:v>0.36072144288577185</c:v>
                </c:pt>
                <c:pt idx="181">
                  <c:v>0.36272545090180391</c:v>
                </c:pt>
                <c:pt idx="182">
                  <c:v>0.36472945891783598</c:v>
                </c:pt>
                <c:pt idx="183">
                  <c:v>0.36673346693386805</c:v>
                </c:pt>
                <c:pt idx="184">
                  <c:v>0.36873747494990011</c:v>
                </c:pt>
                <c:pt idx="185">
                  <c:v>0.37074148296593218</c:v>
                </c:pt>
                <c:pt idx="186">
                  <c:v>0.37274549098196424</c:v>
                </c:pt>
                <c:pt idx="187">
                  <c:v>0.37474949899799631</c:v>
                </c:pt>
                <c:pt idx="188">
                  <c:v>0.37675350701402838</c:v>
                </c:pt>
                <c:pt idx="189">
                  <c:v>0.37875751503006044</c:v>
                </c:pt>
                <c:pt idx="190">
                  <c:v>0.38076152304609251</c:v>
                </c:pt>
                <c:pt idx="191">
                  <c:v>0.38276553106212458</c:v>
                </c:pt>
                <c:pt idx="192">
                  <c:v>0.38476953907815664</c:v>
                </c:pt>
                <c:pt idx="193">
                  <c:v>0.38677354709418871</c:v>
                </c:pt>
                <c:pt idx="194">
                  <c:v>0.38877755511022077</c:v>
                </c:pt>
                <c:pt idx="195">
                  <c:v>0.39078156312625284</c:v>
                </c:pt>
                <c:pt idx="196">
                  <c:v>0.39278557114228491</c:v>
                </c:pt>
                <c:pt idx="197">
                  <c:v>0.39478957915831697</c:v>
                </c:pt>
                <c:pt idx="198">
                  <c:v>0.39679358717434904</c:v>
                </c:pt>
                <c:pt idx="199">
                  <c:v>0.3987975951903811</c:v>
                </c:pt>
                <c:pt idx="200">
                  <c:v>0.40080160320641317</c:v>
                </c:pt>
                <c:pt idx="201">
                  <c:v>0.40280561122244524</c:v>
                </c:pt>
                <c:pt idx="202">
                  <c:v>0.4048096192384773</c:v>
                </c:pt>
                <c:pt idx="203">
                  <c:v>0.40681362725450937</c:v>
                </c:pt>
                <c:pt idx="204">
                  <c:v>0.40881763527054144</c:v>
                </c:pt>
                <c:pt idx="205">
                  <c:v>0.4108216432865735</c:v>
                </c:pt>
                <c:pt idx="206">
                  <c:v>0.41282565130260557</c:v>
                </c:pt>
                <c:pt idx="207">
                  <c:v>0.41482965931863763</c:v>
                </c:pt>
                <c:pt idx="208">
                  <c:v>0.4168336673346697</c:v>
                </c:pt>
                <c:pt idx="209">
                  <c:v>0.41883767535070177</c:v>
                </c:pt>
                <c:pt idx="210">
                  <c:v>0.42084168336673383</c:v>
                </c:pt>
                <c:pt idx="211">
                  <c:v>0.4228456913827659</c:v>
                </c:pt>
                <c:pt idx="212">
                  <c:v>0.42484969939879796</c:v>
                </c:pt>
                <c:pt idx="213">
                  <c:v>0.42685370741483003</c:v>
                </c:pt>
                <c:pt idx="214">
                  <c:v>0.4288577154308621</c:v>
                </c:pt>
                <c:pt idx="215">
                  <c:v>0.43086172344689416</c:v>
                </c:pt>
                <c:pt idx="216">
                  <c:v>0.43286573146292623</c:v>
                </c:pt>
                <c:pt idx="217">
                  <c:v>0.43486973947895829</c:v>
                </c:pt>
                <c:pt idx="218">
                  <c:v>0.43687374749499036</c:v>
                </c:pt>
                <c:pt idx="219">
                  <c:v>0.43887775551102243</c:v>
                </c:pt>
                <c:pt idx="220">
                  <c:v>0.44088176352705449</c:v>
                </c:pt>
                <c:pt idx="221">
                  <c:v>0.44288577154308656</c:v>
                </c:pt>
                <c:pt idx="222">
                  <c:v>0.44488977955911863</c:v>
                </c:pt>
                <c:pt idx="223">
                  <c:v>0.44689378757515069</c:v>
                </c:pt>
                <c:pt idx="224">
                  <c:v>0.44889779559118276</c:v>
                </c:pt>
                <c:pt idx="225">
                  <c:v>0.45090180360721482</c:v>
                </c:pt>
                <c:pt idx="226">
                  <c:v>0.45290581162324689</c:v>
                </c:pt>
                <c:pt idx="227">
                  <c:v>0.45490981963927896</c:v>
                </c:pt>
                <c:pt idx="228">
                  <c:v>0.45691382765531102</c:v>
                </c:pt>
                <c:pt idx="229">
                  <c:v>0.45891783567134309</c:v>
                </c:pt>
                <c:pt idx="230">
                  <c:v>0.46092184368737515</c:v>
                </c:pt>
                <c:pt idx="231">
                  <c:v>0.46292585170340722</c:v>
                </c:pt>
                <c:pt idx="232">
                  <c:v>0.46492985971943929</c:v>
                </c:pt>
                <c:pt idx="233">
                  <c:v>0.46693386773547135</c:v>
                </c:pt>
                <c:pt idx="234">
                  <c:v>0.46893787575150342</c:v>
                </c:pt>
                <c:pt idx="235">
                  <c:v>0.47094188376753549</c:v>
                </c:pt>
                <c:pt idx="236">
                  <c:v>0.47294589178356755</c:v>
                </c:pt>
                <c:pt idx="237">
                  <c:v>0.47494989979959962</c:v>
                </c:pt>
                <c:pt idx="238">
                  <c:v>0.47695390781563168</c:v>
                </c:pt>
                <c:pt idx="239">
                  <c:v>0.47895791583166375</c:v>
                </c:pt>
                <c:pt idx="240">
                  <c:v>0.48096192384769582</c:v>
                </c:pt>
                <c:pt idx="241">
                  <c:v>0.48296593186372788</c:v>
                </c:pt>
                <c:pt idx="242">
                  <c:v>0.48496993987975995</c:v>
                </c:pt>
                <c:pt idx="243">
                  <c:v>0.48697394789579201</c:v>
                </c:pt>
                <c:pt idx="244">
                  <c:v>0.48897795591182408</c:v>
                </c:pt>
                <c:pt idx="245">
                  <c:v>0.49098196392785615</c:v>
                </c:pt>
                <c:pt idx="246">
                  <c:v>0.49298597194388821</c:v>
                </c:pt>
                <c:pt idx="247">
                  <c:v>0.49498997995992028</c:v>
                </c:pt>
                <c:pt idx="248">
                  <c:v>0.49699398797595234</c:v>
                </c:pt>
                <c:pt idx="249">
                  <c:v>0.49899799599198441</c:v>
                </c:pt>
                <c:pt idx="250">
                  <c:v>0.50100200400801642</c:v>
                </c:pt>
                <c:pt idx="251">
                  <c:v>0.50300601202404849</c:v>
                </c:pt>
                <c:pt idx="252">
                  <c:v>0.50501002004008055</c:v>
                </c:pt>
                <c:pt idx="253">
                  <c:v>0.50701402805611262</c:v>
                </c:pt>
                <c:pt idx="254">
                  <c:v>0.50901803607214469</c:v>
                </c:pt>
                <c:pt idx="255">
                  <c:v>0.51102204408817675</c:v>
                </c:pt>
                <c:pt idx="256">
                  <c:v>0.51302605210420882</c:v>
                </c:pt>
                <c:pt idx="257">
                  <c:v>0.51503006012024088</c:v>
                </c:pt>
                <c:pt idx="258">
                  <c:v>0.51703406813627295</c:v>
                </c:pt>
                <c:pt idx="259">
                  <c:v>0.51903807615230502</c:v>
                </c:pt>
                <c:pt idx="260">
                  <c:v>0.52104208416833708</c:v>
                </c:pt>
                <c:pt idx="261">
                  <c:v>0.52304609218436915</c:v>
                </c:pt>
                <c:pt idx="262">
                  <c:v>0.52505010020040122</c:v>
                </c:pt>
                <c:pt idx="263">
                  <c:v>0.52705410821643328</c:v>
                </c:pt>
                <c:pt idx="264">
                  <c:v>0.52905811623246535</c:v>
                </c:pt>
                <c:pt idx="265">
                  <c:v>0.53106212424849741</c:v>
                </c:pt>
                <c:pt idx="266">
                  <c:v>0.53306613226452948</c:v>
                </c:pt>
                <c:pt idx="267">
                  <c:v>0.53507014028056155</c:v>
                </c:pt>
                <c:pt idx="268">
                  <c:v>0.53707414829659361</c:v>
                </c:pt>
                <c:pt idx="269">
                  <c:v>0.53907815631262568</c:v>
                </c:pt>
                <c:pt idx="270">
                  <c:v>0.54108216432865774</c:v>
                </c:pt>
                <c:pt idx="271">
                  <c:v>0.54308617234468981</c:v>
                </c:pt>
                <c:pt idx="272">
                  <c:v>0.54509018036072188</c:v>
                </c:pt>
                <c:pt idx="273">
                  <c:v>0.54709418837675394</c:v>
                </c:pt>
                <c:pt idx="274">
                  <c:v>0.54909819639278601</c:v>
                </c:pt>
                <c:pt idx="275">
                  <c:v>0.55110220440881807</c:v>
                </c:pt>
                <c:pt idx="276">
                  <c:v>0.55310621242485014</c:v>
                </c:pt>
                <c:pt idx="277">
                  <c:v>0.55511022044088221</c:v>
                </c:pt>
                <c:pt idx="278">
                  <c:v>0.55711422845691427</c:v>
                </c:pt>
                <c:pt idx="279">
                  <c:v>0.55911823647294634</c:v>
                </c:pt>
                <c:pt idx="280">
                  <c:v>0.56112224448897841</c:v>
                </c:pt>
                <c:pt idx="281">
                  <c:v>0.56312625250501047</c:v>
                </c:pt>
                <c:pt idx="282">
                  <c:v>0.56513026052104254</c:v>
                </c:pt>
                <c:pt idx="283">
                  <c:v>0.5671342685370746</c:v>
                </c:pt>
                <c:pt idx="284">
                  <c:v>0.56913827655310667</c:v>
                </c:pt>
                <c:pt idx="285">
                  <c:v>0.57114228456913874</c:v>
                </c:pt>
                <c:pt idx="286">
                  <c:v>0.5731462925851708</c:v>
                </c:pt>
                <c:pt idx="287">
                  <c:v>0.57515030060120287</c:v>
                </c:pt>
                <c:pt idx="288">
                  <c:v>0.57715430861723493</c:v>
                </c:pt>
                <c:pt idx="289">
                  <c:v>0.579158316633267</c:v>
                </c:pt>
                <c:pt idx="290">
                  <c:v>0.58116232464929907</c:v>
                </c:pt>
                <c:pt idx="291">
                  <c:v>0.58316633266533113</c:v>
                </c:pt>
                <c:pt idx="292">
                  <c:v>0.5851703406813632</c:v>
                </c:pt>
                <c:pt idx="293">
                  <c:v>0.58717434869739527</c:v>
                </c:pt>
                <c:pt idx="294">
                  <c:v>0.58917835671342733</c:v>
                </c:pt>
                <c:pt idx="295">
                  <c:v>0.5911823647294594</c:v>
                </c:pt>
                <c:pt idx="296">
                  <c:v>0.59318637274549146</c:v>
                </c:pt>
                <c:pt idx="297">
                  <c:v>0.59519038076152353</c:v>
                </c:pt>
                <c:pt idx="298">
                  <c:v>0.5971943887775556</c:v>
                </c:pt>
                <c:pt idx="299">
                  <c:v>0.59919839679358766</c:v>
                </c:pt>
                <c:pt idx="300">
                  <c:v>0.60120240480961973</c:v>
                </c:pt>
                <c:pt idx="301">
                  <c:v>0.60320641282565179</c:v>
                </c:pt>
                <c:pt idx="302">
                  <c:v>0.60521042084168386</c:v>
                </c:pt>
                <c:pt idx="303">
                  <c:v>0.60721442885771593</c:v>
                </c:pt>
                <c:pt idx="304">
                  <c:v>0.60921843687374799</c:v>
                </c:pt>
                <c:pt idx="305">
                  <c:v>0.61122244488978006</c:v>
                </c:pt>
                <c:pt idx="306">
                  <c:v>0.61322645290581212</c:v>
                </c:pt>
                <c:pt idx="307">
                  <c:v>0.61523046092184419</c:v>
                </c:pt>
                <c:pt idx="308">
                  <c:v>0.61723446893787626</c:v>
                </c:pt>
                <c:pt idx="309">
                  <c:v>0.61923847695390832</c:v>
                </c:pt>
                <c:pt idx="310">
                  <c:v>0.62124248496994039</c:v>
                </c:pt>
                <c:pt idx="311">
                  <c:v>0.62324649298597246</c:v>
                </c:pt>
                <c:pt idx="312">
                  <c:v>0.62525050100200452</c:v>
                </c:pt>
                <c:pt idx="313">
                  <c:v>0.62725450901803659</c:v>
                </c:pt>
                <c:pt idx="314">
                  <c:v>0.62925851703406865</c:v>
                </c:pt>
                <c:pt idx="315">
                  <c:v>0.63126252505010072</c:v>
                </c:pt>
                <c:pt idx="316">
                  <c:v>0.63326653306613279</c:v>
                </c:pt>
                <c:pt idx="317">
                  <c:v>0.63527054108216485</c:v>
                </c:pt>
                <c:pt idx="318">
                  <c:v>0.63727454909819692</c:v>
                </c:pt>
                <c:pt idx="319">
                  <c:v>0.63927855711422898</c:v>
                </c:pt>
                <c:pt idx="320">
                  <c:v>0.64128256513026105</c:v>
                </c:pt>
                <c:pt idx="321">
                  <c:v>0.64328657314629312</c:v>
                </c:pt>
                <c:pt idx="322">
                  <c:v>0.64529058116232518</c:v>
                </c:pt>
                <c:pt idx="323">
                  <c:v>0.64729458917835725</c:v>
                </c:pt>
                <c:pt idx="324">
                  <c:v>0.64929859719438932</c:v>
                </c:pt>
                <c:pt idx="325">
                  <c:v>0.65130260521042138</c:v>
                </c:pt>
                <c:pt idx="326">
                  <c:v>0.65330661322645345</c:v>
                </c:pt>
                <c:pt idx="327">
                  <c:v>0.65531062124248551</c:v>
                </c:pt>
                <c:pt idx="328">
                  <c:v>0.65731462925851758</c:v>
                </c:pt>
                <c:pt idx="329">
                  <c:v>0.65931863727454965</c:v>
                </c:pt>
                <c:pt idx="330">
                  <c:v>0.66132264529058171</c:v>
                </c:pt>
                <c:pt idx="331">
                  <c:v>0.66332665330661378</c:v>
                </c:pt>
                <c:pt idx="332">
                  <c:v>0.66533066132264584</c:v>
                </c:pt>
                <c:pt idx="333">
                  <c:v>0.66733466933867791</c:v>
                </c:pt>
                <c:pt idx="334">
                  <c:v>0.66933867735470998</c:v>
                </c:pt>
                <c:pt idx="335">
                  <c:v>0.67134268537074204</c:v>
                </c:pt>
                <c:pt idx="336">
                  <c:v>0.67334669338677411</c:v>
                </c:pt>
                <c:pt idx="337">
                  <c:v>0.67535070140280618</c:v>
                </c:pt>
                <c:pt idx="338">
                  <c:v>0.67735470941883824</c:v>
                </c:pt>
                <c:pt idx="339">
                  <c:v>0.67935871743487031</c:v>
                </c:pt>
                <c:pt idx="340">
                  <c:v>0.68136272545090237</c:v>
                </c:pt>
                <c:pt idx="341">
                  <c:v>0.68336673346693444</c:v>
                </c:pt>
                <c:pt idx="342">
                  <c:v>0.68537074148296651</c:v>
                </c:pt>
                <c:pt idx="343">
                  <c:v>0.68737474949899857</c:v>
                </c:pt>
                <c:pt idx="344">
                  <c:v>0.68937875751503064</c:v>
                </c:pt>
                <c:pt idx="345">
                  <c:v>0.6913827655310627</c:v>
                </c:pt>
                <c:pt idx="346">
                  <c:v>0.69338677354709477</c:v>
                </c:pt>
                <c:pt idx="347">
                  <c:v>0.69539078156312684</c:v>
                </c:pt>
                <c:pt idx="348">
                  <c:v>0.6973947895791589</c:v>
                </c:pt>
                <c:pt idx="349">
                  <c:v>0.69939879759519097</c:v>
                </c:pt>
                <c:pt idx="350">
                  <c:v>0.70140280561122303</c:v>
                </c:pt>
                <c:pt idx="351">
                  <c:v>0.7034068136272551</c:v>
                </c:pt>
                <c:pt idx="352">
                  <c:v>0.70541082164328717</c:v>
                </c:pt>
                <c:pt idx="353">
                  <c:v>0.70741482965931923</c:v>
                </c:pt>
                <c:pt idx="354">
                  <c:v>0.7094188376753513</c:v>
                </c:pt>
                <c:pt idx="355">
                  <c:v>0.71142284569138337</c:v>
                </c:pt>
                <c:pt idx="356">
                  <c:v>0.71342685370741543</c:v>
                </c:pt>
                <c:pt idx="357">
                  <c:v>0.7154308617234475</c:v>
                </c:pt>
                <c:pt idx="358">
                  <c:v>0.71743486973947956</c:v>
                </c:pt>
                <c:pt idx="359">
                  <c:v>0.71943887775551163</c:v>
                </c:pt>
                <c:pt idx="360">
                  <c:v>0.7214428857715437</c:v>
                </c:pt>
                <c:pt idx="361">
                  <c:v>0.72344689378757576</c:v>
                </c:pt>
                <c:pt idx="362">
                  <c:v>0.72545090180360783</c:v>
                </c:pt>
                <c:pt idx="363">
                  <c:v>0.72745490981963989</c:v>
                </c:pt>
                <c:pt idx="364">
                  <c:v>0.72945891783567196</c:v>
                </c:pt>
                <c:pt idx="365">
                  <c:v>0.73146292585170403</c:v>
                </c:pt>
                <c:pt idx="366">
                  <c:v>0.73346693386773609</c:v>
                </c:pt>
                <c:pt idx="367">
                  <c:v>0.73547094188376816</c:v>
                </c:pt>
                <c:pt idx="368">
                  <c:v>0.73747494989980023</c:v>
                </c:pt>
                <c:pt idx="369">
                  <c:v>0.73947895791583229</c:v>
                </c:pt>
                <c:pt idx="370">
                  <c:v>0.74148296593186436</c:v>
                </c:pt>
                <c:pt idx="371">
                  <c:v>0.74348697394789642</c:v>
                </c:pt>
                <c:pt idx="372">
                  <c:v>0.74549098196392849</c:v>
                </c:pt>
                <c:pt idx="373">
                  <c:v>0.74749498997996056</c:v>
                </c:pt>
                <c:pt idx="374">
                  <c:v>0.74949899799599262</c:v>
                </c:pt>
                <c:pt idx="375">
                  <c:v>0.75150300601202469</c:v>
                </c:pt>
                <c:pt idx="376">
                  <c:v>0.75350701402805675</c:v>
                </c:pt>
                <c:pt idx="377">
                  <c:v>0.75551102204408882</c:v>
                </c:pt>
                <c:pt idx="378">
                  <c:v>0.75751503006012089</c:v>
                </c:pt>
                <c:pt idx="379">
                  <c:v>0.75951903807615295</c:v>
                </c:pt>
                <c:pt idx="380">
                  <c:v>0.76152304609218502</c:v>
                </c:pt>
                <c:pt idx="381">
                  <c:v>0.76352705410821708</c:v>
                </c:pt>
                <c:pt idx="382">
                  <c:v>0.76553106212424915</c:v>
                </c:pt>
                <c:pt idx="383">
                  <c:v>0.76753507014028122</c:v>
                </c:pt>
                <c:pt idx="384">
                  <c:v>0.76953907815631328</c:v>
                </c:pt>
                <c:pt idx="385">
                  <c:v>0.77154308617234535</c:v>
                </c:pt>
                <c:pt idx="386">
                  <c:v>0.77354709418837742</c:v>
                </c:pt>
                <c:pt idx="387">
                  <c:v>0.77555110220440948</c:v>
                </c:pt>
                <c:pt idx="388">
                  <c:v>0.77755511022044155</c:v>
                </c:pt>
                <c:pt idx="389">
                  <c:v>0.77955911823647361</c:v>
                </c:pt>
                <c:pt idx="390">
                  <c:v>0.78156312625250568</c:v>
                </c:pt>
                <c:pt idx="391">
                  <c:v>0.78356713426853775</c:v>
                </c:pt>
                <c:pt idx="392">
                  <c:v>0.78557114228456981</c:v>
                </c:pt>
                <c:pt idx="393">
                  <c:v>0.78757515030060188</c:v>
                </c:pt>
                <c:pt idx="394">
                  <c:v>0.78957915831663394</c:v>
                </c:pt>
                <c:pt idx="395">
                  <c:v>0.79158316633266601</c:v>
                </c:pt>
                <c:pt idx="396">
                  <c:v>0.79358717434869808</c:v>
                </c:pt>
                <c:pt idx="397">
                  <c:v>0.79559118236473014</c:v>
                </c:pt>
                <c:pt idx="398">
                  <c:v>0.79759519038076221</c:v>
                </c:pt>
                <c:pt idx="399">
                  <c:v>0.79959919839679428</c:v>
                </c:pt>
                <c:pt idx="400">
                  <c:v>0.80160320641282634</c:v>
                </c:pt>
                <c:pt idx="401">
                  <c:v>0.80360721442885841</c:v>
                </c:pt>
                <c:pt idx="402">
                  <c:v>0.80561122244489047</c:v>
                </c:pt>
                <c:pt idx="403">
                  <c:v>0.80761523046092254</c:v>
                </c:pt>
                <c:pt idx="404">
                  <c:v>0.80961923847695461</c:v>
                </c:pt>
                <c:pt idx="405">
                  <c:v>0.81162324649298667</c:v>
                </c:pt>
                <c:pt idx="406">
                  <c:v>0.81362725450901874</c:v>
                </c:pt>
                <c:pt idx="407">
                  <c:v>0.8156312625250508</c:v>
                </c:pt>
                <c:pt idx="408">
                  <c:v>0.81763527054108287</c:v>
                </c:pt>
                <c:pt idx="409">
                  <c:v>0.81963927855711494</c:v>
                </c:pt>
                <c:pt idx="410">
                  <c:v>0.821643286573147</c:v>
                </c:pt>
                <c:pt idx="411">
                  <c:v>0.82364729458917907</c:v>
                </c:pt>
                <c:pt idx="412">
                  <c:v>0.82565130260521113</c:v>
                </c:pt>
                <c:pt idx="413">
                  <c:v>0.8276553106212432</c:v>
                </c:pt>
                <c:pt idx="414">
                  <c:v>0.82965931863727527</c:v>
                </c:pt>
                <c:pt idx="415">
                  <c:v>0.83166332665330733</c:v>
                </c:pt>
                <c:pt idx="416">
                  <c:v>0.8336673346693394</c:v>
                </c:pt>
                <c:pt idx="417">
                  <c:v>0.83567134268537147</c:v>
                </c:pt>
                <c:pt idx="418">
                  <c:v>0.83767535070140353</c:v>
                </c:pt>
                <c:pt idx="419">
                  <c:v>0.8396793587174356</c:v>
                </c:pt>
                <c:pt idx="420">
                  <c:v>0.84168336673346766</c:v>
                </c:pt>
                <c:pt idx="421">
                  <c:v>0.84368737474949973</c:v>
                </c:pt>
                <c:pt idx="422">
                  <c:v>0.8456913827655318</c:v>
                </c:pt>
                <c:pt idx="423">
                  <c:v>0.84769539078156386</c:v>
                </c:pt>
                <c:pt idx="424">
                  <c:v>0.84969939879759593</c:v>
                </c:pt>
                <c:pt idx="425">
                  <c:v>0.85170340681362799</c:v>
                </c:pt>
                <c:pt idx="426">
                  <c:v>0.85370741482966006</c:v>
                </c:pt>
                <c:pt idx="427">
                  <c:v>0.85571142284569213</c:v>
                </c:pt>
                <c:pt idx="428">
                  <c:v>0.85771543086172419</c:v>
                </c:pt>
                <c:pt idx="429">
                  <c:v>0.85971943887775626</c:v>
                </c:pt>
                <c:pt idx="430">
                  <c:v>0.86172344689378833</c:v>
                </c:pt>
                <c:pt idx="431">
                  <c:v>0.86372745490982039</c:v>
                </c:pt>
                <c:pt idx="432">
                  <c:v>0.86573146292585246</c:v>
                </c:pt>
                <c:pt idx="433">
                  <c:v>0.86773547094188452</c:v>
                </c:pt>
                <c:pt idx="434">
                  <c:v>0.86973947895791659</c:v>
                </c:pt>
                <c:pt idx="435">
                  <c:v>0.87174348697394866</c:v>
                </c:pt>
                <c:pt idx="436">
                  <c:v>0.87374749498998072</c:v>
                </c:pt>
                <c:pt idx="437">
                  <c:v>0.87575150300601279</c:v>
                </c:pt>
                <c:pt idx="438">
                  <c:v>0.87775551102204485</c:v>
                </c:pt>
                <c:pt idx="439">
                  <c:v>0.87975951903807692</c:v>
                </c:pt>
                <c:pt idx="440">
                  <c:v>0.88176352705410899</c:v>
                </c:pt>
                <c:pt idx="441">
                  <c:v>0.88376753507014105</c:v>
                </c:pt>
                <c:pt idx="442">
                  <c:v>0.88577154308617312</c:v>
                </c:pt>
                <c:pt idx="443">
                  <c:v>0.88777555110220518</c:v>
                </c:pt>
                <c:pt idx="444">
                  <c:v>0.88977955911823725</c:v>
                </c:pt>
                <c:pt idx="445">
                  <c:v>0.89178356713426932</c:v>
                </c:pt>
                <c:pt idx="446">
                  <c:v>0.89378757515030138</c:v>
                </c:pt>
                <c:pt idx="447">
                  <c:v>0.89579158316633345</c:v>
                </c:pt>
                <c:pt idx="448">
                  <c:v>0.89779559118236552</c:v>
                </c:pt>
                <c:pt idx="449">
                  <c:v>0.89979959919839758</c:v>
                </c:pt>
                <c:pt idx="450">
                  <c:v>0.90180360721442965</c:v>
                </c:pt>
                <c:pt idx="451">
                  <c:v>0.90380761523046171</c:v>
                </c:pt>
                <c:pt idx="452">
                  <c:v>0.90581162324649378</c:v>
                </c:pt>
                <c:pt idx="453">
                  <c:v>0.90781563126252585</c:v>
                </c:pt>
                <c:pt idx="454">
                  <c:v>0.90981963927855791</c:v>
                </c:pt>
                <c:pt idx="455">
                  <c:v>0.91182364729458998</c:v>
                </c:pt>
                <c:pt idx="456">
                  <c:v>0.91382765531062204</c:v>
                </c:pt>
                <c:pt idx="457">
                  <c:v>0.91583166332665411</c:v>
                </c:pt>
                <c:pt idx="458">
                  <c:v>0.91783567134268618</c:v>
                </c:pt>
                <c:pt idx="459">
                  <c:v>0.91983967935871824</c:v>
                </c:pt>
                <c:pt idx="460">
                  <c:v>0.92184368737475031</c:v>
                </c:pt>
                <c:pt idx="461">
                  <c:v>0.92384769539078238</c:v>
                </c:pt>
                <c:pt idx="462">
                  <c:v>0.92585170340681444</c:v>
                </c:pt>
                <c:pt idx="463">
                  <c:v>0.92785571142284651</c:v>
                </c:pt>
                <c:pt idx="464">
                  <c:v>0.92985971943887857</c:v>
                </c:pt>
                <c:pt idx="465">
                  <c:v>0.93186372745491064</c:v>
                </c:pt>
                <c:pt idx="466">
                  <c:v>0.93386773547094271</c:v>
                </c:pt>
                <c:pt idx="467">
                  <c:v>0.93587174348697477</c:v>
                </c:pt>
                <c:pt idx="468">
                  <c:v>0.93787575150300684</c:v>
                </c:pt>
                <c:pt idx="469">
                  <c:v>0.9398797595190389</c:v>
                </c:pt>
                <c:pt idx="470">
                  <c:v>0.94188376753507097</c:v>
                </c:pt>
                <c:pt idx="471">
                  <c:v>0.94388777555110304</c:v>
                </c:pt>
                <c:pt idx="472">
                  <c:v>0.9458917835671351</c:v>
                </c:pt>
                <c:pt idx="473">
                  <c:v>0.94789579158316717</c:v>
                </c:pt>
                <c:pt idx="474">
                  <c:v>0.94989979959919923</c:v>
                </c:pt>
                <c:pt idx="475">
                  <c:v>0.9519038076152313</c:v>
                </c:pt>
                <c:pt idx="476">
                  <c:v>0.95390781563126337</c:v>
                </c:pt>
                <c:pt idx="477">
                  <c:v>0.95591182364729543</c:v>
                </c:pt>
                <c:pt idx="478">
                  <c:v>0.9579158316633275</c:v>
                </c:pt>
                <c:pt idx="479">
                  <c:v>0.95991983967935957</c:v>
                </c:pt>
                <c:pt idx="480">
                  <c:v>0.96192384769539163</c:v>
                </c:pt>
                <c:pt idx="481">
                  <c:v>0.9639278557114237</c:v>
                </c:pt>
                <c:pt idx="482">
                  <c:v>0.96593186372745576</c:v>
                </c:pt>
                <c:pt idx="483">
                  <c:v>0.96793587174348783</c:v>
                </c:pt>
                <c:pt idx="484">
                  <c:v>0.9699398797595199</c:v>
                </c:pt>
                <c:pt idx="485">
                  <c:v>0.97194388777555196</c:v>
                </c:pt>
                <c:pt idx="486">
                  <c:v>0.97394789579158403</c:v>
                </c:pt>
                <c:pt idx="487">
                  <c:v>0.97595190380761609</c:v>
                </c:pt>
                <c:pt idx="488">
                  <c:v>0.97795591182364816</c:v>
                </c:pt>
                <c:pt idx="489">
                  <c:v>0.97995991983968023</c:v>
                </c:pt>
                <c:pt idx="490">
                  <c:v>0.98196392785571229</c:v>
                </c:pt>
                <c:pt idx="491">
                  <c:v>0.98396793587174436</c:v>
                </c:pt>
                <c:pt idx="492">
                  <c:v>0.98597194388777643</c:v>
                </c:pt>
                <c:pt idx="493">
                  <c:v>0.98797595190380849</c:v>
                </c:pt>
                <c:pt idx="494">
                  <c:v>0.98997995991984056</c:v>
                </c:pt>
                <c:pt idx="495">
                  <c:v>0.99198396793587262</c:v>
                </c:pt>
                <c:pt idx="496">
                  <c:v>0.99398797595190469</c:v>
                </c:pt>
                <c:pt idx="497">
                  <c:v>0.99599198396793676</c:v>
                </c:pt>
                <c:pt idx="498">
                  <c:v>0.99799599198396882</c:v>
                </c:pt>
                <c:pt idx="499">
                  <c:v>1.0000000000000009</c:v>
                </c:pt>
              </c:numCache>
            </c:numRef>
          </c:yVal>
          <c:smooth val="1"/>
        </c:ser>
        <c:axId val="182327936"/>
        <c:axId val="182329728"/>
      </c:scatterChart>
      <c:valAx>
        <c:axId val="182327936"/>
        <c:scaling>
          <c:orientation val="minMax"/>
          <c:min val="0"/>
        </c:scaling>
        <c:axPos val="b"/>
        <c:numFmt formatCode="General" sourceLinked="1"/>
        <c:tickLblPos val="nextTo"/>
        <c:crossAx val="182329728"/>
        <c:crosses val="autoZero"/>
        <c:crossBetween val="midCat"/>
      </c:valAx>
      <c:valAx>
        <c:axId val="182329728"/>
        <c:scaling>
          <c:orientation val="minMax"/>
          <c:max val="1"/>
          <c:min val="0"/>
        </c:scaling>
        <c:axPos val="l"/>
        <c:majorGridlines>
          <c:spPr>
            <a:ln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Prob</a:t>
                </a:r>
                <a:endParaRPr/>
              </a:p>
            </c:rich>
          </c:tx>
          <c:layout/>
        </c:title>
        <c:numFmt formatCode="General" sourceLinked="1"/>
        <c:tickLblPos val="nextTo"/>
        <c:crossAx val="182327936"/>
        <c:crosses val="autoZero"/>
        <c:crossBetween val="midCat"/>
      </c:valAx>
      <c:spPr>
        <a:noFill/>
      </c:spPr>
    </c:plotArea>
    <c:legend>
      <c:legendPos val="b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</xdr:row>
      <xdr:rowOff>171450</xdr:rowOff>
    </xdr:from>
    <xdr:to>
      <xdr:col>15</xdr:col>
      <xdr:colOff>409575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0</xdr:rowOff>
    </xdr:from>
    <xdr:to>
      <xdr:col>11</xdr:col>
      <xdr:colOff>304800</xdr:colOff>
      <xdr:row>34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9"/>
  <sheetViews>
    <sheetView topLeftCell="A487" workbookViewId="0">
      <selection activeCell="B514" sqref="B514"/>
    </sheetView>
  </sheetViews>
  <sheetFormatPr defaultRowHeight="15"/>
  <sheetData>
    <row r="1" spans="1:7">
      <c r="A1" t="s">
        <v>62</v>
      </c>
    </row>
    <row r="2" spans="1:7">
      <c r="A2" t="s">
        <v>45</v>
      </c>
      <c r="B2" t="str">
        <f ca="1">ADDRESS(ROW(Sheet1!$B$17),COLUMN(Sheet1!$B$17),4,,_xll.WSNAME(Sheet1!$B$17))</f>
        <v>Sheet1!B17</v>
      </c>
    </row>
    <row r="3" spans="1:7">
      <c r="A3" t="s">
        <v>46</v>
      </c>
      <c r="B3">
        <f>AVERAGE(B9:B508)</f>
        <v>67074.624509958856</v>
      </c>
      <c r="F3" t="str">
        <f>SimData!$B$8</f>
        <v>Sum 30 Days</v>
      </c>
      <c r="G3" t="s">
        <v>63</v>
      </c>
    </row>
    <row r="4" spans="1:7">
      <c r="A4" t="s">
        <v>47</v>
      </c>
      <c r="B4">
        <f>STDEV(B9:B508)</f>
        <v>37300.595297818771</v>
      </c>
      <c r="F4">
        <f>SMALL(SimData!$B$9:$B$508,1)</f>
        <v>0</v>
      </c>
      <c r="G4">
        <v>0</v>
      </c>
    </row>
    <row r="5" spans="1:7">
      <c r="A5" t="s">
        <v>48</v>
      </c>
      <c r="B5">
        <f>100*B4/B3</f>
        <v>55.610591293404248</v>
      </c>
      <c r="F5">
        <f>SMALL(SimData!$B$9:$B$508,2)</f>
        <v>0</v>
      </c>
      <c r="G5">
        <f>1/(COUNT(SimData!$B$9:$B$508)-1)+$G$4</f>
        <v>2.004008016032064E-3</v>
      </c>
    </row>
    <row r="6" spans="1:7">
      <c r="A6" t="s">
        <v>49</v>
      </c>
      <c r="B6">
        <f>MIN(B9:B508)</f>
        <v>0</v>
      </c>
      <c r="F6">
        <f>SMALL(SimData!$B$9:$B$508,3)</f>
        <v>0</v>
      </c>
      <c r="G6">
        <f>1/(COUNT(SimData!$B$9:$B$508)-1)+$G$5</f>
        <v>4.0080160320641279E-3</v>
      </c>
    </row>
    <row r="7" spans="1:7">
      <c r="A7" t="s">
        <v>50</v>
      </c>
      <c r="B7">
        <f>MAX(B9:B508)</f>
        <v>202214.77684477341</v>
      </c>
      <c r="F7">
        <f>SMALL(SimData!$B$9:$B$508,4)</f>
        <v>0</v>
      </c>
      <c r="G7">
        <f>1/(COUNT(SimData!$B$9:$B$508)-1)+$G$6</f>
        <v>6.0120240480961915E-3</v>
      </c>
    </row>
    <row r="8" spans="1:7">
      <c r="A8" t="s">
        <v>51</v>
      </c>
      <c r="B8" t="str">
        <f>Sheet1!$A$17</f>
        <v>Sum 30 Days</v>
      </c>
      <c r="F8">
        <f>SMALL(SimData!$B$9:$B$508,5)</f>
        <v>0</v>
      </c>
      <c r="G8">
        <f>1/(COUNT(SimData!$B$9:$B$508)-1)+$G$7</f>
        <v>8.0160320641282558E-3</v>
      </c>
    </row>
    <row r="9" spans="1:7">
      <c r="A9">
        <v>1</v>
      </c>
      <c r="B9">
        <v>140677.43351573937</v>
      </c>
      <c r="F9">
        <f>SMALL(SimData!$B$9:$B$508,6)</f>
        <v>0</v>
      </c>
      <c r="G9">
        <f>1/(COUNT(SimData!$B$9:$B$508)-1)+$G$8</f>
        <v>1.002004008016032E-2</v>
      </c>
    </row>
    <row r="10" spans="1:7">
      <c r="A10">
        <v>2</v>
      </c>
      <c r="B10">
        <v>59389.220675355253</v>
      </c>
      <c r="F10">
        <f>SMALL(SimData!$B$9:$B$508,7)</f>
        <v>0</v>
      </c>
      <c r="G10">
        <f>1/(COUNT(SimData!$B$9:$B$508)-1)+$G$9</f>
        <v>1.2024048096192385E-2</v>
      </c>
    </row>
    <row r="11" spans="1:7">
      <c r="A11">
        <v>3</v>
      </c>
      <c r="B11">
        <v>72623.343701181628</v>
      </c>
      <c r="F11">
        <f>SMALL(SimData!$B$9:$B$508,8)</f>
        <v>0</v>
      </c>
      <c r="G11">
        <f>1/(COUNT(SimData!$B$9:$B$508)-1)+$G$10</f>
        <v>1.4028056112224449E-2</v>
      </c>
    </row>
    <row r="12" spans="1:7">
      <c r="A12">
        <v>4</v>
      </c>
      <c r="B12">
        <v>101350.50683832788</v>
      </c>
      <c r="F12">
        <f>SMALL(SimData!$B$9:$B$508,9)</f>
        <v>0</v>
      </c>
      <c r="G12">
        <f>1/(COUNT(SimData!$B$9:$B$508)-1)+$G$11</f>
        <v>1.6032064128256512E-2</v>
      </c>
    </row>
    <row r="13" spans="1:7">
      <c r="A13">
        <v>5</v>
      </c>
      <c r="B13">
        <v>52693.090988958502</v>
      </c>
      <c r="F13">
        <f>SMALL(SimData!$B$9:$B$508,10)</f>
        <v>0</v>
      </c>
      <c r="G13">
        <f>1/(COUNT(SimData!$B$9:$B$508)-1)+$G$12</f>
        <v>1.8036072144288574E-2</v>
      </c>
    </row>
    <row r="14" spans="1:7">
      <c r="A14">
        <v>6</v>
      </c>
      <c r="B14">
        <v>104964.23315855119</v>
      </c>
      <c r="F14">
        <f>SMALL(SimData!$B$9:$B$508,11)</f>
        <v>0</v>
      </c>
      <c r="G14">
        <f>1/(COUNT(SimData!$B$9:$B$508)-1)+$G$13</f>
        <v>2.0040080160320637E-2</v>
      </c>
    </row>
    <row r="15" spans="1:7">
      <c r="A15">
        <v>7</v>
      </c>
      <c r="B15">
        <v>49583.696675622137</v>
      </c>
      <c r="F15">
        <f>SMALL(SimData!$B$9:$B$508,12)</f>
        <v>0</v>
      </c>
      <c r="G15">
        <f>1/(COUNT(SimData!$B$9:$B$508)-1)+$G$14</f>
        <v>2.20440881763527E-2</v>
      </c>
    </row>
    <row r="16" spans="1:7">
      <c r="A16">
        <v>8</v>
      </c>
      <c r="B16">
        <v>66799.052708550807</v>
      </c>
      <c r="F16">
        <f>SMALL(SimData!$B$9:$B$508,13)</f>
        <v>0</v>
      </c>
      <c r="G16">
        <f>1/(COUNT(SimData!$B$9:$B$508)-1)+$G$15</f>
        <v>2.4048096192384762E-2</v>
      </c>
    </row>
    <row r="17" spans="1:7">
      <c r="A17">
        <v>9</v>
      </c>
      <c r="B17">
        <v>71767.882447474578</v>
      </c>
      <c r="F17">
        <f>SMALL(SimData!$B$9:$B$508,14)</f>
        <v>0</v>
      </c>
      <c r="G17">
        <f>1/(COUNT(SimData!$B$9:$B$508)-1)+$G$16</f>
        <v>2.6052104208416825E-2</v>
      </c>
    </row>
    <row r="18" spans="1:7">
      <c r="A18">
        <v>10</v>
      </c>
      <c r="B18">
        <v>36654.024069423584</v>
      </c>
      <c r="F18">
        <f>SMALL(SimData!$B$9:$B$508,15)</f>
        <v>0</v>
      </c>
      <c r="G18">
        <f>1/(COUNT(SimData!$B$9:$B$508)-1)+$G$17</f>
        <v>2.8056112224448888E-2</v>
      </c>
    </row>
    <row r="19" spans="1:7">
      <c r="A19">
        <v>11</v>
      </c>
      <c r="B19">
        <v>65283.16726938379</v>
      </c>
      <c r="F19">
        <f>SMALL(SimData!$B$9:$B$508,16)</f>
        <v>4384.535377252997</v>
      </c>
      <c r="G19">
        <f>1/(COUNT(SimData!$B$9:$B$508)-1)+$G$18</f>
        <v>3.006012024048095E-2</v>
      </c>
    </row>
    <row r="20" spans="1:7">
      <c r="A20">
        <v>12</v>
      </c>
      <c r="B20">
        <v>4384.535377252997</v>
      </c>
      <c r="F20">
        <f>SMALL(SimData!$B$9:$B$508,17)</f>
        <v>8053.4481558451398</v>
      </c>
      <c r="G20">
        <f>1/(COUNT(SimData!$B$9:$B$508)-1)+$G$19</f>
        <v>3.2064128256513016E-2</v>
      </c>
    </row>
    <row r="21" spans="1:7">
      <c r="A21">
        <v>13</v>
      </c>
      <c r="B21">
        <v>39803.706949159598</v>
      </c>
      <c r="F21">
        <f>SMALL(SimData!$B$9:$B$508,18)</f>
        <v>8393.5391241169455</v>
      </c>
      <c r="G21">
        <f>1/(COUNT(SimData!$B$9:$B$508)-1)+$G$20</f>
        <v>3.4068136272545083E-2</v>
      </c>
    </row>
    <row r="22" spans="1:7">
      <c r="A22">
        <v>14</v>
      </c>
      <c r="B22">
        <v>91541.985243956893</v>
      </c>
      <c r="F22">
        <f>SMALL(SimData!$B$9:$B$508,19)</f>
        <v>8637.8176500836853</v>
      </c>
      <c r="G22">
        <f>1/(COUNT(SimData!$B$9:$B$508)-1)+$G$21</f>
        <v>3.6072144288577149E-2</v>
      </c>
    </row>
    <row r="23" spans="1:7">
      <c r="A23">
        <v>15</v>
      </c>
      <c r="B23">
        <v>37357.825147693919</v>
      </c>
      <c r="F23">
        <f>SMALL(SimData!$B$9:$B$508,20)</f>
        <v>12250.977501089461</v>
      </c>
      <c r="G23">
        <f>1/(COUNT(SimData!$B$9:$B$508)-1)+$G$22</f>
        <v>3.8076152304609215E-2</v>
      </c>
    </row>
    <row r="24" spans="1:7">
      <c r="A24">
        <v>16</v>
      </c>
      <c r="B24">
        <v>37251.639790259724</v>
      </c>
      <c r="F24">
        <f>SMALL(SimData!$B$9:$B$508,21)</f>
        <v>12282.858624550032</v>
      </c>
      <c r="G24">
        <f>1/(COUNT(SimData!$B$9:$B$508)-1)+$G$23</f>
        <v>4.0080160320641281E-2</v>
      </c>
    </row>
    <row r="25" spans="1:7">
      <c r="A25">
        <v>17</v>
      </c>
      <c r="B25">
        <v>114546.42098607391</v>
      </c>
      <c r="F25">
        <f>SMALL(SimData!$B$9:$B$508,22)</f>
        <v>12287.67683887589</v>
      </c>
      <c r="G25">
        <f>1/(COUNT(SimData!$B$9:$B$508)-1)+$G$24</f>
        <v>4.2084168336673347E-2</v>
      </c>
    </row>
    <row r="26" spans="1:7">
      <c r="A26">
        <v>18</v>
      </c>
      <c r="B26">
        <v>58719.408399869033</v>
      </c>
      <c r="F26">
        <f>SMALL(SimData!$B$9:$B$508,23)</f>
        <v>12705.141995330034</v>
      </c>
      <c r="G26">
        <f>1/(COUNT(SimData!$B$9:$B$508)-1)+$G$25</f>
        <v>4.4088176352705413E-2</v>
      </c>
    </row>
    <row r="27" spans="1:7">
      <c r="A27">
        <v>19</v>
      </c>
      <c r="B27">
        <v>30135.805028637093</v>
      </c>
      <c r="F27">
        <f>SMALL(SimData!$B$9:$B$508,24)</f>
        <v>12742.290751993609</v>
      </c>
      <c r="G27">
        <f>1/(COUNT(SimData!$B$9:$B$508)-1)+$G$26</f>
        <v>4.6092184368737479E-2</v>
      </c>
    </row>
    <row r="28" spans="1:7">
      <c r="A28">
        <v>20</v>
      </c>
      <c r="B28">
        <v>142956.82437949989</v>
      </c>
      <c r="F28">
        <f>SMALL(SimData!$B$9:$B$508,25)</f>
        <v>13164.703533458898</v>
      </c>
      <c r="G28">
        <f>1/(COUNT(SimData!$B$9:$B$508)-1)+$G$27</f>
        <v>4.8096192384769546E-2</v>
      </c>
    </row>
    <row r="29" spans="1:7">
      <c r="A29">
        <v>21</v>
      </c>
      <c r="B29">
        <v>72982.821026528167</v>
      </c>
      <c r="F29">
        <f>SMALL(SimData!$B$9:$B$508,26)</f>
        <v>14585.868173022531</v>
      </c>
      <c r="G29">
        <f>1/(COUNT(SimData!$B$9:$B$508)-1)+$G$28</f>
        <v>5.0100200400801612E-2</v>
      </c>
    </row>
    <row r="30" spans="1:7">
      <c r="A30">
        <v>22</v>
      </c>
      <c r="B30">
        <v>52529.032205640629</v>
      </c>
      <c r="F30">
        <f>SMALL(SimData!$B$9:$B$508,27)</f>
        <v>14627.355621057577</v>
      </c>
      <c r="G30">
        <f>1/(COUNT(SimData!$B$9:$B$508)-1)+$G$29</f>
        <v>5.2104208416833678E-2</v>
      </c>
    </row>
    <row r="31" spans="1:7">
      <c r="A31">
        <v>23</v>
      </c>
      <c r="B31">
        <v>20481.695913725598</v>
      </c>
      <c r="F31">
        <f>SMALL(SimData!$B$9:$B$508,28)</f>
        <v>14688.759388706278</v>
      </c>
      <c r="G31">
        <f>1/(COUNT(SimData!$B$9:$B$508)-1)+$G$30</f>
        <v>5.4108216432865744E-2</v>
      </c>
    </row>
    <row r="32" spans="1:7">
      <c r="A32">
        <v>24</v>
      </c>
      <c r="B32">
        <v>35177.265109830048</v>
      </c>
      <c r="F32">
        <f>SMALL(SimData!$B$9:$B$508,29)</f>
        <v>14853.524449337687</v>
      </c>
      <c r="G32">
        <f>1/(COUNT(SimData!$B$9:$B$508)-1)+$G$31</f>
        <v>5.611222444889781E-2</v>
      </c>
    </row>
    <row r="33" spans="1:7">
      <c r="A33">
        <v>25</v>
      </c>
      <c r="B33">
        <v>34573.750652637151</v>
      </c>
      <c r="F33">
        <f>SMALL(SimData!$B$9:$B$508,30)</f>
        <v>14907.934521648542</v>
      </c>
      <c r="G33">
        <f>1/(COUNT(SimData!$B$9:$B$508)-1)+$G$32</f>
        <v>5.8116232464929876E-2</v>
      </c>
    </row>
    <row r="34" spans="1:7">
      <c r="A34">
        <v>26</v>
      </c>
      <c r="B34">
        <v>62837.688058160944</v>
      </c>
      <c r="F34">
        <f>SMALL(SimData!$B$9:$B$508,31)</f>
        <v>14974.783526923222</v>
      </c>
      <c r="G34">
        <f>1/(COUNT(SimData!$B$9:$B$508)-1)+$G$33</f>
        <v>6.0120240480961942E-2</v>
      </c>
    </row>
    <row r="35" spans="1:7">
      <c r="A35">
        <v>27</v>
      </c>
      <c r="B35">
        <v>155562.14001641062</v>
      </c>
      <c r="F35">
        <f>SMALL(SimData!$B$9:$B$508,32)</f>
        <v>15397.504911194832</v>
      </c>
      <c r="G35">
        <f>1/(COUNT(SimData!$B$9:$B$508)-1)+$G$34</f>
        <v>6.2124248496994008E-2</v>
      </c>
    </row>
    <row r="36" spans="1:7">
      <c r="A36">
        <v>28</v>
      </c>
      <c r="B36">
        <v>49642.586006656231</v>
      </c>
      <c r="F36">
        <f>SMALL(SimData!$B$9:$B$508,33)</f>
        <v>15960.807001577265</v>
      </c>
      <c r="G36">
        <f>1/(COUNT(SimData!$B$9:$B$508)-1)+$G$35</f>
        <v>6.4128256513026075E-2</v>
      </c>
    </row>
    <row r="37" spans="1:7">
      <c r="A37">
        <v>29</v>
      </c>
      <c r="B37">
        <v>108290.12935617285</v>
      </c>
      <c r="F37">
        <f>SMALL(SimData!$B$9:$B$508,34)</f>
        <v>16200.387000641847</v>
      </c>
      <c r="G37">
        <f>1/(COUNT(SimData!$B$9:$B$508)-1)+$G$36</f>
        <v>6.6132264529058141E-2</v>
      </c>
    </row>
    <row r="38" spans="1:7">
      <c r="A38">
        <v>30</v>
      </c>
      <c r="B38">
        <v>15397.504911194832</v>
      </c>
      <c r="F38">
        <f>SMALL(SimData!$B$9:$B$508,35)</f>
        <v>16786.579702436276</v>
      </c>
      <c r="G38">
        <f>1/(COUNT(SimData!$B$9:$B$508)-1)+$G$37</f>
        <v>6.8136272545090207E-2</v>
      </c>
    </row>
    <row r="39" spans="1:7">
      <c r="A39">
        <v>31</v>
      </c>
      <c r="B39">
        <v>43433.279487611493</v>
      </c>
      <c r="F39">
        <f>SMALL(SimData!$B$9:$B$508,36)</f>
        <v>16980.596155423009</v>
      </c>
      <c r="G39">
        <f>1/(COUNT(SimData!$B$9:$B$508)-1)+$G$38</f>
        <v>7.0140280561122273E-2</v>
      </c>
    </row>
    <row r="40" spans="1:7">
      <c r="A40">
        <v>32</v>
      </c>
      <c r="B40">
        <v>25462.436069982235</v>
      </c>
      <c r="F40">
        <f>SMALL(SimData!$B$9:$B$508,37)</f>
        <v>17222.997600847124</v>
      </c>
      <c r="G40">
        <f>1/(COUNT(SimData!$B$9:$B$508)-1)+$G$39</f>
        <v>7.2144288577154339E-2</v>
      </c>
    </row>
    <row r="41" spans="1:7">
      <c r="A41">
        <v>33</v>
      </c>
      <c r="B41">
        <v>110219.18569137924</v>
      </c>
      <c r="F41">
        <f>SMALL(SimData!$B$9:$B$508,38)</f>
        <v>17511.679918341873</v>
      </c>
      <c r="G41">
        <f>1/(COUNT(SimData!$B$9:$B$508)-1)+$G$40</f>
        <v>7.4148296593186405E-2</v>
      </c>
    </row>
    <row r="42" spans="1:7">
      <c r="A42">
        <v>34</v>
      </c>
      <c r="B42">
        <v>62034.543242710984</v>
      </c>
      <c r="F42">
        <f>SMALL(SimData!$B$9:$B$508,39)</f>
        <v>18307.399364448065</v>
      </c>
      <c r="G42">
        <f>1/(COUNT(SimData!$B$9:$B$508)-1)+$G$41</f>
        <v>7.6152304609218471E-2</v>
      </c>
    </row>
    <row r="43" spans="1:7">
      <c r="A43">
        <v>35</v>
      </c>
      <c r="B43">
        <v>99695.335024251704</v>
      </c>
      <c r="F43">
        <f>SMALL(SimData!$B$9:$B$508,40)</f>
        <v>18373.208231124427</v>
      </c>
      <c r="G43">
        <f>1/(COUNT(SimData!$B$9:$B$508)-1)+$G$42</f>
        <v>7.8156312625250537E-2</v>
      </c>
    </row>
    <row r="44" spans="1:7">
      <c r="A44">
        <v>36</v>
      </c>
      <c r="B44">
        <v>92108.402595257285</v>
      </c>
      <c r="F44">
        <f>SMALL(SimData!$B$9:$B$508,41)</f>
        <v>18443.835920032703</v>
      </c>
      <c r="G44">
        <f>1/(COUNT(SimData!$B$9:$B$508)-1)+$G$43</f>
        <v>8.0160320641282604E-2</v>
      </c>
    </row>
    <row r="45" spans="1:7">
      <c r="A45">
        <v>37</v>
      </c>
      <c r="B45">
        <v>44307.521852974365</v>
      </c>
      <c r="F45">
        <f>SMALL(SimData!$B$9:$B$508,42)</f>
        <v>18567.274433698323</v>
      </c>
      <c r="G45">
        <f>1/(COUNT(SimData!$B$9:$B$508)-1)+$G$44</f>
        <v>8.216432865731467E-2</v>
      </c>
    </row>
    <row r="46" spans="1:7">
      <c r="A46">
        <v>38</v>
      </c>
      <c r="B46">
        <v>94540.839136479219</v>
      </c>
      <c r="F46">
        <f>SMALL(SimData!$B$9:$B$508,43)</f>
        <v>19268.630755563019</v>
      </c>
      <c r="G46">
        <f>1/(COUNT(SimData!$B$9:$B$508)-1)+$G$45</f>
        <v>8.4168336673346736E-2</v>
      </c>
    </row>
    <row r="47" spans="1:7">
      <c r="A47">
        <v>39</v>
      </c>
      <c r="B47">
        <v>51098.803160300638</v>
      </c>
      <c r="F47">
        <f>SMALL(SimData!$B$9:$B$508,44)</f>
        <v>19478.616770329238</v>
      </c>
      <c r="G47">
        <f>1/(COUNT(SimData!$B$9:$B$508)-1)+$G$46</f>
        <v>8.6172344689378802E-2</v>
      </c>
    </row>
    <row r="48" spans="1:7">
      <c r="A48">
        <v>40</v>
      </c>
      <c r="B48">
        <v>114539.56663889269</v>
      </c>
      <c r="F48">
        <f>SMALL(SimData!$B$9:$B$508,45)</f>
        <v>19746.52422946259</v>
      </c>
      <c r="G48">
        <f>1/(COUNT(SimData!$B$9:$B$508)-1)+$G$47</f>
        <v>8.8176352705410868E-2</v>
      </c>
    </row>
    <row r="49" spans="1:7">
      <c r="A49">
        <v>41</v>
      </c>
      <c r="B49">
        <v>65598.256737720862</v>
      </c>
      <c r="F49">
        <f>SMALL(SimData!$B$9:$B$508,46)</f>
        <v>19790.440496456642</v>
      </c>
      <c r="G49">
        <f>1/(COUNT(SimData!$B$9:$B$508)-1)+$G$48</f>
        <v>9.0180360721442934E-2</v>
      </c>
    </row>
    <row r="50" spans="1:7">
      <c r="A50">
        <v>42</v>
      </c>
      <c r="B50">
        <v>202214.77684477341</v>
      </c>
      <c r="F50">
        <f>SMALL(SimData!$B$9:$B$508,47)</f>
        <v>20107.651769629334</v>
      </c>
      <c r="G50">
        <f>1/(COUNT(SimData!$B$9:$B$508)-1)+$G$49</f>
        <v>9.2184368737475E-2</v>
      </c>
    </row>
    <row r="51" spans="1:7">
      <c r="A51">
        <v>43</v>
      </c>
      <c r="B51">
        <v>60459.477481283357</v>
      </c>
      <c r="F51">
        <f>SMALL(SimData!$B$9:$B$508,48)</f>
        <v>20207.129588342759</v>
      </c>
      <c r="G51">
        <f>1/(COUNT(SimData!$B$9:$B$508)-1)+$G$50</f>
        <v>9.4188376753507067E-2</v>
      </c>
    </row>
    <row r="52" spans="1:7">
      <c r="A52">
        <v>44</v>
      </c>
      <c r="B52">
        <v>137136.78396139218</v>
      </c>
      <c r="F52">
        <f>SMALL(SimData!$B$9:$B$508,49)</f>
        <v>20481.695913725598</v>
      </c>
      <c r="G52">
        <f>1/(COUNT(SimData!$B$9:$B$508)-1)+$G$51</f>
        <v>9.6192384769539133E-2</v>
      </c>
    </row>
    <row r="53" spans="1:7">
      <c r="A53">
        <v>45</v>
      </c>
      <c r="B53">
        <v>50594.68830283999</v>
      </c>
      <c r="F53">
        <f>SMALL(SimData!$B$9:$B$508,50)</f>
        <v>21253.046178242574</v>
      </c>
      <c r="G53">
        <f>1/(COUNT(SimData!$B$9:$B$508)-1)+$G$52</f>
        <v>9.8196392785571199E-2</v>
      </c>
    </row>
    <row r="54" spans="1:7">
      <c r="A54">
        <v>46</v>
      </c>
      <c r="B54">
        <v>14907.934521648542</v>
      </c>
      <c r="F54">
        <f>SMALL(SimData!$B$9:$B$508,51)</f>
        <v>21515.005683289688</v>
      </c>
      <c r="G54">
        <f>1/(COUNT(SimData!$B$9:$B$508)-1)+$G$53</f>
        <v>0.10020040080160326</v>
      </c>
    </row>
    <row r="55" spans="1:7">
      <c r="A55">
        <v>47</v>
      </c>
      <c r="B55">
        <v>148410.80402955125</v>
      </c>
      <c r="F55">
        <f>SMALL(SimData!$B$9:$B$508,52)</f>
        <v>21709.160826688872</v>
      </c>
      <c r="G55">
        <f>1/(COUNT(SimData!$B$9:$B$508)-1)+$G$54</f>
        <v>0.10220440881763533</v>
      </c>
    </row>
    <row r="56" spans="1:7">
      <c r="A56">
        <v>48</v>
      </c>
      <c r="B56">
        <v>77311.648357382015</v>
      </c>
      <c r="F56">
        <f>SMALL(SimData!$B$9:$B$508,53)</f>
        <v>22448.979671902041</v>
      </c>
      <c r="G56">
        <f>1/(COUNT(SimData!$B$9:$B$508)-1)+$G$55</f>
        <v>0.1042084168336674</v>
      </c>
    </row>
    <row r="57" spans="1:7">
      <c r="A57">
        <v>49</v>
      </c>
      <c r="B57">
        <v>53041.845446148123</v>
      </c>
      <c r="F57">
        <f>SMALL(SimData!$B$9:$B$508,54)</f>
        <v>23198.412939577305</v>
      </c>
      <c r="G57">
        <f>1/(COUNT(SimData!$B$9:$B$508)-1)+$G$56</f>
        <v>0.10621242484969946</v>
      </c>
    </row>
    <row r="58" spans="1:7">
      <c r="A58">
        <v>50</v>
      </c>
      <c r="B58">
        <v>169188.50916312484</v>
      </c>
      <c r="F58">
        <f>SMALL(SimData!$B$9:$B$508,55)</f>
        <v>23240.354887572474</v>
      </c>
      <c r="G58">
        <f>1/(COUNT(SimData!$B$9:$B$508)-1)+$G$57</f>
        <v>0.10821643286573153</v>
      </c>
    </row>
    <row r="59" spans="1:7">
      <c r="A59">
        <v>51</v>
      </c>
      <c r="B59">
        <v>93010.12375749831</v>
      </c>
      <c r="F59">
        <f>SMALL(SimData!$B$9:$B$508,56)</f>
        <v>23260.726697284234</v>
      </c>
      <c r="G59">
        <f>1/(COUNT(SimData!$B$9:$B$508)-1)+$G$58</f>
        <v>0.1102204408817636</v>
      </c>
    </row>
    <row r="60" spans="1:7">
      <c r="A60">
        <v>52</v>
      </c>
      <c r="B60">
        <v>0</v>
      </c>
      <c r="F60">
        <f>SMALL(SimData!$B$9:$B$508,57)</f>
        <v>23514.857194979129</v>
      </c>
      <c r="G60">
        <f>1/(COUNT(SimData!$B$9:$B$508)-1)+$G$59</f>
        <v>0.11222444889779566</v>
      </c>
    </row>
    <row r="61" spans="1:7">
      <c r="A61">
        <v>53</v>
      </c>
      <c r="B61">
        <v>83280.704452410646</v>
      </c>
      <c r="F61">
        <f>SMALL(SimData!$B$9:$B$508,58)</f>
        <v>23780.32572050314</v>
      </c>
      <c r="G61">
        <f>1/(COUNT(SimData!$B$9:$B$508)-1)+$G$60</f>
        <v>0.11422845691382773</v>
      </c>
    </row>
    <row r="62" spans="1:7">
      <c r="A62">
        <v>54</v>
      </c>
      <c r="B62">
        <v>52098.030370553781</v>
      </c>
      <c r="F62">
        <f>SMALL(SimData!$B$9:$B$508,59)</f>
        <v>24085.254864481416</v>
      </c>
      <c r="G62">
        <f>1/(COUNT(SimData!$B$9:$B$508)-1)+$G$61</f>
        <v>0.11623246492985979</v>
      </c>
    </row>
    <row r="63" spans="1:7">
      <c r="A63">
        <v>55</v>
      </c>
      <c r="B63">
        <v>80345.950116416454</v>
      </c>
      <c r="F63">
        <f>SMALL(SimData!$B$9:$B$508,60)</f>
        <v>24208.979877600745</v>
      </c>
      <c r="G63">
        <f>1/(COUNT(SimData!$B$9:$B$508)-1)+$G$62</f>
        <v>0.11823647294589186</v>
      </c>
    </row>
    <row r="64" spans="1:7">
      <c r="A64">
        <v>56</v>
      </c>
      <c r="B64">
        <v>98388.754249063379</v>
      </c>
      <c r="F64">
        <f>SMALL(SimData!$B$9:$B$508,61)</f>
        <v>24357.71249321604</v>
      </c>
      <c r="G64">
        <f>1/(COUNT(SimData!$B$9:$B$508)-1)+$G$63</f>
        <v>0.12024048096192393</v>
      </c>
    </row>
    <row r="65" spans="1:7">
      <c r="A65">
        <v>57</v>
      </c>
      <c r="B65">
        <v>31427.117355579783</v>
      </c>
      <c r="F65">
        <f>SMALL(SimData!$B$9:$B$508,62)</f>
        <v>24484.607186127105</v>
      </c>
      <c r="G65">
        <f>1/(COUNT(SimData!$B$9:$B$508)-1)+$G$64</f>
        <v>0.12224448897795599</v>
      </c>
    </row>
    <row r="66" spans="1:7">
      <c r="A66">
        <v>58</v>
      </c>
      <c r="B66">
        <v>118080.92485790758</v>
      </c>
      <c r="F66">
        <f>SMALL(SimData!$B$9:$B$508,63)</f>
        <v>24569.741575591026</v>
      </c>
      <c r="G66">
        <f>1/(COUNT(SimData!$B$9:$B$508)-1)+$G$65</f>
        <v>0.12424849699398806</v>
      </c>
    </row>
    <row r="67" spans="1:7">
      <c r="A67">
        <v>59</v>
      </c>
      <c r="B67">
        <v>73806.945299022453</v>
      </c>
      <c r="F67">
        <f>SMALL(SimData!$B$9:$B$508,64)</f>
        <v>24775.818269160507</v>
      </c>
      <c r="G67">
        <f>1/(COUNT(SimData!$B$9:$B$508)-1)+$G$66</f>
        <v>0.12625250501002011</v>
      </c>
    </row>
    <row r="68" spans="1:7">
      <c r="A68">
        <v>60</v>
      </c>
      <c r="B68">
        <v>63705.939929229571</v>
      </c>
      <c r="F68">
        <f>SMALL(SimData!$B$9:$B$508,65)</f>
        <v>24933.099363411573</v>
      </c>
      <c r="G68">
        <f>1/(COUNT(SimData!$B$9:$B$508)-1)+$G$67</f>
        <v>0.12825651302605218</v>
      </c>
    </row>
    <row r="69" spans="1:7">
      <c r="A69">
        <v>61</v>
      </c>
      <c r="B69">
        <v>28347.029314109386</v>
      </c>
      <c r="F69">
        <f>SMALL(SimData!$B$9:$B$508,66)</f>
        <v>24973.21271391074</v>
      </c>
      <c r="G69">
        <f>1/(COUNT(SimData!$B$9:$B$508)-1)+$G$68</f>
        <v>0.13026052104208424</v>
      </c>
    </row>
    <row r="70" spans="1:7">
      <c r="A70">
        <v>62</v>
      </c>
      <c r="B70">
        <v>23198.412939577305</v>
      </c>
      <c r="F70">
        <f>SMALL(SimData!$B$9:$B$508,67)</f>
        <v>25138.066853593009</v>
      </c>
      <c r="G70">
        <f>1/(COUNT(SimData!$B$9:$B$508)-1)+$G$69</f>
        <v>0.13226452905811631</v>
      </c>
    </row>
    <row r="71" spans="1:7">
      <c r="A71">
        <v>63</v>
      </c>
      <c r="B71">
        <v>28362.262565501136</v>
      </c>
      <c r="F71">
        <f>SMALL(SimData!$B$9:$B$508,68)</f>
        <v>25206.234397225493</v>
      </c>
      <c r="G71">
        <f>1/(COUNT(SimData!$B$9:$B$508)-1)+$G$70</f>
        <v>0.13426853707414838</v>
      </c>
    </row>
    <row r="72" spans="1:7">
      <c r="A72">
        <v>64</v>
      </c>
      <c r="B72">
        <v>33143.771657484089</v>
      </c>
      <c r="F72">
        <f>SMALL(SimData!$B$9:$B$508,69)</f>
        <v>25462.436069982235</v>
      </c>
      <c r="G72">
        <f>1/(COUNT(SimData!$B$9:$B$508)-1)+$G$71</f>
        <v>0.13627254509018044</v>
      </c>
    </row>
    <row r="73" spans="1:7">
      <c r="A73">
        <v>65</v>
      </c>
      <c r="B73">
        <v>89244.346679699651</v>
      </c>
      <c r="F73">
        <f>SMALL(SimData!$B$9:$B$508,70)</f>
        <v>25978.947607487578</v>
      </c>
      <c r="G73">
        <f>1/(COUNT(SimData!$B$9:$B$508)-1)+$G$72</f>
        <v>0.13827655310621251</v>
      </c>
    </row>
    <row r="74" spans="1:7">
      <c r="A74">
        <v>66</v>
      </c>
      <c r="B74">
        <v>73834.253331931483</v>
      </c>
      <c r="F74">
        <f>SMALL(SimData!$B$9:$B$508,71)</f>
        <v>26239.495388463023</v>
      </c>
      <c r="G74">
        <f>1/(COUNT(SimData!$B$9:$B$508)-1)+$G$73</f>
        <v>0.14028056112224457</v>
      </c>
    </row>
    <row r="75" spans="1:7">
      <c r="A75">
        <v>67</v>
      </c>
      <c r="B75">
        <v>60853.382686099227</v>
      </c>
      <c r="F75">
        <f>SMALL(SimData!$B$9:$B$508,72)</f>
        <v>26594.471780888482</v>
      </c>
      <c r="G75">
        <f>1/(COUNT(SimData!$B$9:$B$508)-1)+$G$74</f>
        <v>0.14228456913827664</v>
      </c>
    </row>
    <row r="76" spans="1:7">
      <c r="A76">
        <v>68</v>
      </c>
      <c r="B76">
        <v>91832.337483346855</v>
      </c>
      <c r="F76">
        <f>SMALL(SimData!$B$9:$B$508,73)</f>
        <v>26801.916696857952</v>
      </c>
      <c r="G76">
        <f>1/(COUNT(SimData!$B$9:$B$508)-1)+$G$75</f>
        <v>0.14428857715430871</v>
      </c>
    </row>
    <row r="77" spans="1:7">
      <c r="A77">
        <v>69</v>
      </c>
      <c r="B77">
        <v>76372.930789780105</v>
      </c>
      <c r="F77">
        <f>SMALL(SimData!$B$9:$B$508,74)</f>
        <v>27455.186039382355</v>
      </c>
      <c r="G77">
        <f>1/(COUNT(SimData!$B$9:$B$508)-1)+$G$76</f>
        <v>0.14629258517034077</v>
      </c>
    </row>
    <row r="78" spans="1:7">
      <c r="A78">
        <v>70</v>
      </c>
      <c r="B78">
        <v>0</v>
      </c>
      <c r="F78">
        <f>SMALL(SimData!$B$9:$B$508,75)</f>
        <v>27987.412234622519</v>
      </c>
      <c r="G78">
        <f>1/(COUNT(SimData!$B$9:$B$508)-1)+$G$77</f>
        <v>0.14829659318637284</v>
      </c>
    </row>
    <row r="79" spans="1:7">
      <c r="A79">
        <v>71</v>
      </c>
      <c r="B79">
        <v>60168.071888043451</v>
      </c>
      <c r="F79">
        <f>SMALL(SimData!$B$9:$B$508,76)</f>
        <v>28223.806800777675</v>
      </c>
      <c r="G79">
        <f>1/(COUNT(SimData!$B$9:$B$508)-1)+$G$78</f>
        <v>0.1503006012024049</v>
      </c>
    </row>
    <row r="80" spans="1:7">
      <c r="A80">
        <v>72</v>
      </c>
      <c r="B80">
        <v>94985.174461694638</v>
      </c>
      <c r="F80">
        <f>SMALL(SimData!$B$9:$B$508,77)</f>
        <v>28347.029314109386</v>
      </c>
      <c r="G80">
        <f>1/(COUNT(SimData!$B$9:$B$508)-1)+$G$79</f>
        <v>0.15230460921843697</v>
      </c>
    </row>
    <row r="81" spans="1:7">
      <c r="A81">
        <v>73</v>
      </c>
      <c r="B81">
        <v>41678.98982728472</v>
      </c>
      <c r="F81">
        <f>SMALL(SimData!$B$9:$B$508,78)</f>
        <v>28362.262565501136</v>
      </c>
      <c r="G81">
        <f>1/(COUNT(SimData!$B$9:$B$508)-1)+$G$80</f>
        <v>0.15430861723446904</v>
      </c>
    </row>
    <row r="82" spans="1:7">
      <c r="A82">
        <v>74</v>
      </c>
      <c r="B82">
        <v>121518.88564274169</v>
      </c>
      <c r="F82">
        <f>SMALL(SimData!$B$9:$B$508,79)</f>
        <v>28888.354677884156</v>
      </c>
      <c r="G82">
        <f>1/(COUNT(SimData!$B$9:$B$508)-1)+$G$81</f>
        <v>0.1563126252505011</v>
      </c>
    </row>
    <row r="83" spans="1:7">
      <c r="A83">
        <v>75</v>
      </c>
      <c r="B83">
        <v>54522.001663663032</v>
      </c>
      <c r="F83">
        <f>SMALL(SimData!$B$9:$B$508,80)</f>
        <v>28961.243688536411</v>
      </c>
      <c r="G83">
        <f>1/(COUNT(SimData!$B$9:$B$508)-1)+$G$82</f>
        <v>0.15831663326653317</v>
      </c>
    </row>
    <row r="84" spans="1:7">
      <c r="A84">
        <v>76</v>
      </c>
      <c r="B84">
        <v>156630.42423256391</v>
      </c>
      <c r="F84">
        <f>SMALL(SimData!$B$9:$B$508,81)</f>
        <v>28966.334919558562</v>
      </c>
      <c r="G84">
        <f>1/(COUNT(SimData!$B$9:$B$508)-1)+$G$83</f>
        <v>0.16032064128256523</v>
      </c>
    </row>
    <row r="85" spans="1:7">
      <c r="A85">
        <v>77</v>
      </c>
      <c r="B85">
        <v>42548.559263075818</v>
      </c>
      <c r="F85">
        <f>SMALL(SimData!$B$9:$B$508,82)</f>
        <v>29211.409681888454</v>
      </c>
      <c r="G85">
        <f>1/(COUNT(SimData!$B$9:$B$508)-1)+$G$84</f>
        <v>0.1623246492985973</v>
      </c>
    </row>
    <row r="86" spans="1:7">
      <c r="A86">
        <v>78</v>
      </c>
      <c r="B86">
        <v>58350.224483125683</v>
      </c>
      <c r="F86">
        <f>SMALL(SimData!$B$9:$B$508,83)</f>
        <v>30116.051541311379</v>
      </c>
      <c r="G86">
        <f>1/(COUNT(SimData!$B$9:$B$508)-1)+$G$85</f>
        <v>0.16432865731462937</v>
      </c>
    </row>
    <row r="87" spans="1:7">
      <c r="A87">
        <v>79</v>
      </c>
      <c r="B87">
        <v>105502.82272975857</v>
      </c>
      <c r="F87">
        <f>SMALL(SimData!$B$9:$B$508,84)</f>
        <v>30135.805028637093</v>
      </c>
      <c r="G87">
        <f>1/(COUNT(SimData!$B$9:$B$508)-1)+$G$86</f>
        <v>0.16633266533066143</v>
      </c>
    </row>
    <row r="88" spans="1:7">
      <c r="A88">
        <v>80</v>
      </c>
      <c r="B88">
        <v>131970.1272862145</v>
      </c>
      <c r="F88">
        <f>SMALL(SimData!$B$9:$B$508,85)</f>
        <v>30327.27450662541</v>
      </c>
      <c r="G88">
        <f>1/(COUNT(SimData!$B$9:$B$508)-1)+$G$87</f>
        <v>0.1683366733466935</v>
      </c>
    </row>
    <row r="89" spans="1:7">
      <c r="A89">
        <v>81</v>
      </c>
      <c r="B89">
        <v>79764.714539365086</v>
      </c>
      <c r="F89">
        <f>SMALL(SimData!$B$9:$B$508,86)</f>
        <v>30706.516657503602</v>
      </c>
      <c r="G89">
        <f>1/(COUNT(SimData!$B$9:$B$508)-1)+$G$88</f>
        <v>0.17034068136272557</v>
      </c>
    </row>
    <row r="90" spans="1:7">
      <c r="A90">
        <v>82</v>
      </c>
      <c r="B90">
        <v>71210.891694625738</v>
      </c>
      <c r="F90">
        <f>SMALL(SimData!$B$9:$B$508,87)</f>
        <v>30978.476170937887</v>
      </c>
      <c r="G90">
        <f>1/(COUNT(SimData!$B$9:$B$508)-1)+$G$89</f>
        <v>0.17234468937875763</v>
      </c>
    </row>
    <row r="91" spans="1:7">
      <c r="A91">
        <v>83</v>
      </c>
      <c r="B91">
        <v>0</v>
      </c>
      <c r="F91">
        <f>SMALL(SimData!$B$9:$B$508,88)</f>
        <v>31379.475370911998</v>
      </c>
      <c r="G91">
        <f>1/(COUNT(SimData!$B$9:$B$508)-1)+$G$90</f>
        <v>0.1743486973947897</v>
      </c>
    </row>
    <row r="92" spans="1:7">
      <c r="A92">
        <v>84</v>
      </c>
      <c r="B92">
        <v>93935.906786145584</v>
      </c>
      <c r="F92">
        <f>SMALL(SimData!$B$9:$B$508,89)</f>
        <v>31427.117355579783</v>
      </c>
      <c r="G92">
        <f>1/(COUNT(SimData!$B$9:$B$508)-1)+$G$91</f>
        <v>0.17635270541082176</v>
      </c>
    </row>
    <row r="93" spans="1:7">
      <c r="A93">
        <v>85</v>
      </c>
      <c r="B93">
        <v>85254.803157151386</v>
      </c>
      <c r="F93">
        <f>SMALL(SimData!$B$9:$B$508,90)</f>
        <v>31635.798812290122</v>
      </c>
      <c r="G93">
        <f>1/(COUNT(SimData!$B$9:$B$508)-1)+$G$92</f>
        <v>0.17835671342685383</v>
      </c>
    </row>
    <row r="94" spans="1:7">
      <c r="A94">
        <v>86</v>
      </c>
      <c r="B94">
        <v>25138.066853593009</v>
      </c>
      <c r="F94">
        <f>SMALL(SimData!$B$9:$B$508,91)</f>
        <v>32184.10792058062</v>
      </c>
      <c r="G94">
        <f>1/(COUNT(SimData!$B$9:$B$508)-1)+$G$93</f>
        <v>0.1803607214428859</v>
      </c>
    </row>
    <row r="95" spans="1:7">
      <c r="A95">
        <v>87</v>
      </c>
      <c r="B95">
        <v>107664.46289932079</v>
      </c>
      <c r="F95">
        <f>SMALL(SimData!$B$9:$B$508,92)</f>
        <v>32189.301468294034</v>
      </c>
      <c r="G95">
        <f>1/(COUNT(SimData!$B$9:$B$508)-1)+$G$94</f>
        <v>0.18236472945891796</v>
      </c>
    </row>
    <row r="96" spans="1:7">
      <c r="A96">
        <v>88</v>
      </c>
      <c r="B96">
        <v>0</v>
      </c>
      <c r="F96">
        <f>SMALL(SimData!$B$9:$B$508,93)</f>
        <v>33078.769342866821</v>
      </c>
      <c r="G96">
        <f>1/(COUNT(SimData!$B$9:$B$508)-1)+$G$95</f>
        <v>0.18436873747495003</v>
      </c>
    </row>
    <row r="97" spans="1:7">
      <c r="A97">
        <v>89</v>
      </c>
      <c r="B97">
        <v>120664.13952520961</v>
      </c>
      <c r="F97">
        <f>SMALL(SimData!$B$9:$B$508,94)</f>
        <v>33143.771657484089</v>
      </c>
      <c r="G97">
        <f>1/(COUNT(SimData!$B$9:$B$508)-1)+$G$96</f>
        <v>0.18637274549098209</v>
      </c>
    </row>
    <row r="98" spans="1:7">
      <c r="A98">
        <v>90</v>
      </c>
      <c r="B98">
        <v>104920.19573231475</v>
      </c>
      <c r="F98">
        <f>SMALL(SimData!$B$9:$B$508,95)</f>
        <v>33437.736146774783</v>
      </c>
      <c r="G98">
        <f>1/(COUNT(SimData!$B$9:$B$508)-1)+$G$97</f>
        <v>0.18837675350701416</v>
      </c>
    </row>
    <row r="99" spans="1:7">
      <c r="A99">
        <v>91</v>
      </c>
      <c r="B99">
        <v>129979.3058944986</v>
      </c>
      <c r="F99">
        <f>SMALL(SimData!$B$9:$B$508,96)</f>
        <v>33474.881216030466</v>
      </c>
      <c r="G99">
        <f>1/(COUNT(SimData!$B$9:$B$508)-1)+$G$98</f>
        <v>0.19038076152304623</v>
      </c>
    </row>
    <row r="100" spans="1:7">
      <c r="A100">
        <v>92</v>
      </c>
      <c r="B100">
        <v>20207.129588342759</v>
      </c>
      <c r="F100">
        <f>SMALL(SimData!$B$9:$B$508,97)</f>
        <v>34475.679874003181</v>
      </c>
      <c r="G100">
        <f>1/(COUNT(SimData!$B$9:$B$508)-1)+$G$99</f>
        <v>0.19238476953907829</v>
      </c>
    </row>
    <row r="101" spans="1:7">
      <c r="A101">
        <v>93</v>
      </c>
      <c r="B101">
        <v>128048.50377046844</v>
      </c>
      <c r="F101">
        <f>SMALL(SimData!$B$9:$B$508,98)</f>
        <v>34573.750652637151</v>
      </c>
      <c r="G101">
        <f>1/(COUNT(SimData!$B$9:$B$508)-1)+$G$100</f>
        <v>0.19438877755511036</v>
      </c>
    </row>
    <row r="102" spans="1:7">
      <c r="A102">
        <v>94</v>
      </c>
      <c r="B102">
        <v>75261.717174309437</v>
      </c>
      <c r="F102">
        <f>SMALL(SimData!$B$9:$B$508,99)</f>
        <v>34690.831121789874</v>
      </c>
      <c r="G102">
        <f>1/(COUNT(SimData!$B$9:$B$508)-1)+$G$101</f>
        <v>0.19639278557114243</v>
      </c>
    </row>
    <row r="103" spans="1:7">
      <c r="A103">
        <v>95</v>
      </c>
      <c r="B103">
        <v>0</v>
      </c>
      <c r="F103">
        <f>SMALL(SimData!$B$9:$B$508,100)</f>
        <v>34749.30292788706</v>
      </c>
      <c r="G103">
        <f>1/(COUNT(SimData!$B$9:$B$508)-1)+$G$102</f>
        <v>0.19839679358717449</v>
      </c>
    </row>
    <row r="104" spans="1:7">
      <c r="A104">
        <v>96</v>
      </c>
      <c r="B104">
        <v>39942.198771652664</v>
      </c>
      <c r="F104">
        <f>SMALL(SimData!$B$9:$B$508,101)</f>
        <v>34963.350966165497</v>
      </c>
      <c r="G104">
        <f>1/(COUNT(SimData!$B$9:$B$508)-1)+$G$103</f>
        <v>0.20040080160320656</v>
      </c>
    </row>
    <row r="105" spans="1:7">
      <c r="A105">
        <v>97</v>
      </c>
      <c r="B105">
        <v>30706.516657503602</v>
      </c>
      <c r="F105">
        <f>SMALL(SimData!$B$9:$B$508,102)</f>
        <v>35177.265109830048</v>
      </c>
      <c r="G105">
        <f>1/(COUNT(SimData!$B$9:$B$508)-1)+$G$104</f>
        <v>0.20240480961923862</v>
      </c>
    </row>
    <row r="106" spans="1:7">
      <c r="A106">
        <v>98</v>
      </c>
      <c r="B106">
        <v>48134.96935127968</v>
      </c>
      <c r="F106">
        <f>SMALL(SimData!$B$9:$B$508,103)</f>
        <v>35725.963910435778</v>
      </c>
      <c r="G106">
        <f>1/(COUNT(SimData!$B$9:$B$508)-1)+$G$105</f>
        <v>0.20440881763527069</v>
      </c>
    </row>
    <row r="107" spans="1:7">
      <c r="A107">
        <v>99</v>
      </c>
      <c r="B107">
        <v>151396.68449902197</v>
      </c>
      <c r="F107">
        <f>SMALL(SimData!$B$9:$B$508,104)</f>
        <v>36023.032631553688</v>
      </c>
      <c r="G107">
        <f>1/(COUNT(SimData!$B$9:$B$508)-1)+$G$106</f>
        <v>0.20641282565130276</v>
      </c>
    </row>
    <row r="108" spans="1:7">
      <c r="A108">
        <v>100</v>
      </c>
      <c r="B108">
        <v>52907.203123899133</v>
      </c>
      <c r="F108">
        <f>SMALL(SimData!$B$9:$B$508,105)</f>
        <v>36061.135276501234</v>
      </c>
      <c r="G108">
        <f>1/(COUNT(SimData!$B$9:$B$508)-1)+$G$107</f>
        <v>0.20841683366733482</v>
      </c>
    </row>
    <row r="109" spans="1:7">
      <c r="A109">
        <v>101</v>
      </c>
      <c r="B109">
        <v>85771.818948800996</v>
      </c>
      <c r="F109">
        <f>SMALL(SimData!$B$9:$B$508,106)</f>
        <v>36157.954892016976</v>
      </c>
      <c r="G109">
        <f>1/(COUNT(SimData!$B$9:$B$508)-1)+$G$108</f>
        <v>0.21042084168336689</v>
      </c>
    </row>
    <row r="110" spans="1:7">
      <c r="A110">
        <v>102</v>
      </c>
      <c r="B110">
        <v>45685.421829440391</v>
      </c>
      <c r="F110">
        <f>SMALL(SimData!$B$9:$B$508,107)</f>
        <v>36501.951819611961</v>
      </c>
      <c r="G110">
        <f>1/(COUNT(SimData!$B$9:$B$508)-1)+$G$109</f>
        <v>0.21242484969939895</v>
      </c>
    </row>
    <row r="111" spans="1:7">
      <c r="A111">
        <v>103</v>
      </c>
      <c r="B111">
        <v>43675.702964456286</v>
      </c>
      <c r="F111">
        <f>SMALL(SimData!$B$9:$B$508,108)</f>
        <v>36570.834756989498</v>
      </c>
      <c r="G111">
        <f>1/(COUNT(SimData!$B$9:$B$508)-1)+$G$110</f>
        <v>0.21442885771543102</v>
      </c>
    </row>
    <row r="112" spans="1:7">
      <c r="A112">
        <v>104</v>
      </c>
      <c r="B112">
        <v>81068.437910173641</v>
      </c>
      <c r="F112">
        <f>SMALL(SimData!$B$9:$B$508,109)</f>
        <v>36613.968774183697</v>
      </c>
      <c r="G112">
        <f>1/(COUNT(SimData!$B$9:$B$508)-1)+$G$111</f>
        <v>0.21643286573146309</v>
      </c>
    </row>
    <row r="113" spans="1:7">
      <c r="A113">
        <v>105</v>
      </c>
      <c r="B113">
        <v>17222.997600847124</v>
      </c>
      <c r="F113">
        <f>SMALL(SimData!$B$9:$B$508,110)</f>
        <v>36654.024069423584</v>
      </c>
      <c r="G113">
        <f>1/(COUNT(SimData!$B$9:$B$508)-1)+$G$112</f>
        <v>0.21843687374749515</v>
      </c>
    </row>
    <row r="114" spans="1:7">
      <c r="A114">
        <v>106</v>
      </c>
      <c r="B114">
        <v>62719.496247966825</v>
      </c>
      <c r="F114">
        <f>SMALL(SimData!$B$9:$B$508,111)</f>
        <v>36676.360909713228</v>
      </c>
      <c r="G114">
        <f>1/(COUNT(SimData!$B$9:$B$508)-1)+$G$113</f>
        <v>0.22044088176352722</v>
      </c>
    </row>
    <row r="115" spans="1:7">
      <c r="A115">
        <v>107</v>
      </c>
      <c r="B115">
        <v>55820.591888725496</v>
      </c>
      <c r="F115">
        <f>SMALL(SimData!$B$9:$B$508,112)</f>
        <v>37227.470089011724</v>
      </c>
      <c r="G115">
        <f>1/(COUNT(SimData!$B$9:$B$508)-1)+$G$114</f>
        <v>0.22244488977955928</v>
      </c>
    </row>
    <row r="116" spans="1:7">
      <c r="A116">
        <v>108</v>
      </c>
      <c r="B116">
        <v>87167.722828133948</v>
      </c>
      <c r="F116">
        <f>SMALL(SimData!$B$9:$B$508,113)</f>
        <v>37251.639790259724</v>
      </c>
      <c r="G116">
        <f>1/(COUNT(SimData!$B$9:$B$508)-1)+$G$115</f>
        <v>0.22444889779559135</v>
      </c>
    </row>
    <row r="117" spans="1:7">
      <c r="A117">
        <v>109</v>
      </c>
      <c r="B117">
        <v>41769.263605984946</v>
      </c>
      <c r="F117">
        <f>SMALL(SimData!$B$9:$B$508,114)</f>
        <v>37357.825147693919</v>
      </c>
      <c r="G117">
        <f>1/(COUNT(SimData!$B$9:$B$508)-1)+$G$116</f>
        <v>0.22645290581162342</v>
      </c>
    </row>
    <row r="118" spans="1:7">
      <c r="A118">
        <v>110</v>
      </c>
      <c r="B118">
        <v>115288.39699348653</v>
      </c>
      <c r="F118">
        <f>SMALL(SimData!$B$9:$B$508,115)</f>
        <v>37393.873118498908</v>
      </c>
      <c r="G118">
        <f>1/(COUNT(SimData!$B$9:$B$508)-1)+$G$117</f>
        <v>0.22845691382765548</v>
      </c>
    </row>
    <row r="119" spans="1:7">
      <c r="A119">
        <v>111</v>
      </c>
      <c r="B119">
        <v>47653.047558212565</v>
      </c>
      <c r="F119">
        <f>SMALL(SimData!$B$9:$B$508,116)</f>
        <v>37633.58372710312</v>
      </c>
      <c r="G119">
        <f>1/(COUNT(SimData!$B$9:$B$508)-1)+$G$118</f>
        <v>0.23046092184368755</v>
      </c>
    </row>
    <row r="120" spans="1:7">
      <c r="A120">
        <v>112</v>
      </c>
      <c r="B120">
        <v>168147.90332219447</v>
      </c>
      <c r="F120">
        <f>SMALL(SimData!$B$9:$B$508,117)</f>
        <v>37671.810752397359</v>
      </c>
      <c r="G120">
        <f>1/(COUNT(SimData!$B$9:$B$508)-1)+$G$119</f>
        <v>0.23246492985971962</v>
      </c>
    </row>
    <row r="121" spans="1:7">
      <c r="A121">
        <v>113</v>
      </c>
      <c r="B121">
        <v>68221.20932989585</v>
      </c>
      <c r="F121">
        <f>SMALL(SimData!$B$9:$B$508,118)</f>
        <v>38018.395339913135</v>
      </c>
      <c r="G121">
        <f>1/(COUNT(SimData!$B$9:$B$508)-1)+$G$120</f>
        <v>0.23446893787575168</v>
      </c>
    </row>
    <row r="122" spans="1:7">
      <c r="A122">
        <v>114</v>
      </c>
      <c r="B122">
        <v>118631.34734687582</v>
      </c>
      <c r="F122">
        <f>SMALL(SimData!$B$9:$B$508,119)</f>
        <v>38504.622129828225</v>
      </c>
      <c r="G122">
        <f>1/(COUNT(SimData!$B$9:$B$508)-1)+$G$121</f>
        <v>0.23647294589178375</v>
      </c>
    </row>
    <row r="123" spans="1:7">
      <c r="A123">
        <v>115</v>
      </c>
      <c r="B123">
        <v>66204.47340442006</v>
      </c>
      <c r="F123">
        <f>SMALL(SimData!$B$9:$B$508,120)</f>
        <v>38716.779577843132</v>
      </c>
      <c r="G123">
        <f>1/(COUNT(SimData!$B$9:$B$508)-1)+$G$122</f>
        <v>0.23847695390781581</v>
      </c>
    </row>
    <row r="124" spans="1:7">
      <c r="A124">
        <v>116</v>
      </c>
      <c r="B124">
        <v>42593.009265185028</v>
      </c>
      <c r="F124">
        <f>SMALL(SimData!$B$9:$B$508,121)</f>
        <v>38816.311331786186</v>
      </c>
      <c r="G124">
        <f>1/(COUNT(SimData!$B$9:$B$508)-1)+$G$123</f>
        <v>0.24048096192384788</v>
      </c>
    </row>
    <row r="125" spans="1:7">
      <c r="A125">
        <v>117</v>
      </c>
      <c r="B125">
        <v>94183.064592513358</v>
      </c>
      <c r="F125">
        <f>SMALL(SimData!$B$9:$B$508,122)</f>
        <v>39206.839622759057</v>
      </c>
      <c r="G125">
        <f>1/(COUNT(SimData!$B$9:$B$508)-1)+$G$124</f>
        <v>0.24248496993987995</v>
      </c>
    </row>
    <row r="126" spans="1:7">
      <c r="A126">
        <v>118</v>
      </c>
      <c r="B126">
        <v>132353.59119380932</v>
      </c>
      <c r="F126">
        <f>SMALL(SimData!$B$9:$B$508,123)</f>
        <v>39224.598379798845</v>
      </c>
      <c r="G126">
        <f>1/(COUNT(SimData!$B$9:$B$508)-1)+$G$125</f>
        <v>0.24448897795591201</v>
      </c>
    </row>
    <row r="127" spans="1:7">
      <c r="A127">
        <v>119</v>
      </c>
      <c r="B127">
        <v>19790.440496456642</v>
      </c>
      <c r="F127">
        <f>SMALL(SimData!$B$9:$B$508,124)</f>
        <v>39375.108297372688</v>
      </c>
      <c r="G127">
        <f>1/(COUNT(SimData!$B$9:$B$508)-1)+$G$126</f>
        <v>0.24649298597194408</v>
      </c>
    </row>
    <row r="128" spans="1:7">
      <c r="A128">
        <v>120</v>
      </c>
      <c r="B128">
        <v>72434.357145916365</v>
      </c>
      <c r="F128">
        <f>SMALL(SimData!$B$9:$B$508,125)</f>
        <v>39380.22139702487</v>
      </c>
      <c r="G128">
        <f>1/(COUNT(SimData!$B$9:$B$508)-1)+$G$127</f>
        <v>0.24849699398797614</v>
      </c>
    </row>
    <row r="129" spans="1:7">
      <c r="A129">
        <v>121</v>
      </c>
      <c r="B129">
        <v>46132.489622223497</v>
      </c>
      <c r="F129">
        <f>SMALL(SimData!$B$9:$B$508,126)</f>
        <v>39386.19893809424</v>
      </c>
      <c r="G129">
        <f>1/(COUNT(SimData!$B$9:$B$508)-1)+$G$128</f>
        <v>0.25050100200400821</v>
      </c>
    </row>
    <row r="130" spans="1:7">
      <c r="A130">
        <v>122</v>
      </c>
      <c r="B130">
        <v>87788.106129129083</v>
      </c>
      <c r="F130">
        <f>SMALL(SimData!$B$9:$B$508,127)</f>
        <v>39466.239345993628</v>
      </c>
      <c r="G130">
        <f>1/(COUNT(SimData!$B$9:$B$508)-1)+$G$129</f>
        <v>0.25250501002004028</v>
      </c>
    </row>
    <row r="131" spans="1:7">
      <c r="A131">
        <v>123</v>
      </c>
      <c r="B131">
        <v>36613.968774183697</v>
      </c>
      <c r="F131">
        <f>SMALL(SimData!$B$9:$B$508,128)</f>
        <v>39803.706949159598</v>
      </c>
      <c r="G131">
        <f>1/(COUNT(SimData!$B$9:$B$508)-1)+$G$130</f>
        <v>0.25450901803607234</v>
      </c>
    </row>
    <row r="132" spans="1:7">
      <c r="A132">
        <v>124</v>
      </c>
      <c r="B132">
        <v>124898.33091325959</v>
      </c>
      <c r="F132">
        <f>SMALL(SimData!$B$9:$B$508,129)</f>
        <v>39942.198771652664</v>
      </c>
      <c r="G132">
        <f>1/(COUNT(SimData!$B$9:$B$508)-1)+$G$131</f>
        <v>0.25651302605210441</v>
      </c>
    </row>
    <row r="133" spans="1:7">
      <c r="A133">
        <v>125</v>
      </c>
      <c r="B133">
        <v>100822.16786670781</v>
      </c>
      <c r="F133">
        <f>SMALL(SimData!$B$9:$B$508,130)</f>
        <v>40241.344080346098</v>
      </c>
      <c r="G133">
        <f>1/(COUNT(SimData!$B$9:$B$508)-1)+$G$132</f>
        <v>0.25851703406813648</v>
      </c>
    </row>
    <row r="134" spans="1:7">
      <c r="A134">
        <v>126</v>
      </c>
      <c r="B134">
        <v>0</v>
      </c>
      <c r="F134">
        <f>SMALL(SimData!$B$9:$B$508,131)</f>
        <v>40478.060680085175</v>
      </c>
      <c r="G134">
        <f>1/(COUNT(SimData!$B$9:$B$508)-1)+$G$133</f>
        <v>0.26052104208416854</v>
      </c>
    </row>
    <row r="135" spans="1:7">
      <c r="A135">
        <v>127</v>
      </c>
      <c r="B135">
        <v>99329.850669053485</v>
      </c>
      <c r="F135">
        <f>SMALL(SimData!$B$9:$B$508,132)</f>
        <v>40535.806072158579</v>
      </c>
      <c r="G135">
        <f>1/(COUNT(SimData!$B$9:$B$508)-1)+$G$134</f>
        <v>0.26252505010020061</v>
      </c>
    </row>
    <row r="136" spans="1:7">
      <c r="A136">
        <v>128</v>
      </c>
      <c r="B136">
        <v>69603.904184058323</v>
      </c>
      <c r="F136">
        <f>SMALL(SimData!$B$9:$B$508,133)</f>
        <v>40720.687398489201</v>
      </c>
      <c r="G136">
        <f>1/(COUNT(SimData!$B$9:$B$508)-1)+$G$135</f>
        <v>0.26452905811623267</v>
      </c>
    </row>
    <row r="137" spans="1:7">
      <c r="A137">
        <v>129</v>
      </c>
      <c r="B137">
        <v>54630.1546822815</v>
      </c>
      <c r="F137">
        <f>SMALL(SimData!$B$9:$B$508,134)</f>
        <v>41064.42009820191</v>
      </c>
      <c r="G137">
        <f>1/(COUNT(SimData!$B$9:$B$508)-1)+$G$136</f>
        <v>0.26653306613226474</v>
      </c>
    </row>
    <row r="138" spans="1:7">
      <c r="A138">
        <v>130</v>
      </c>
      <c r="B138">
        <v>0</v>
      </c>
      <c r="F138">
        <f>SMALL(SimData!$B$9:$B$508,135)</f>
        <v>41511.049320273552</v>
      </c>
      <c r="G138">
        <f>1/(COUNT(SimData!$B$9:$B$508)-1)+$G$137</f>
        <v>0.26853707414829681</v>
      </c>
    </row>
    <row r="139" spans="1:7">
      <c r="A139">
        <v>131</v>
      </c>
      <c r="B139">
        <v>151601.85708986042</v>
      </c>
      <c r="F139">
        <f>SMALL(SimData!$B$9:$B$508,136)</f>
        <v>41511.154182396072</v>
      </c>
      <c r="G139">
        <f>1/(COUNT(SimData!$B$9:$B$508)-1)+$G$138</f>
        <v>0.27054108216432887</v>
      </c>
    </row>
    <row r="140" spans="1:7">
      <c r="A140">
        <v>132</v>
      </c>
      <c r="B140">
        <v>53400.496025675973</v>
      </c>
      <c r="F140">
        <f>SMALL(SimData!$B$9:$B$508,137)</f>
        <v>41678.98982728472</v>
      </c>
      <c r="G140">
        <f>1/(COUNT(SimData!$B$9:$B$508)-1)+$G$139</f>
        <v>0.27254509018036094</v>
      </c>
    </row>
    <row r="141" spans="1:7">
      <c r="A141">
        <v>133</v>
      </c>
      <c r="B141">
        <v>60582.782116403381</v>
      </c>
      <c r="F141">
        <f>SMALL(SimData!$B$9:$B$508,138)</f>
        <v>41735.629273036015</v>
      </c>
      <c r="G141">
        <f>1/(COUNT(SimData!$B$9:$B$508)-1)+$G$140</f>
        <v>0.274549098196393</v>
      </c>
    </row>
    <row r="142" spans="1:7">
      <c r="A142">
        <v>134</v>
      </c>
      <c r="B142">
        <v>79899.729255323371</v>
      </c>
      <c r="F142">
        <f>SMALL(SimData!$B$9:$B$508,139)</f>
        <v>41769.263605984946</v>
      </c>
      <c r="G142">
        <f>1/(COUNT(SimData!$B$9:$B$508)-1)+$G$141</f>
        <v>0.27655310621242507</v>
      </c>
    </row>
    <row r="143" spans="1:7">
      <c r="A143">
        <v>135</v>
      </c>
      <c r="B143">
        <v>98855.616859461443</v>
      </c>
      <c r="F143">
        <f>SMALL(SimData!$B$9:$B$508,140)</f>
        <v>42101.374459747429</v>
      </c>
      <c r="G143">
        <f>1/(COUNT(SimData!$B$9:$B$508)-1)+$G$142</f>
        <v>0.27855711422845714</v>
      </c>
    </row>
    <row r="144" spans="1:7">
      <c r="A144">
        <v>136</v>
      </c>
      <c r="B144">
        <v>129465.59974465608</v>
      </c>
      <c r="F144">
        <f>SMALL(SimData!$B$9:$B$508,141)</f>
        <v>42499.394513085819</v>
      </c>
      <c r="G144">
        <f>1/(COUNT(SimData!$B$9:$B$508)-1)+$G$143</f>
        <v>0.2805611222444892</v>
      </c>
    </row>
    <row r="145" spans="1:7">
      <c r="A145">
        <v>137</v>
      </c>
      <c r="B145">
        <v>58613.915022965281</v>
      </c>
      <c r="F145">
        <f>SMALL(SimData!$B$9:$B$508,142)</f>
        <v>42548.559263075818</v>
      </c>
      <c r="G145">
        <f>1/(COUNT(SimData!$B$9:$B$508)-1)+$G$144</f>
        <v>0.28256513026052127</v>
      </c>
    </row>
    <row r="146" spans="1:7">
      <c r="A146">
        <v>138</v>
      </c>
      <c r="B146">
        <v>107423.24835052871</v>
      </c>
      <c r="F146">
        <f>SMALL(SimData!$B$9:$B$508,143)</f>
        <v>42593.009265185028</v>
      </c>
      <c r="G146">
        <f>1/(COUNT(SimData!$B$9:$B$508)-1)+$G$145</f>
        <v>0.28456913827655334</v>
      </c>
    </row>
    <row r="147" spans="1:7">
      <c r="A147">
        <v>139</v>
      </c>
      <c r="B147">
        <v>91474.008213008419</v>
      </c>
      <c r="F147">
        <f>SMALL(SimData!$B$9:$B$508,144)</f>
        <v>42691.336439804538</v>
      </c>
      <c r="G147">
        <f>1/(COUNT(SimData!$B$9:$B$508)-1)+$G$146</f>
        <v>0.2865731462925854</v>
      </c>
    </row>
    <row r="148" spans="1:7">
      <c r="A148">
        <v>140</v>
      </c>
      <c r="B148">
        <v>95366.175055230851</v>
      </c>
      <c r="F148">
        <f>SMALL(SimData!$B$9:$B$508,145)</f>
        <v>43018.704398129586</v>
      </c>
      <c r="G148">
        <f>1/(COUNT(SimData!$B$9:$B$508)-1)+$G$147</f>
        <v>0.28857715430861747</v>
      </c>
    </row>
    <row r="149" spans="1:7">
      <c r="A149">
        <v>141</v>
      </c>
      <c r="B149">
        <v>76302.39586776137</v>
      </c>
      <c r="F149">
        <f>SMALL(SimData!$B$9:$B$508,146)</f>
        <v>43427.48690643657</v>
      </c>
      <c r="G149">
        <f>1/(COUNT(SimData!$B$9:$B$508)-1)+$G$148</f>
        <v>0.29058116232464953</v>
      </c>
    </row>
    <row r="150" spans="1:7">
      <c r="A150">
        <v>142</v>
      </c>
      <c r="B150">
        <v>62541.725943221667</v>
      </c>
      <c r="F150">
        <f>SMALL(SimData!$B$9:$B$508,147)</f>
        <v>43433.279487611493</v>
      </c>
      <c r="G150">
        <f>1/(COUNT(SimData!$B$9:$B$508)-1)+$G$149</f>
        <v>0.2925851703406816</v>
      </c>
    </row>
    <row r="151" spans="1:7">
      <c r="A151">
        <v>143</v>
      </c>
      <c r="B151">
        <v>76119.803945876673</v>
      </c>
      <c r="F151">
        <f>SMALL(SimData!$B$9:$B$508,148)</f>
        <v>43675.702964456286</v>
      </c>
      <c r="G151">
        <f>1/(COUNT(SimData!$B$9:$B$508)-1)+$G$150</f>
        <v>0.29458917835671367</v>
      </c>
    </row>
    <row r="152" spans="1:7">
      <c r="A152">
        <v>144</v>
      </c>
      <c r="B152">
        <v>40535.806072158579</v>
      </c>
      <c r="F152">
        <f>SMALL(SimData!$B$9:$B$508,149)</f>
        <v>44307.521852974365</v>
      </c>
      <c r="G152">
        <f>1/(COUNT(SimData!$B$9:$B$508)-1)+$G$151</f>
        <v>0.29659318637274573</v>
      </c>
    </row>
    <row r="153" spans="1:7">
      <c r="A153">
        <v>145</v>
      </c>
      <c r="B153">
        <v>107610.60363202832</v>
      </c>
      <c r="F153">
        <f>SMALL(SimData!$B$9:$B$508,150)</f>
        <v>44490.158804589533</v>
      </c>
      <c r="G153">
        <f>1/(COUNT(SimData!$B$9:$B$508)-1)+$G$152</f>
        <v>0.2985971943887778</v>
      </c>
    </row>
    <row r="154" spans="1:7">
      <c r="A154">
        <v>146</v>
      </c>
      <c r="B154">
        <v>44847.27785605003</v>
      </c>
      <c r="F154">
        <f>SMALL(SimData!$B$9:$B$508,151)</f>
        <v>44847.27785605003</v>
      </c>
      <c r="G154">
        <f>1/(COUNT(SimData!$B$9:$B$508)-1)+$G$153</f>
        <v>0.30060120240480986</v>
      </c>
    </row>
    <row r="155" spans="1:7">
      <c r="A155">
        <v>147</v>
      </c>
      <c r="B155">
        <v>78304.91307829319</v>
      </c>
      <c r="F155">
        <f>SMALL(SimData!$B$9:$B$508,152)</f>
        <v>45089.47466219739</v>
      </c>
      <c r="G155">
        <f>1/(COUNT(SimData!$B$9:$B$508)-1)+$G$154</f>
        <v>0.30260521042084193</v>
      </c>
    </row>
    <row r="156" spans="1:7">
      <c r="A156">
        <v>148</v>
      </c>
      <c r="B156">
        <v>46319.687012898619</v>
      </c>
      <c r="F156">
        <f>SMALL(SimData!$B$9:$B$508,153)</f>
        <v>45165.515882540465</v>
      </c>
      <c r="G156">
        <f>1/(COUNT(SimData!$B$9:$B$508)-1)+$G$155</f>
        <v>0.304609218436874</v>
      </c>
    </row>
    <row r="157" spans="1:7">
      <c r="A157">
        <v>149</v>
      </c>
      <c r="B157">
        <v>91861.461536845993</v>
      </c>
      <c r="F157">
        <f>SMALL(SimData!$B$9:$B$508,154)</f>
        <v>45487.606655530559</v>
      </c>
      <c r="G157">
        <f>1/(COUNT(SimData!$B$9:$B$508)-1)+$G$156</f>
        <v>0.30661322645290606</v>
      </c>
    </row>
    <row r="158" spans="1:7">
      <c r="A158">
        <v>150</v>
      </c>
      <c r="B158">
        <v>118176.35607036858</v>
      </c>
      <c r="F158">
        <f>SMALL(SimData!$B$9:$B$508,155)</f>
        <v>45685.421829440391</v>
      </c>
      <c r="G158">
        <f>1/(COUNT(SimData!$B$9:$B$508)-1)+$G$157</f>
        <v>0.30861723446893813</v>
      </c>
    </row>
    <row r="159" spans="1:7">
      <c r="A159">
        <v>151</v>
      </c>
      <c r="B159">
        <v>60404.990307594824</v>
      </c>
      <c r="F159">
        <f>SMALL(SimData!$B$9:$B$508,156)</f>
        <v>45730.761113238288</v>
      </c>
      <c r="G159">
        <f>1/(COUNT(SimData!$B$9:$B$508)-1)+$G$158</f>
        <v>0.31062124248497019</v>
      </c>
    </row>
    <row r="160" spans="1:7">
      <c r="A160">
        <v>152</v>
      </c>
      <c r="B160">
        <v>75693.850382299963</v>
      </c>
      <c r="F160">
        <f>SMALL(SimData!$B$9:$B$508,157)</f>
        <v>45844.246777772147</v>
      </c>
      <c r="G160">
        <f>1/(COUNT(SimData!$B$9:$B$508)-1)+$G$159</f>
        <v>0.31262525050100226</v>
      </c>
    </row>
    <row r="161" spans="1:7">
      <c r="A161">
        <v>153</v>
      </c>
      <c r="B161">
        <v>56395.361189700736</v>
      </c>
      <c r="F161">
        <f>SMALL(SimData!$B$9:$B$508,158)</f>
        <v>46044.528963050427</v>
      </c>
      <c r="G161">
        <f>1/(COUNT(SimData!$B$9:$B$508)-1)+$G$160</f>
        <v>0.31462925851703433</v>
      </c>
    </row>
    <row r="162" spans="1:7">
      <c r="A162">
        <v>154</v>
      </c>
      <c r="B162">
        <v>13164.703533458898</v>
      </c>
      <c r="F162">
        <f>SMALL(SimData!$B$9:$B$508,159)</f>
        <v>46132.489622223497</v>
      </c>
      <c r="G162">
        <f>1/(COUNT(SimData!$B$9:$B$508)-1)+$G$161</f>
        <v>0.31663326653306639</v>
      </c>
    </row>
    <row r="163" spans="1:7">
      <c r="A163">
        <v>155</v>
      </c>
      <c r="B163">
        <v>31635.798812290122</v>
      </c>
      <c r="F163">
        <f>SMALL(SimData!$B$9:$B$508,160)</f>
        <v>46239.212359621801</v>
      </c>
      <c r="G163">
        <f>1/(COUNT(SimData!$B$9:$B$508)-1)+$G$162</f>
        <v>0.31863727454909846</v>
      </c>
    </row>
    <row r="164" spans="1:7">
      <c r="A164">
        <v>156</v>
      </c>
      <c r="B164">
        <v>25206.234397225493</v>
      </c>
      <c r="F164">
        <f>SMALL(SimData!$B$9:$B$508,161)</f>
        <v>46319.687012898619</v>
      </c>
      <c r="G164">
        <f>1/(COUNT(SimData!$B$9:$B$508)-1)+$G$163</f>
        <v>0.32064128256513053</v>
      </c>
    </row>
    <row r="165" spans="1:7">
      <c r="A165">
        <v>157</v>
      </c>
      <c r="B165">
        <v>71385.765075729942</v>
      </c>
      <c r="F165">
        <f>SMALL(SimData!$B$9:$B$508,162)</f>
        <v>46820.426367705055</v>
      </c>
      <c r="G165">
        <f>1/(COUNT(SimData!$B$9:$B$508)-1)+$G$164</f>
        <v>0.32264529058116259</v>
      </c>
    </row>
    <row r="166" spans="1:7">
      <c r="A166">
        <v>158</v>
      </c>
      <c r="B166">
        <v>59805.337558123239</v>
      </c>
      <c r="F166">
        <f>SMALL(SimData!$B$9:$B$508,163)</f>
        <v>46908.078007056945</v>
      </c>
      <c r="G166">
        <f>1/(COUNT(SimData!$B$9:$B$508)-1)+$G$165</f>
        <v>0.32464929859719466</v>
      </c>
    </row>
    <row r="167" spans="1:7">
      <c r="A167">
        <v>159</v>
      </c>
      <c r="B167">
        <v>63761.778018140059</v>
      </c>
      <c r="F167">
        <f>SMALL(SimData!$B$9:$B$508,164)</f>
        <v>47653.047558212565</v>
      </c>
      <c r="G167">
        <f>1/(COUNT(SimData!$B$9:$B$508)-1)+$G$166</f>
        <v>0.32665330661322672</v>
      </c>
    </row>
    <row r="168" spans="1:7">
      <c r="A168">
        <v>160</v>
      </c>
      <c r="B168">
        <v>86315.789709113655</v>
      </c>
      <c r="F168">
        <f>SMALL(SimData!$B$9:$B$508,165)</f>
        <v>47840.984187104732</v>
      </c>
      <c r="G168">
        <f>1/(COUNT(SimData!$B$9:$B$508)-1)+$G$167</f>
        <v>0.32865731462925879</v>
      </c>
    </row>
    <row r="169" spans="1:7">
      <c r="A169">
        <v>161</v>
      </c>
      <c r="B169">
        <v>40720.687398489201</v>
      </c>
      <c r="F169">
        <f>SMALL(SimData!$B$9:$B$508,166)</f>
        <v>48134.96935127968</v>
      </c>
      <c r="G169">
        <f>1/(COUNT(SimData!$B$9:$B$508)-1)+$G$168</f>
        <v>0.33066132264529086</v>
      </c>
    </row>
    <row r="170" spans="1:7">
      <c r="A170">
        <v>162</v>
      </c>
      <c r="B170">
        <v>79749.51452247116</v>
      </c>
      <c r="F170">
        <f>SMALL(SimData!$B$9:$B$508,167)</f>
        <v>48258.246862089843</v>
      </c>
      <c r="G170">
        <f>1/(COUNT(SimData!$B$9:$B$508)-1)+$G$169</f>
        <v>0.33266533066132292</v>
      </c>
    </row>
    <row r="171" spans="1:7">
      <c r="A171">
        <v>163</v>
      </c>
      <c r="B171">
        <v>104494.97254665972</v>
      </c>
      <c r="F171">
        <f>SMALL(SimData!$B$9:$B$508,168)</f>
        <v>48744.83100887225</v>
      </c>
      <c r="G171">
        <f>1/(COUNT(SimData!$B$9:$B$508)-1)+$G$170</f>
        <v>0.33466933867735499</v>
      </c>
    </row>
    <row r="172" spans="1:7">
      <c r="A172">
        <v>164</v>
      </c>
      <c r="B172">
        <v>99152.288361343803</v>
      </c>
      <c r="F172">
        <f>SMALL(SimData!$B$9:$B$508,169)</f>
        <v>49076.89875401515</v>
      </c>
      <c r="G172">
        <f>1/(COUNT(SimData!$B$9:$B$508)-1)+$G$171</f>
        <v>0.33667334669338705</v>
      </c>
    </row>
    <row r="173" spans="1:7">
      <c r="A173">
        <v>165</v>
      </c>
      <c r="B173">
        <v>86880.747738860795</v>
      </c>
      <c r="F173">
        <f>SMALL(SimData!$B$9:$B$508,170)</f>
        <v>49583.696675622137</v>
      </c>
      <c r="G173">
        <f>1/(COUNT(SimData!$B$9:$B$508)-1)+$G$172</f>
        <v>0.33867735470941912</v>
      </c>
    </row>
    <row r="174" spans="1:7">
      <c r="A174">
        <v>166</v>
      </c>
      <c r="B174">
        <v>125019.63893090103</v>
      </c>
      <c r="F174">
        <f>SMALL(SimData!$B$9:$B$508,171)</f>
        <v>49598.916094783162</v>
      </c>
      <c r="G174">
        <f>1/(COUNT(SimData!$B$9:$B$508)-1)+$G$173</f>
        <v>0.34068136272545119</v>
      </c>
    </row>
    <row r="175" spans="1:7">
      <c r="A175">
        <v>167</v>
      </c>
      <c r="B175">
        <v>85191.054604256162</v>
      </c>
      <c r="F175">
        <f>SMALL(SimData!$B$9:$B$508,172)</f>
        <v>49642.586006656231</v>
      </c>
      <c r="G175">
        <f>1/(COUNT(SimData!$B$9:$B$508)-1)+$G$174</f>
        <v>0.34268537074148325</v>
      </c>
    </row>
    <row r="176" spans="1:7">
      <c r="A176">
        <v>168</v>
      </c>
      <c r="B176">
        <v>66234.913818563276</v>
      </c>
      <c r="F176">
        <f>SMALL(SimData!$B$9:$B$508,173)</f>
        <v>49817.794185641542</v>
      </c>
      <c r="G176">
        <f>1/(COUNT(SimData!$B$9:$B$508)-1)+$G$175</f>
        <v>0.34468937875751532</v>
      </c>
    </row>
    <row r="177" spans="1:7">
      <c r="A177">
        <v>169</v>
      </c>
      <c r="B177">
        <v>98699.759722980438</v>
      </c>
      <c r="F177">
        <f>SMALL(SimData!$B$9:$B$508,174)</f>
        <v>49838.161439096264</v>
      </c>
      <c r="G177">
        <f>1/(COUNT(SimData!$B$9:$B$508)-1)+$G$176</f>
        <v>0.34669338677354739</v>
      </c>
    </row>
    <row r="178" spans="1:7">
      <c r="A178">
        <v>170</v>
      </c>
      <c r="B178">
        <v>0</v>
      </c>
      <c r="F178">
        <f>SMALL(SimData!$B$9:$B$508,175)</f>
        <v>49996.233480029463</v>
      </c>
      <c r="G178">
        <f>1/(COUNT(SimData!$B$9:$B$508)-1)+$G$177</f>
        <v>0.34869739478957945</v>
      </c>
    </row>
    <row r="179" spans="1:7">
      <c r="A179">
        <v>171</v>
      </c>
      <c r="B179">
        <v>118188.43804505173</v>
      </c>
      <c r="F179">
        <f>SMALL(SimData!$B$9:$B$508,176)</f>
        <v>50095.816789076373</v>
      </c>
      <c r="G179">
        <f>1/(COUNT(SimData!$B$9:$B$508)-1)+$G$178</f>
        <v>0.35070140280561152</v>
      </c>
    </row>
    <row r="180" spans="1:7">
      <c r="A180">
        <v>172</v>
      </c>
      <c r="B180">
        <v>12250.977501089461</v>
      </c>
      <c r="F180">
        <f>SMALL(SimData!$B$9:$B$508,177)</f>
        <v>50594.68830283999</v>
      </c>
      <c r="G180">
        <f>1/(COUNT(SimData!$B$9:$B$508)-1)+$G$179</f>
        <v>0.35270541082164358</v>
      </c>
    </row>
    <row r="181" spans="1:7">
      <c r="A181">
        <v>173</v>
      </c>
      <c r="B181">
        <v>24569.741575591026</v>
      </c>
      <c r="F181">
        <f>SMALL(SimData!$B$9:$B$508,178)</f>
        <v>50746.948490317685</v>
      </c>
      <c r="G181">
        <f>1/(COUNT(SimData!$B$9:$B$508)-1)+$G$180</f>
        <v>0.35470941883767565</v>
      </c>
    </row>
    <row r="182" spans="1:7">
      <c r="A182">
        <v>174</v>
      </c>
      <c r="B182">
        <v>31379.475370911998</v>
      </c>
      <c r="F182">
        <f>SMALL(SimData!$B$9:$B$508,179)</f>
        <v>51098.803160300638</v>
      </c>
      <c r="G182">
        <f>1/(COUNT(SimData!$B$9:$B$508)-1)+$G$181</f>
        <v>0.35671342685370772</v>
      </c>
    </row>
    <row r="183" spans="1:7">
      <c r="A183">
        <v>175</v>
      </c>
      <c r="B183">
        <v>45165.515882540465</v>
      </c>
      <c r="F183">
        <f>SMALL(SimData!$B$9:$B$508,180)</f>
        <v>51558.556462928493</v>
      </c>
      <c r="G183">
        <f>1/(COUNT(SimData!$B$9:$B$508)-1)+$G$182</f>
        <v>0.35871743486973978</v>
      </c>
    </row>
    <row r="184" spans="1:7">
      <c r="A184">
        <v>176</v>
      </c>
      <c r="B184">
        <v>92328.417233559579</v>
      </c>
      <c r="F184">
        <f>SMALL(SimData!$B$9:$B$508,181)</f>
        <v>51717.624671012665</v>
      </c>
      <c r="G184">
        <f>1/(COUNT(SimData!$B$9:$B$508)-1)+$G$183</f>
        <v>0.36072144288577185</v>
      </c>
    </row>
    <row r="185" spans="1:7">
      <c r="A185">
        <v>177</v>
      </c>
      <c r="B185">
        <v>68305.820704672442</v>
      </c>
      <c r="F185">
        <f>SMALL(SimData!$B$9:$B$508,182)</f>
        <v>52079.807136754593</v>
      </c>
      <c r="G185">
        <f>1/(COUNT(SimData!$B$9:$B$508)-1)+$G$184</f>
        <v>0.36272545090180391</v>
      </c>
    </row>
    <row r="186" spans="1:7">
      <c r="A186">
        <v>178</v>
      </c>
      <c r="B186">
        <v>54028.556034434929</v>
      </c>
      <c r="F186">
        <f>SMALL(SimData!$B$9:$B$508,183)</f>
        <v>52098.030370553781</v>
      </c>
      <c r="G186">
        <f>1/(COUNT(SimData!$B$9:$B$508)-1)+$G$185</f>
        <v>0.36472945891783598</v>
      </c>
    </row>
    <row r="187" spans="1:7">
      <c r="A187">
        <v>179</v>
      </c>
      <c r="B187">
        <v>154358.11273537876</v>
      </c>
      <c r="F187">
        <f>SMALL(SimData!$B$9:$B$508,184)</f>
        <v>52495.144667122731</v>
      </c>
      <c r="G187">
        <f>1/(COUNT(SimData!$B$9:$B$508)-1)+$G$186</f>
        <v>0.36673346693386805</v>
      </c>
    </row>
    <row r="188" spans="1:7">
      <c r="A188">
        <v>180</v>
      </c>
      <c r="B188">
        <v>23240.354887572474</v>
      </c>
      <c r="F188">
        <f>SMALL(SimData!$B$9:$B$508,185)</f>
        <v>52507.343846344796</v>
      </c>
      <c r="G188">
        <f>1/(COUNT(SimData!$B$9:$B$508)-1)+$G$187</f>
        <v>0.36873747494990011</v>
      </c>
    </row>
    <row r="189" spans="1:7">
      <c r="A189">
        <v>181</v>
      </c>
      <c r="B189">
        <v>76029.461806663225</v>
      </c>
      <c r="F189">
        <f>SMALL(SimData!$B$9:$B$508,186)</f>
        <v>52529.032205640629</v>
      </c>
      <c r="G189">
        <f>1/(COUNT(SimData!$B$9:$B$508)-1)+$G$188</f>
        <v>0.37074148296593218</v>
      </c>
    </row>
    <row r="190" spans="1:7">
      <c r="A190">
        <v>182</v>
      </c>
      <c r="B190">
        <v>37227.470089011724</v>
      </c>
      <c r="F190">
        <f>SMALL(SimData!$B$9:$B$508,187)</f>
        <v>52621.025349878546</v>
      </c>
      <c r="G190">
        <f>1/(COUNT(SimData!$B$9:$B$508)-1)+$G$189</f>
        <v>0.37274549098196424</v>
      </c>
    </row>
    <row r="191" spans="1:7">
      <c r="A191">
        <v>183</v>
      </c>
      <c r="B191">
        <v>56717.065913140112</v>
      </c>
      <c r="F191">
        <f>SMALL(SimData!$B$9:$B$508,188)</f>
        <v>52693.090988958502</v>
      </c>
      <c r="G191">
        <f>1/(COUNT(SimData!$B$9:$B$508)-1)+$G$190</f>
        <v>0.37474949899799631</v>
      </c>
    </row>
    <row r="192" spans="1:7">
      <c r="A192">
        <v>184</v>
      </c>
      <c r="B192">
        <v>64564.493228527412</v>
      </c>
      <c r="F192">
        <f>SMALL(SimData!$B$9:$B$508,189)</f>
        <v>52727.619117779286</v>
      </c>
      <c r="G192">
        <f>1/(COUNT(SimData!$B$9:$B$508)-1)+$G$191</f>
        <v>0.37675350701402838</v>
      </c>
    </row>
    <row r="193" spans="1:7">
      <c r="A193">
        <v>185</v>
      </c>
      <c r="B193">
        <v>71825.74339683025</v>
      </c>
      <c r="F193">
        <f>SMALL(SimData!$B$9:$B$508,190)</f>
        <v>52759.927274265501</v>
      </c>
      <c r="G193">
        <f>1/(COUNT(SimData!$B$9:$B$508)-1)+$G$192</f>
        <v>0.37875751503006044</v>
      </c>
    </row>
    <row r="194" spans="1:7">
      <c r="A194">
        <v>186</v>
      </c>
      <c r="B194">
        <v>48744.83100887225</v>
      </c>
      <c r="F194">
        <f>SMALL(SimData!$B$9:$B$508,191)</f>
        <v>52783.860844578703</v>
      </c>
      <c r="G194">
        <f>1/(COUNT(SimData!$B$9:$B$508)-1)+$G$193</f>
        <v>0.38076152304609251</v>
      </c>
    </row>
    <row r="195" spans="1:7">
      <c r="A195">
        <v>187</v>
      </c>
      <c r="B195">
        <v>62085.149963058269</v>
      </c>
      <c r="F195">
        <f>SMALL(SimData!$B$9:$B$508,192)</f>
        <v>52893.532206528354</v>
      </c>
      <c r="G195">
        <f>1/(COUNT(SimData!$B$9:$B$508)-1)+$G$194</f>
        <v>0.38276553106212458</v>
      </c>
    </row>
    <row r="196" spans="1:7">
      <c r="A196">
        <v>188</v>
      </c>
      <c r="B196">
        <v>113618.79365228242</v>
      </c>
      <c r="F196">
        <f>SMALL(SimData!$B$9:$B$508,193)</f>
        <v>52907.203123899133</v>
      </c>
      <c r="G196">
        <f>1/(COUNT(SimData!$B$9:$B$508)-1)+$G$195</f>
        <v>0.38476953907815664</v>
      </c>
    </row>
    <row r="197" spans="1:7">
      <c r="A197">
        <v>189</v>
      </c>
      <c r="B197">
        <v>71495.09351172336</v>
      </c>
      <c r="F197">
        <f>SMALL(SimData!$B$9:$B$508,194)</f>
        <v>52966.656326731834</v>
      </c>
      <c r="G197">
        <f>1/(COUNT(SimData!$B$9:$B$508)-1)+$G$196</f>
        <v>0.38677354709418871</v>
      </c>
    </row>
    <row r="198" spans="1:7">
      <c r="A198">
        <v>190</v>
      </c>
      <c r="B198">
        <v>42691.336439804538</v>
      </c>
      <c r="F198">
        <f>SMALL(SimData!$B$9:$B$508,195)</f>
        <v>53017.683951444502</v>
      </c>
      <c r="G198">
        <f>1/(COUNT(SimData!$B$9:$B$508)-1)+$G$197</f>
        <v>0.38877755511022077</v>
      </c>
    </row>
    <row r="199" spans="1:7">
      <c r="A199">
        <v>191</v>
      </c>
      <c r="B199">
        <v>59662.283467806446</v>
      </c>
      <c r="F199">
        <f>SMALL(SimData!$B$9:$B$508,196)</f>
        <v>53022.490933534791</v>
      </c>
      <c r="G199">
        <f>1/(COUNT(SimData!$B$9:$B$508)-1)+$G$198</f>
        <v>0.39078156312625284</v>
      </c>
    </row>
    <row r="200" spans="1:7">
      <c r="A200">
        <v>192</v>
      </c>
      <c r="B200">
        <v>69993.010207488827</v>
      </c>
      <c r="F200">
        <f>SMALL(SimData!$B$9:$B$508,197)</f>
        <v>53041.845446148123</v>
      </c>
      <c r="G200">
        <f>1/(COUNT(SimData!$B$9:$B$508)-1)+$G$199</f>
        <v>0.39278557114228491</v>
      </c>
    </row>
    <row r="201" spans="1:7">
      <c r="A201">
        <v>193</v>
      </c>
      <c r="B201">
        <v>58134.068540162967</v>
      </c>
      <c r="F201">
        <f>SMALL(SimData!$B$9:$B$508,198)</f>
        <v>53346.10241228879</v>
      </c>
      <c r="G201">
        <f>1/(COUNT(SimData!$B$9:$B$508)-1)+$G$200</f>
        <v>0.39478957915831697</v>
      </c>
    </row>
    <row r="202" spans="1:7">
      <c r="A202">
        <v>194</v>
      </c>
      <c r="B202">
        <v>52783.860844578703</v>
      </c>
      <c r="F202">
        <f>SMALL(SimData!$B$9:$B$508,199)</f>
        <v>53400.496025675973</v>
      </c>
      <c r="G202">
        <f>1/(COUNT(SimData!$B$9:$B$508)-1)+$G$201</f>
        <v>0.39679358717434904</v>
      </c>
    </row>
    <row r="203" spans="1:7">
      <c r="A203">
        <v>195</v>
      </c>
      <c r="B203">
        <v>56837.16672175804</v>
      </c>
      <c r="F203">
        <f>SMALL(SimData!$B$9:$B$508,200)</f>
        <v>53617.272495316545</v>
      </c>
      <c r="G203">
        <f>1/(COUNT(SimData!$B$9:$B$508)-1)+$G$202</f>
        <v>0.3987975951903811</v>
      </c>
    </row>
    <row r="204" spans="1:7">
      <c r="A204">
        <v>196</v>
      </c>
      <c r="B204">
        <v>133844.67075175408</v>
      </c>
      <c r="F204">
        <f>SMALL(SimData!$B$9:$B$508,201)</f>
        <v>53790.108883373992</v>
      </c>
      <c r="G204">
        <f>1/(COUNT(SimData!$B$9:$B$508)-1)+$G$203</f>
        <v>0.40080160320641317</v>
      </c>
    </row>
    <row r="205" spans="1:7">
      <c r="A205">
        <v>197</v>
      </c>
      <c r="B205">
        <v>27455.186039382355</v>
      </c>
      <c r="F205">
        <f>SMALL(SimData!$B$9:$B$508,202)</f>
        <v>54014.516238919066</v>
      </c>
      <c r="G205">
        <f>1/(COUNT(SimData!$B$9:$B$508)-1)+$G$204</f>
        <v>0.40280561122244524</v>
      </c>
    </row>
    <row r="206" spans="1:7">
      <c r="A206">
        <v>198</v>
      </c>
      <c r="B206">
        <v>107825.75436267201</v>
      </c>
      <c r="F206">
        <f>SMALL(SimData!$B$9:$B$508,203)</f>
        <v>54028.556034434929</v>
      </c>
      <c r="G206">
        <f>1/(COUNT(SimData!$B$9:$B$508)-1)+$G$205</f>
        <v>0.4048096192384773</v>
      </c>
    </row>
    <row r="207" spans="1:7">
      <c r="A207">
        <v>199</v>
      </c>
      <c r="B207">
        <v>79221.120241209064</v>
      </c>
      <c r="F207">
        <f>SMALL(SimData!$B$9:$B$508,204)</f>
        <v>54210.189776730098</v>
      </c>
      <c r="G207">
        <f>1/(COUNT(SimData!$B$9:$B$508)-1)+$G$206</f>
        <v>0.40681362725450937</v>
      </c>
    </row>
    <row r="208" spans="1:7">
      <c r="A208">
        <v>200</v>
      </c>
      <c r="B208">
        <v>70794.851248834209</v>
      </c>
      <c r="F208">
        <f>SMALL(SimData!$B$9:$B$508,205)</f>
        <v>54485.505185130205</v>
      </c>
      <c r="G208">
        <f>1/(COUNT(SimData!$B$9:$B$508)-1)+$G$207</f>
        <v>0.40881763527054144</v>
      </c>
    </row>
    <row r="209" spans="1:7">
      <c r="A209">
        <v>201</v>
      </c>
      <c r="B209">
        <v>52621.025349878546</v>
      </c>
      <c r="F209">
        <f>SMALL(SimData!$B$9:$B$508,206)</f>
        <v>54517.577418020694</v>
      </c>
      <c r="G209">
        <f>1/(COUNT(SimData!$B$9:$B$508)-1)+$G$208</f>
        <v>0.4108216432865735</v>
      </c>
    </row>
    <row r="210" spans="1:7">
      <c r="A210">
        <v>202</v>
      </c>
      <c r="B210">
        <v>76295.295598082565</v>
      </c>
      <c r="F210">
        <f>SMALL(SimData!$B$9:$B$508,207)</f>
        <v>54522.001663663032</v>
      </c>
      <c r="G210">
        <f>1/(COUNT(SimData!$B$9:$B$508)-1)+$G$209</f>
        <v>0.41282565130260557</v>
      </c>
    </row>
    <row r="211" spans="1:7">
      <c r="A211">
        <v>203</v>
      </c>
      <c r="B211">
        <v>97305.109014814341</v>
      </c>
      <c r="F211">
        <f>SMALL(SimData!$B$9:$B$508,208)</f>
        <v>54608.611931017149</v>
      </c>
      <c r="G211">
        <f>1/(COUNT(SimData!$B$9:$B$508)-1)+$G$210</f>
        <v>0.41482965931863763</v>
      </c>
    </row>
    <row r="212" spans="1:7">
      <c r="A212">
        <v>204</v>
      </c>
      <c r="B212">
        <v>86479.001994235135</v>
      </c>
      <c r="F212">
        <f>SMALL(SimData!$B$9:$B$508,209)</f>
        <v>54630.1546822815</v>
      </c>
      <c r="G212">
        <f>1/(COUNT(SimData!$B$9:$B$508)-1)+$G$211</f>
        <v>0.4168336673346697</v>
      </c>
    </row>
    <row r="213" spans="1:7">
      <c r="A213">
        <v>205</v>
      </c>
      <c r="B213">
        <v>80377.996472238447</v>
      </c>
      <c r="F213">
        <f>SMALL(SimData!$B$9:$B$508,210)</f>
        <v>54810.690925887437</v>
      </c>
      <c r="G213">
        <f>1/(COUNT(SimData!$B$9:$B$508)-1)+$G$212</f>
        <v>0.41883767535070177</v>
      </c>
    </row>
    <row r="214" spans="1:7">
      <c r="A214">
        <v>206</v>
      </c>
      <c r="B214">
        <v>98954.332427427027</v>
      </c>
      <c r="F214">
        <f>SMALL(SimData!$B$9:$B$508,211)</f>
        <v>55483.457960342646</v>
      </c>
      <c r="G214">
        <f>1/(COUNT(SimData!$B$9:$B$508)-1)+$G$213</f>
        <v>0.42084168336673383</v>
      </c>
    </row>
    <row r="215" spans="1:7">
      <c r="A215">
        <v>207</v>
      </c>
      <c r="B215">
        <v>86863.373143418081</v>
      </c>
      <c r="F215">
        <f>SMALL(SimData!$B$9:$B$508,212)</f>
        <v>55630.229034113872</v>
      </c>
      <c r="G215">
        <f>1/(COUNT(SimData!$B$9:$B$508)-1)+$G$214</f>
        <v>0.4228456913827659</v>
      </c>
    </row>
    <row r="216" spans="1:7">
      <c r="A216">
        <v>208</v>
      </c>
      <c r="B216">
        <v>45844.246777772147</v>
      </c>
      <c r="F216">
        <f>SMALL(SimData!$B$9:$B$508,213)</f>
        <v>55802.813619849461</v>
      </c>
      <c r="G216">
        <f>1/(COUNT(SimData!$B$9:$B$508)-1)+$G$215</f>
        <v>0.42484969939879796</v>
      </c>
    </row>
    <row r="217" spans="1:7">
      <c r="A217">
        <v>209</v>
      </c>
      <c r="B217">
        <v>15960.807001577265</v>
      </c>
      <c r="F217">
        <f>SMALL(SimData!$B$9:$B$508,214)</f>
        <v>55820.591888725496</v>
      </c>
      <c r="G217">
        <f>1/(COUNT(SimData!$B$9:$B$508)-1)+$G$216</f>
        <v>0.42685370741483003</v>
      </c>
    </row>
    <row r="218" spans="1:7">
      <c r="A218">
        <v>210</v>
      </c>
      <c r="B218">
        <v>49076.89875401515</v>
      </c>
      <c r="F218">
        <f>SMALL(SimData!$B$9:$B$508,215)</f>
        <v>55861.36194442118</v>
      </c>
      <c r="G218">
        <f>1/(COUNT(SimData!$B$9:$B$508)-1)+$G$217</f>
        <v>0.4288577154308621</v>
      </c>
    </row>
    <row r="219" spans="1:7">
      <c r="A219">
        <v>211</v>
      </c>
      <c r="B219">
        <v>121893.26353316745</v>
      </c>
      <c r="F219">
        <f>SMALL(SimData!$B$9:$B$508,216)</f>
        <v>56120.536552514815</v>
      </c>
      <c r="G219">
        <f>1/(COUNT(SimData!$B$9:$B$508)-1)+$G$218</f>
        <v>0.43086172344689416</v>
      </c>
    </row>
    <row r="220" spans="1:7">
      <c r="A220">
        <v>212</v>
      </c>
      <c r="B220">
        <v>112020.46570518981</v>
      </c>
      <c r="F220">
        <f>SMALL(SimData!$B$9:$B$508,217)</f>
        <v>56130.966141277619</v>
      </c>
      <c r="G220">
        <f>1/(COUNT(SimData!$B$9:$B$508)-1)+$G$219</f>
        <v>0.43286573146292623</v>
      </c>
    </row>
    <row r="221" spans="1:7">
      <c r="A221">
        <v>213</v>
      </c>
      <c r="B221">
        <v>12287.67683887589</v>
      </c>
      <c r="F221">
        <f>SMALL(SimData!$B$9:$B$508,218)</f>
        <v>56395.361189700736</v>
      </c>
      <c r="G221">
        <f>1/(COUNT(SimData!$B$9:$B$508)-1)+$G$220</f>
        <v>0.43486973947895829</v>
      </c>
    </row>
    <row r="222" spans="1:7">
      <c r="A222">
        <v>214</v>
      </c>
      <c r="B222">
        <v>109056.37648617414</v>
      </c>
      <c r="F222">
        <f>SMALL(SimData!$B$9:$B$508,219)</f>
        <v>56717.065913140112</v>
      </c>
      <c r="G222">
        <f>1/(COUNT(SimData!$B$9:$B$508)-1)+$G$221</f>
        <v>0.43687374749499036</v>
      </c>
    </row>
    <row r="223" spans="1:7">
      <c r="A223">
        <v>215</v>
      </c>
      <c r="B223">
        <v>77534.52506476597</v>
      </c>
      <c r="F223">
        <f>SMALL(SimData!$B$9:$B$508,220)</f>
        <v>56837.16672175804</v>
      </c>
      <c r="G223">
        <f>1/(COUNT(SimData!$B$9:$B$508)-1)+$G$222</f>
        <v>0.43887775551102243</v>
      </c>
    </row>
    <row r="224" spans="1:7">
      <c r="A224">
        <v>216</v>
      </c>
      <c r="B224">
        <v>58895.94205294516</v>
      </c>
      <c r="F224">
        <f>SMALL(SimData!$B$9:$B$508,221)</f>
        <v>57394.647198252635</v>
      </c>
      <c r="G224">
        <f>1/(COUNT(SimData!$B$9:$B$508)-1)+$G$223</f>
        <v>0.44088176352705449</v>
      </c>
    </row>
    <row r="225" spans="1:7">
      <c r="A225">
        <v>217</v>
      </c>
      <c r="B225">
        <v>53346.10241228879</v>
      </c>
      <c r="F225">
        <f>SMALL(SimData!$B$9:$B$508,222)</f>
        <v>58134.068540162967</v>
      </c>
      <c r="G225">
        <f>1/(COUNT(SimData!$B$9:$B$508)-1)+$G$224</f>
        <v>0.44288577154308656</v>
      </c>
    </row>
    <row r="226" spans="1:7">
      <c r="A226">
        <v>218</v>
      </c>
      <c r="B226">
        <v>63352.130355588757</v>
      </c>
      <c r="F226">
        <f>SMALL(SimData!$B$9:$B$508,223)</f>
        <v>58350.224483125683</v>
      </c>
      <c r="G226">
        <f>1/(COUNT(SimData!$B$9:$B$508)-1)+$G$225</f>
        <v>0.44488977955911863</v>
      </c>
    </row>
    <row r="227" spans="1:7">
      <c r="A227">
        <v>219</v>
      </c>
      <c r="B227">
        <v>0</v>
      </c>
      <c r="F227">
        <f>SMALL(SimData!$B$9:$B$508,224)</f>
        <v>58378.379653658529</v>
      </c>
      <c r="G227">
        <f>1/(COUNT(SimData!$B$9:$B$508)-1)+$G$226</f>
        <v>0.44689378757515069</v>
      </c>
    </row>
    <row r="228" spans="1:7">
      <c r="A228">
        <v>220</v>
      </c>
      <c r="B228">
        <v>37393.873118498908</v>
      </c>
      <c r="F228">
        <f>SMALL(SimData!$B$9:$B$508,225)</f>
        <v>58574.962488609926</v>
      </c>
      <c r="G228">
        <f>1/(COUNT(SimData!$B$9:$B$508)-1)+$G$227</f>
        <v>0.44889779559118276</v>
      </c>
    </row>
    <row r="229" spans="1:7">
      <c r="A229">
        <v>221</v>
      </c>
      <c r="B229">
        <v>49817.794185641542</v>
      </c>
      <c r="F229">
        <f>SMALL(SimData!$B$9:$B$508,226)</f>
        <v>58613.915022965281</v>
      </c>
      <c r="G229">
        <f>1/(COUNT(SimData!$B$9:$B$508)-1)+$G$228</f>
        <v>0.45090180360721482</v>
      </c>
    </row>
    <row r="230" spans="1:7">
      <c r="A230">
        <v>222</v>
      </c>
      <c r="B230">
        <v>76022.66983373632</v>
      </c>
      <c r="F230">
        <f>SMALL(SimData!$B$9:$B$508,227)</f>
        <v>58719.408399869033</v>
      </c>
      <c r="G230">
        <f>1/(COUNT(SimData!$B$9:$B$508)-1)+$G$229</f>
        <v>0.45290581162324689</v>
      </c>
    </row>
    <row r="231" spans="1:7">
      <c r="A231">
        <v>223</v>
      </c>
      <c r="B231">
        <v>39466.239345993628</v>
      </c>
      <c r="F231">
        <f>SMALL(SimData!$B$9:$B$508,228)</f>
        <v>58895.94205294516</v>
      </c>
      <c r="G231">
        <f>1/(COUNT(SimData!$B$9:$B$508)-1)+$G$230</f>
        <v>0.45490981963927896</v>
      </c>
    </row>
    <row r="232" spans="1:7">
      <c r="A232">
        <v>224</v>
      </c>
      <c r="B232">
        <v>52727.619117779286</v>
      </c>
      <c r="F232">
        <f>SMALL(SimData!$B$9:$B$508,229)</f>
        <v>58902.453382269399</v>
      </c>
      <c r="G232">
        <f>1/(COUNT(SimData!$B$9:$B$508)-1)+$G$231</f>
        <v>0.45691382765531102</v>
      </c>
    </row>
    <row r="233" spans="1:7">
      <c r="A233">
        <v>225</v>
      </c>
      <c r="B233">
        <v>81384.826618387815</v>
      </c>
      <c r="F233">
        <f>SMALL(SimData!$B$9:$B$508,230)</f>
        <v>59046.887709444884</v>
      </c>
      <c r="G233">
        <f>1/(COUNT(SimData!$B$9:$B$508)-1)+$G$232</f>
        <v>0.45891783567134309</v>
      </c>
    </row>
    <row r="234" spans="1:7">
      <c r="A234">
        <v>226</v>
      </c>
      <c r="B234">
        <v>24775.818269160507</v>
      </c>
      <c r="F234">
        <f>SMALL(SimData!$B$9:$B$508,231)</f>
        <v>59148.354760158065</v>
      </c>
      <c r="G234">
        <f>1/(COUNT(SimData!$B$9:$B$508)-1)+$G$233</f>
        <v>0.46092184368737515</v>
      </c>
    </row>
    <row r="235" spans="1:7">
      <c r="A235">
        <v>227</v>
      </c>
      <c r="B235">
        <v>99147.668596826217</v>
      </c>
      <c r="F235">
        <f>SMALL(SimData!$B$9:$B$508,232)</f>
        <v>59304.671841104304</v>
      </c>
      <c r="G235">
        <f>1/(COUNT(SimData!$B$9:$B$508)-1)+$G$234</f>
        <v>0.46292585170340722</v>
      </c>
    </row>
    <row r="236" spans="1:7">
      <c r="A236">
        <v>228</v>
      </c>
      <c r="B236">
        <v>115695.11803844283</v>
      </c>
      <c r="F236">
        <f>SMALL(SimData!$B$9:$B$508,233)</f>
        <v>59389.220675355253</v>
      </c>
      <c r="G236">
        <f>1/(COUNT(SimData!$B$9:$B$508)-1)+$G$235</f>
        <v>0.46492985971943929</v>
      </c>
    </row>
    <row r="237" spans="1:7">
      <c r="A237">
        <v>229</v>
      </c>
      <c r="B237">
        <v>77234.836741939711</v>
      </c>
      <c r="F237">
        <f>SMALL(SimData!$B$9:$B$508,234)</f>
        <v>59428.042911207318</v>
      </c>
      <c r="G237">
        <f>1/(COUNT(SimData!$B$9:$B$508)-1)+$G$236</f>
        <v>0.46693386773547135</v>
      </c>
    </row>
    <row r="238" spans="1:7">
      <c r="A238">
        <v>230</v>
      </c>
      <c r="B238">
        <v>75401.15246344448</v>
      </c>
      <c r="F238">
        <f>SMALL(SimData!$B$9:$B$508,235)</f>
        <v>59662.283467806446</v>
      </c>
      <c r="G238">
        <f>1/(COUNT(SimData!$B$9:$B$508)-1)+$G$237</f>
        <v>0.46893787575150342</v>
      </c>
    </row>
    <row r="239" spans="1:7">
      <c r="A239">
        <v>231</v>
      </c>
      <c r="B239">
        <v>35725.963910435778</v>
      </c>
      <c r="F239">
        <f>SMALL(SimData!$B$9:$B$508,236)</f>
        <v>59805.337558123239</v>
      </c>
      <c r="G239">
        <f>1/(COUNT(SimData!$B$9:$B$508)-1)+$G$238</f>
        <v>0.47094188376753549</v>
      </c>
    </row>
    <row r="240" spans="1:7">
      <c r="A240">
        <v>232</v>
      </c>
      <c r="B240">
        <v>125587.29704841392</v>
      </c>
      <c r="F240">
        <f>SMALL(SimData!$B$9:$B$508,237)</f>
        <v>60168.071888043451</v>
      </c>
      <c r="G240">
        <f>1/(COUNT(SimData!$B$9:$B$508)-1)+$G$239</f>
        <v>0.47294589178356755</v>
      </c>
    </row>
    <row r="241" spans="1:7">
      <c r="A241">
        <v>233</v>
      </c>
      <c r="B241">
        <v>59304.671841104304</v>
      </c>
      <c r="F241">
        <f>SMALL(SimData!$B$9:$B$508,238)</f>
        <v>60324.419489104825</v>
      </c>
      <c r="G241">
        <f>1/(COUNT(SimData!$B$9:$B$508)-1)+$G$240</f>
        <v>0.47494989979959962</v>
      </c>
    </row>
    <row r="242" spans="1:7">
      <c r="A242">
        <v>234</v>
      </c>
      <c r="B242">
        <v>87717.399129696365</v>
      </c>
      <c r="F242">
        <f>SMALL(SimData!$B$9:$B$508,239)</f>
        <v>60404.990307594824</v>
      </c>
      <c r="G242">
        <f>1/(COUNT(SimData!$B$9:$B$508)-1)+$G$241</f>
        <v>0.47695390781563168</v>
      </c>
    </row>
    <row r="243" spans="1:7">
      <c r="A243">
        <v>235</v>
      </c>
      <c r="B243">
        <v>137167.82271835377</v>
      </c>
      <c r="F243">
        <f>SMALL(SimData!$B$9:$B$508,240)</f>
        <v>60459.477481283357</v>
      </c>
      <c r="G243">
        <f>1/(COUNT(SimData!$B$9:$B$508)-1)+$G$242</f>
        <v>0.47895791583166375</v>
      </c>
    </row>
    <row r="244" spans="1:7">
      <c r="A244">
        <v>236</v>
      </c>
      <c r="B244">
        <v>32184.10792058062</v>
      </c>
      <c r="F244">
        <f>SMALL(SimData!$B$9:$B$508,241)</f>
        <v>60582.782116403381</v>
      </c>
      <c r="G244">
        <f>1/(COUNT(SimData!$B$9:$B$508)-1)+$G$243</f>
        <v>0.48096192384769582</v>
      </c>
    </row>
    <row r="245" spans="1:7">
      <c r="A245">
        <v>237</v>
      </c>
      <c r="B245">
        <v>43427.48690643657</v>
      </c>
      <c r="F245">
        <f>SMALL(SimData!$B$9:$B$508,242)</f>
        <v>60823.489617632913</v>
      </c>
      <c r="G245">
        <f>1/(COUNT(SimData!$B$9:$B$508)-1)+$G$244</f>
        <v>0.48296593186372788</v>
      </c>
    </row>
    <row r="246" spans="1:7">
      <c r="A246">
        <v>238</v>
      </c>
      <c r="B246">
        <v>69860.345371460091</v>
      </c>
      <c r="F246">
        <f>SMALL(SimData!$B$9:$B$508,243)</f>
        <v>60853.382686099227</v>
      </c>
      <c r="G246">
        <f>1/(COUNT(SimData!$B$9:$B$508)-1)+$G$245</f>
        <v>0.48496993987975995</v>
      </c>
    </row>
    <row r="247" spans="1:7">
      <c r="A247">
        <v>239</v>
      </c>
      <c r="B247">
        <v>70545.6548627351</v>
      </c>
      <c r="F247">
        <f>SMALL(SimData!$B$9:$B$508,244)</f>
        <v>61513.809708072222</v>
      </c>
      <c r="G247">
        <f>1/(COUNT(SimData!$B$9:$B$508)-1)+$G$246</f>
        <v>0.48697394789579201</v>
      </c>
    </row>
    <row r="248" spans="1:7">
      <c r="A248">
        <v>240</v>
      </c>
      <c r="B248">
        <v>100879.25856976467</v>
      </c>
      <c r="F248">
        <f>SMALL(SimData!$B$9:$B$508,245)</f>
        <v>61546.090430032127</v>
      </c>
      <c r="G248">
        <f>1/(COUNT(SimData!$B$9:$B$508)-1)+$G$247</f>
        <v>0.48897795591182408</v>
      </c>
    </row>
    <row r="249" spans="1:7">
      <c r="A249">
        <v>241</v>
      </c>
      <c r="B249">
        <v>16786.579702436276</v>
      </c>
      <c r="F249">
        <f>SMALL(SimData!$B$9:$B$508,246)</f>
        <v>61726.150936379629</v>
      </c>
      <c r="G249">
        <f>1/(COUNT(SimData!$B$9:$B$508)-1)+$G$248</f>
        <v>0.49098196392785615</v>
      </c>
    </row>
    <row r="250" spans="1:7">
      <c r="A250">
        <v>242</v>
      </c>
      <c r="B250">
        <v>36157.954892016976</v>
      </c>
      <c r="F250">
        <f>SMALL(SimData!$B$9:$B$508,247)</f>
        <v>61920.553709878623</v>
      </c>
      <c r="G250">
        <f>1/(COUNT(SimData!$B$9:$B$508)-1)+$G$249</f>
        <v>0.49298597194388821</v>
      </c>
    </row>
    <row r="251" spans="1:7">
      <c r="A251">
        <v>243</v>
      </c>
      <c r="B251">
        <v>146215.32149174402</v>
      </c>
      <c r="F251">
        <f>SMALL(SimData!$B$9:$B$508,248)</f>
        <v>62034.543242710984</v>
      </c>
      <c r="G251">
        <f>1/(COUNT(SimData!$B$9:$B$508)-1)+$G$250</f>
        <v>0.49498997995992028</v>
      </c>
    </row>
    <row r="252" spans="1:7">
      <c r="A252">
        <v>244</v>
      </c>
      <c r="B252">
        <v>79149.537439211228</v>
      </c>
      <c r="F252">
        <f>SMALL(SimData!$B$9:$B$508,249)</f>
        <v>62085.149963058269</v>
      </c>
      <c r="G252">
        <f>1/(COUNT(SimData!$B$9:$B$508)-1)+$G$251</f>
        <v>0.49699398797595234</v>
      </c>
    </row>
    <row r="253" spans="1:7">
      <c r="A253">
        <v>245</v>
      </c>
      <c r="B253">
        <v>34749.30292788706</v>
      </c>
      <c r="F253">
        <f>SMALL(SimData!$B$9:$B$508,250)</f>
        <v>62092.276735439547</v>
      </c>
      <c r="G253">
        <f>1/(COUNT(SimData!$B$9:$B$508)-1)+$G$252</f>
        <v>0.49899799599198441</v>
      </c>
    </row>
    <row r="254" spans="1:7">
      <c r="A254">
        <v>246</v>
      </c>
      <c r="B254">
        <v>24933.099363411573</v>
      </c>
      <c r="F254">
        <f>SMALL(SimData!$B$9:$B$508,251)</f>
        <v>62541.725943221667</v>
      </c>
      <c r="G254">
        <f>1/(COUNT(SimData!$B$9:$B$508)-1)+$G$253</f>
        <v>0.50100200400801642</v>
      </c>
    </row>
    <row r="255" spans="1:7">
      <c r="A255">
        <v>247</v>
      </c>
      <c r="B255">
        <v>88304.934421268801</v>
      </c>
      <c r="F255">
        <f>SMALL(SimData!$B$9:$B$508,252)</f>
        <v>62719.496247966825</v>
      </c>
      <c r="G255">
        <f>1/(COUNT(SimData!$B$9:$B$508)-1)+$G$254</f>
        <v>0.50300601202404849</v>
      </c>
    </row>
    <row r="256" spans="1:7">
      <c r="A256">
        <v>248</v>
      </c>
      <c r="B256">
        <v>53017.683951444502</v>
      </c>
      <c r="F256">
        <f>SMALL(SimData!$B$9:$B$508,253)</f>
        <v>62837.688058160944</v>
      </c>
      <c r="G256">
        <f>1/(COUNT(SimData!$B$9:$B$508)-1)+$G$255</f>
        <v>0.50501002004008055</v>
      </c>
    </row>
    <row r="257" spans="1:7">
      <c r="A257">
        <v>249</v>
      </c>
      <c r="B257">
        <v>23780.32572050314</v>
      </c>
      <c r="F257">
        <f>SMALL(SimData!$B$9:$B$508,254)</f>
        <v>63352.130355588757</v>
      </c>
      <c r="G257">
        <f>1/(COUNT(SimData!$B$9:$B$508)-1)+$G$256</f>
        <v>0.50701402805611262</v>
      </c>
    </row>
    <row r="258" spans="1:7">
      <c r="A258">
        <v>250</v>
      </c>
      <c r="B258">
        <v>51717.624671012665</v>
      </c>
      <c r="F258">
        <f>SMALL(SimData!$B$9:$B$508,255)</f>
        <v>63422.076035871039</v>
      </c>
      <c r="G258">
        <f>1/(COUNT(SimData!$B$9:$B$508)-1)+$G$257</f>
        <v>0.50901803607214469</v>
      </c>
    </row>
    <row r="259" spans="1:7">
      <c r="A259">
        <v>251</v>
      </c>
      <c r="B259">
        <v>0</v>
      </c>
      <c r="F259">
        <f>SMALL(SimData!$B$9:$B$508,256)</f>
        <v>63485.462155392182</v>
      </c>
      <c r="G259">
        <f>1/(COUNT(SimData!$B$9:$B$508)-1)+$G$258</f>
        <v>0.51102204408817675</v>
      </c>
    </row>
    <row r="260" spans="1:7">
      <c r="A260">
        <v>252</v>
      </c>
      <c r="B260">
        <v>116787.48531813658</v>
      </c>
      <c r="F260">
        <f>SMALL(SimData!$B$9:$B$508,257)</f>
        <v>63514.518789715337</v>
      </c>
      <c r="G260">
        <f>1/(COUNT(SimData!$B$9:$B$508)-1)+$G$259</f>
        <v>0.51302605210420882</v>
      </c>
    </row>
    <row r="261" spans="1:7">
      <c r="A261">
        <v>253</v>
      </c>
      <c r="B261">
        <v>41735.629273036015</v>
      </c>
      <c r="F261">
        <f>SMALL(SimData!$B$9:$B$508,258)</f>
        <v>63705.939929229571</v>
      </c>
      <c r="G261">
        <f>1/(COUNT(SimData!$B$9:$B$508)-1)+$G$260</f>
        <v>0.51503006012024088</v>
      </c>
    </row>
    <row r="262" spans="1:7">
      <c r="A262">
        <v>254</v>
      </c>
      <c r="B262">
        <v>65659.809150096044</v>
      </c>
      <c r="F262">
        <f>SMALL(SimData!$B$9:$B$508,259)</f>
        <v>63761.778018140059</v>
      </c>
      <c r="G262">
        <f>1/(COUNT(SimData!$B$9:$B$508)-1)+$G$261</f>
        <v>0.51703406813627295</v>
      </c>
    </row>
    <row r="263" spans="1:7">
      <c r="A263">
        <v>255</v>
      </c>
      <c r="B263">
        <v>72873.330804328318</v>
      </c>
      <c r="F263">
        <f>SMALL(SimData!$B$9:$B$508,260)</f>
        <v>63872.216977054253</v>
      </c>
      <c r="G263">
        <f>1/(COUNT(SimData!$B$9:$B$508)-1)+$G$262</f>
        <v>0.51903807615230502</v>
      </c>
    </row>
    <row r="264" spans="1:7">
      <c r="A264">
        <v>256</v>
      </c>
      <c r="B264">
        <v>61513.809708072222</v>
      </c>
      <c r="F264">
        <f>SMALL(SimData!$B$9:$B$508,261)</f>
        <v>64564.493228527412</v>
      </c>
      <c r="G264">
        <f>1/(COUNT(SimData!$B$9:$B$508)-1)+$G$263</f>
        <v>0.52104208416833708</v>
      </c>
    </row>
    <row r="265" spans="1:7">
      <c r="A265">
        <v>257</v>
      </c>
      <c r="B265">
        <v>38816.311331786186</v>
      </c>
      <c r="F265">
        <f>SMALL(SimData!$B$9:$B$508,262)</f>
        <v>64748.216268692755</v>
      </c>
      <c r="G265">
        <f>1/(COUNT(SimData!$B$9:$B$508)-1)+$G$264</f>
        <v>0.52304609218436915</v>
      </c>
    </row>
    <row r="266" spans="1:7">
      <c r="A266">
        <v>258</v>
      </c>
      <c r="B266">
        <v>28961.243688536411</v>
      </c>
      <c r="F266">
        <f>SMALL(SimData!$B$9:$B$508,263)</f>
        <v>65283.16726938379</v>
      </c>
      <c r="G266">
        <f>1/(COUNT(SimData!$B$9:$B$508)-1)+$G$265</f>
        <v>0.52505010020040122</v>
      </c>
    </row>
    <row r="267" spans="1:7">
      <c r="A267">
        <v>259</v>
      </c>
      <c r="B267">
        <v>87822.381244581542</v>
      </c>
      <c r="F267">
        <f>SMALL(SimData!$B$9:$B$508,264)</f>
        <v>65598.256737720862</v>
      </c>
      <c r="G267">
        <f>1/(COUNT(SimData!$B$9:$B$508)-1)+$G$266</f>
        <v>0.52705410821643328</v>
      </c>
    </row>
    <row r="268" spans="1:7">
      <c r="A268">
        <v>260</v>
      </c>
      <c r="B268">
        <v>78105.638669988082</v>
      </c>
      <c r="F268">
        <f>SMALL(SimData!$B$9:$B$508,265)</f>
        <v>65659.809150096044</v>
      </c>
      <c r="G268">
        <f>1/(COUNT(SimData!$B$9:$B$508)-1)+$G$267</f>
        <v>0.52905811623246535</v>
      </c>
    </row>
    <row r="269" spans="1:7">
      <c r="A269">
        <v>261</v>
      </c>
      <c r="B269">
        <v>85310.429300134463</v>
      </c>
      <c r="F269">
        <f>SMALL(SimData!$B$9:$B$508,266)</f>
        <v>65879.827327755222</v>
      </c>
      <c r="G269">
        <f>1/(COUNT(SimData!$B$9:$B$508)-1)+$G$268</f>
        <v>0.53106212424849741</v>
      </c>
    </row>
    <row r="270" spans="1:7">
      <c r="A270">
        <v>262</v>
      </c>
      <c r="B270">
        <v>52079.807136754593</v>
      </c>
      <c r="F270">
        <f>SMALL(SimData!$B$9:$B$508,267)</f>
        <v>66058.822800628986</v>
      </c>
      <c r="G270">
        <f>1/(COUNT(SimData!$B$9:$B$508)-1)+$G$269</f>
        <v>0.53306613226452948</v>
      </c>
    </row>
    <row r="271" spans="1:7">
      <c r="A271">
        <v>263</v>
      </c>
      <c r="B271">
        <v>96510.58896795394</v>
      </c>
      <c r="F271">
        <f>SMALL(SimData!$B$9:$B$508,268)</f>
        <v>66204.47340442006</v>
      </c>
      <c r="G271">
        <f>1/(COUNT(SimData!$B$9:$B$508)-1)+$G$270</f>
        <v>0.53507014028056155</v>
      </c>
    </row>
    <row r="272" spans="1:7">
      <c r="A272">
        <v>264</v>
      </c>
      <c r="B272">
        <v>26594.471780888482</v>
      </c>
      <c r="F272">
        <f>SMALL(SimData!$B$9:$B$508,269)</f>
        <v>66234.913818563276</v>
      </c>
      <c r="G272">
        <f>1/(COUNT(SimData!$B$9:$B$508)-1)+$G$271</f>
        <v>0.53707414829659361</v>
      </c>
    </row>
    <row r="273" spans="1:7">
      <c r="A273">
        <v>265</v>
      </c>
      <c r="B273">
        <v>59428.042911207318</v>
      </c>
      <c r="F273">
        <f>SMALL(SimData!$B$9:$B$508,270)</f>
        <v>66385.867160907539</v>
      </c>
      <c r="G273">
        <f>1/(COUNT(SimData!$B$9:$B$508)-1)+$G$272</f>
        <v>0.53907815631262568</v>
      </c>
    </row>
    <row r="274" spans="1:7">
      <c r="A274">
        <v>266</v>
      </c>
      <c r="B274">
        <v>24973.21271391074</v>
      </c>
      <c r="F274">
        <f>SMALL(SimData!$B$9:$B$508,271)</f>
        <v>66799.052708550807</v>
      </c>
      <c r="G274">
        <f>1/(COUNT(SimData!$B$9:$B$508)-1)+$G$273</f>
        <v>0.54108216432865774</v>
      </c>
    </row>
    <row r="275" spans="1:7">
      <c r="A275">
        <v>267</v>
      </c>
      <c r="B275">
        <v>38504.622129828225</v>
      </c>
      <c r="F275">
        <f>SMALL(SimData!$B$9:$B$508,272)</f>
        <v>66900.723287205765</v>
      </c>
      <c r="G275">
        <f>1/(COUNT(SimData!$B$9:$B$508)-1)+$G$274</f>
        <v>0.54308617234468981</v>
      </c>
    </row>
    <row r="276" spans="1:7">
      <c r="A276">
        <v>268</v>
      </c>
      <c r="B276">
        <v>171069.94563974557</v>
      </c>
      <c r="F276">
        <f>SMALL(SimData!$B$9:$B$508,273)</f>
        <v>67105.045903265083</v>
      </c>
      <c r="G276">
        <f>1/(COUNT(SimData!$B$9:$B$508)-1)+$G$275</f>
        <v>0.54509018036072188</v>
      </c>
    </row>
    <row r="277" spans="1:7">
      <c r="A277">
        <v>269</v>
      </c>
      <c r="B277">
        <v>55630.229034113872</v>
      </c>
      <c r="F277">
        <f>SMALL(SimData!$B$9:$B$508,274)</f>
        <v>68221.20932989585</v>
      </c>
      <c r="G277">
        <f>1/(COUNT(SimData!$B$9:$B$508)-1)+$G$276</f>
        <v>0.54709418837675394</v>
      </c>
    </row>
    <row r="278" spans="1:7">
      <c r="A278">
        <v>270</v>
      </c>
      <c r="B278">
        <v>58574.962488609926</v>
      </c>
      <c r="F278">
        <f>SMALL(SimData!$B$9:$B$508,275)</f>
        <v>68305.820704672442</v>
      </c>
      <c r="G278">
        <f>1/(COUNT(SimData!$B$9:$B$508)-1)+$G$277</f>
        <v>0.54909819639278601</v>
      </c>
    </row>
    <row r="279" spans="1:7">
      <c r="A279">
        <v>271</v>
      </c>
      <c r="B279">
        <v>54810.690925887437</v>
      </c>
      <c r="F279">
        <f>SMALL(SimData!$B$9:$B$508,276)</f>
        <v>68970.844582908903</v>
      </c>
      <c r="G279">
        <f>1/(COUNT(SimData!$B$9:$B$508)-1)+$G$278</f>
        <v>0.55110220440881807</v>
      </c>
    </row>
    <row r="280" spans="1:7">
      <c r="A280">
        <v>272</v>
      </c>
      <c r="B280">
        <v>30327.27450662541</v>
      </c>
      <c r="F280">
        <f>SMALL(SimData!$B$9:$B$508,277)</f>
        <v>69603.904184058323</v>
      </c>
      <c r="G280">
        <f>1/(COUNT(SimData!$B$9:$B$508)-1)+$G$279</f>
        <v>0.55310621242485014</v>
      </c>
    </row>
    <row r="281" spans="1:7">
      <c r="A281">
        <v>273</v>
      </c>
      <c r="B281">
        <v>94029.741035879342</v>
      </c>
      <c r="F281">
        <f>SMALL(SimData!$B$9:$B$508,278)</f>
        <v>69808.294597247179</v>
      </c>
      <c r="G281">
        <f>1/(COUNT(SimData!$B$9:$B$508)-1)+$G$280</f>
        <v>0.55511022044088221</v>
      </c>
    </row>
    <row r="282" spans="1:7">
      <c r="A282">
        <v>274</v>
      </c>
      <c r="B282">
        <v>122948.39957983351</v>
      </c>
      <c r="F282">
        <f>SMALL(SimData!$B$9:$B$508,279)</f>
        <v>69860.345371460091</v>
      </c>
      <c r="G282">
        <f>1/(COUNT(SimData!$B$9:$B$508)-1)+$G$281</f>
        <v>0.55711422845691427</v>
      </c>
    </row>
    <row r="283" spans="1:7">
      <c r="A283">
        <v>275</v>
      </c>
      <c r="B283">
        <v>37671.810752397359</v>
      </c>
      <c r="F283">
        <f>SMALL(SimData!$B$9:$B$508,280)</f>
        <v>69993.010207488827</v>
      </c>
      <c r="G283">
        <f>1/(COUNT(SimData!$B$9:$B$508)-1)+$G$282</f>
        <v>0.55911823647294634</v>
      </c>
    </row>
    <row r="284" spans="1:7">
      <c r="A284">
        <v>276</v>
      </c>
      <c r="B284">
        <v>135592.08592329381</v>
      </c>
      <c r="F284">
        <f>SMALL(SimData!$B$9:$B$508,281)</f>
        <v>70017.405059364741</v>
      </c>
      <c r="G284">
        <f>1/(COUNT(SimData!$B$9:$B$508)-1)+$G$283</f>
        <v>0.56112224448897841</v>
      </c>
    </row>
    <row r="285" spans="1:7">
      <c r="A285">
        <v>277</v>
      </c>
      <c r="B285">
        <v>12282.858624550032</v>
      </c>
      <c r="F285">
        <f>SMALL(SimData!$B$9:$B$508,282)</f>
        <v>70545.6548627351</v>
      </c>
      <c r="G285">
        <f>1/(COUNT(SimData!$B$9:$B$508)-1)+$G$284</f>
        <v>0.56312625250501047</v>
      </c>
    </row>
    <row r="286" spans="1:7">
      <c r="A286">
        <v>278</v>
      </c>
      <c r="B286">
        <v>54485.505185130205</v>
      </c>
      <c r="F286">
        <f>SMALL(SimData!$B$9:$B$508,283)</f>
        <v>70587.826466389408</v>
      </c>
      <c r="G286">
        <f>1/(COUNT(SimData!$B$9:$B$508)-1)+$G$285</f>
        <v>0.56513026052104254</v>
      </c>
    </row>
    <row r="287" spans="1:7">
      <c r="A287">
        <v>279</v>
      </c>
      <c r="B287">
        <v>90979.253424113078</v>
      </c>
      <c r="F287">
        <f>SMALL(SimData!$B$9:$B$508,284)</f>
        <v>70692.443753963977</v>
      </c>
      <c r="G287">
        <f>1/(COUNT(SimData!$B$9:$B$508)-1)+$G$286</f>
        <v>0.5671342685370746</v>
      </c>
    </row>
    <row r="288" spans="1:7">
      <c r="A288">
        <v>280</v>
      </c>
      <c r="B288">
        <v>21253.046178242574</v>
      </c>
      <c r="F288">
        <f>SMALL(SimData!$B$9:$B$508,285)</f>
        <v>70794.851248834209</v>
      </c>
      <c r="G288">
        <f>1/(COUNT(SimData!$B$9:$B$508)-1)+$G$287</f>
        <v>0.56913827655310667</v>
      </c>
    </row>
    <row r="289" spans="1:7">
      <c r="A289">
        <v>281</v>
      </c>
      <c r="B289">
        <v>57394.647198252635</v>
      </c>
      <c r="F289">
        <f>SMALL(SimData!$B$9:$B$508,286)</f>
        <v>71210.891694625738</v>
      </c>
      <c r="G289">
        <f>1/(COUNT(SimData!$B$9:$B$508)-1)+$G$288</f>
        <v>0.57114228456913874</v>
      </c>
    </row>
    <row r="290" spans="1:7">
      <c r="A290">
        <v>282</v>
      </c>
      <c r="B290">
        <v>61726.150936379629</v>
      </c>
      <c r="F290">
        <f>SMALL(SimData!$B$9:$B$508,287)</f>
        <v>71365.832905510702</v>
      </c>
      <c r="G290">
        <f>1/(COUNT(SimData!$B$9:$B$508)-1)+$G$289</f>
        <v>0.5731462925851708</v>
      </c>
    </row>
    <row r="291" spans="1:7">
      <c r="A291">
        <v>283</v>
      </c>
      <c r="B291">
        <v>62092.276735439547</v>
      </c>
      <c r="F291">
        <f>SMALL(SimData!$B$9:$B$508,288)</f>
        <v>71385.765075729942</v>
      </c>
      <c r="G291">
        <f>1/(COUNT(SimData!$B$9:$B$508)-1)+$G$290</f>
        <v>0.57515030060120287</v>
      </c>
    </row>
    <row r="292" spans="1:7">
      <c r="A292">
        <v>284</v>
      </c>
      <c r="B292">
        <v>49598.916094783162</v>
      </c>
      <c r="F292">
        <f>SMALL(SimData!$B$9:$B$508,289)</f>
        <v>71476.368513686684</v>
      </c>
      <c r="G292">
        <f>1/(COUNT(SimData!$B$9:$B$508)-1)+$G$291</f>
        <v>0.57715430861723493</v>
      </c>
    </row>
    <row r="293" spans="1:7">
      <c r="A293">
        <v>285</v>
      </c>
      <c r="B293">
        <v>36676.360909713228</v>
      </c>
      <c r="F293">
        <f>SMALL(SimData!$B$9:$B$508,290)</f>
        <v>71495.09351172336</v>
      </c>
      <c r="G293">
        <f>1/(COUNT(SimData!$B$9:$B$508)-1)+$G$292</f>
        <v>0.579158316633267</v>
      </c>
    </row>
    <row r="294" spans="1:7">
      <c r="A294">
        <v>286</v>
      </c>
      <c r="B294">
        <v>94653.773290288198</v>
      </c>
      <c r="F294">
        <f>SMALL(SimData!$B$9:$B$508,291)</f>
        <v>71767.882447474578</v>
      </c>
      <c r="G294">
        <f>1/(COUNT(SimData!$B$9:$B$508)-1)+$G$293</f>
        <v>0.58116232464929907</v>
      </c>
    </row>
    <row r="295" spans="1:7">
      <c r="A295">
        <v>287</v>
      </c>
      <c r="B295">
        <v>92409.659818445507</v>
      </c>
      <c r="F295">
        <f>SMALL(SimData!$B$9:$B$508,292)</f>
        <v>71825.74339683025</v>
      </c>
      <c r="G295">
        <f>1/(COUNT(SimData!$B$9:$B$508)-1)+$G$294</f>
        <v>0.58316633266533113</v>
      </c>
    </row>
    <row r="296" spans="1:7">
      <c r="A296">
        <v>288</v>
      </c>
      <c r="B296">
        <v>85418.858637338883</v>
      </c>
      <c r="F296">
        <f>SMALL(SimData!$B$9:$B$508,293)</f>
        <v>72014.025209410029</v>
      </c>
      <c r="G296">
        <f>1/(COUNT(SimData!$B$9:$B$508)-1)+$G$295</f>
        <v>0.5851703406813632</v>
      </c>
    </row>
    <row r="297" spans="1:7">
      <c r="A297">
        <v>289</v>
      </c>
      <c r="B297">
        <v>152884.55325010975</v>
      </c>
      <c r="F297">
        <f>SMALL(SimData!$B$9:$B$508,294)</f>
        <v>72434.357145916365</v>
      </c>
      <c r="G297">
        <f>1/(COUNT(SimData!$B$9:$B$508)-1)+$G$296</f>
        <v>0.58717434869739527</v>
      </c>
    </row>
    <row r="298" spans="1:7">
      <c r="A298">
        <v>290</v>
      </c>
      <c r="B298">
        <v>54517.577418020694</v>
      </c>
      <c r="F298">
        <f>SMALL(SimData!$B$9:$B$508,295)</f>
        <v>72492.016769038935</v>
      </c>
      <c r="G298">
        <f>1/(COUNT(SimData!$B$9:$B$508)-1)+$G$297</f>
        <v>0.58917835671342733</v>
      </c>
    </row>
    <row r="299" spans="1:7">
      <c r="A299">
        <v>291</v>
      </c>
      <c r="B299">
        <v>40478.060680085175</v>
      </c>
      <c r="F299">
        <f>SMALL(SimData!$B$9:$B$508,296)</f>
        <v>72623.343701181628</v>
      </c>
      <c r="G299">
        <f>1/(COUNT(SimData!$B$9:$B$508)-1)+$G$298</f>
        <v>0.5911823647294594</v>
      </c>
    </row>
    <row r="300" spans="1:7">
      <c r="A300">
        <v>292</v>
      </c>
      <c r="B300">
        <v>41064.42009820191</v>
      </c>
      <c r="F300">
        <f>SMALL(SimData!$B$9:$B$508,297)</f>
        <v>72873.330804328318</v>
      </c>
      <c r="G300">
        <f>1/(COUNT(SimData!$B$9:$B$508)-1)+$G$299</f>
        <v>0.59318637274549146</v>
      </c>
    </row>
    <row r="301" spans="1:7">
      <c r="A301">
        <v>293</v>
      </c>
      <c r="B301">
        <v>85622.589407382329</v>
      </c>
      <c r="F301">
        <f>SMALL(SimData!$B$9:$B$508,298)</f>
        <v>72982.821026528167</v>
      </c>
      <c r="G301">
        <f>1/(COUNT(SimData!$B$9:$B$508)-1)+$G$300</f>
        <v>0.59519038076152353</v>
      </c>
    </row>
    <row r="302" spans="1:7">
      <c r="A302">
        <v>294</v>
      </c>
      <c r="B302">
        <v>24484.607186127105</v>
      </c>
      <c r="F302">
        <f>SMALL(SimData!$B$9:$B$508,299)</f>
        <v>73790.70127458169</v>
      </c>
      <c r="G302">
        <f>1/(COUNT(SimData!$B$9:$B$508)-1)+$G$301</f>
        <v>0.5971943887775556</v>
      </c>
    </row>
    <row r="303" spans="1:7">
      <c r="A303">
        <v>295</v>
      </c>
      <c r="B303">
        <v>41511.049320273552</v>
      </c>
      <c r="F303">
        <f>SMALL(SimData!$B$9:$B$508,300)</f>
        <v>73806.945299022453</v>
      </c>
      <c r="G303">
        <f>1/(COUNT(SimData!$B$9:$B$508)-1)+$G$302</f>
        <v>0.59919839679358766</v>
      </c>
    </row>
    <row r="304" spans="1:7">
      <c r="A304">
        <v>296</v>
      </c>
      <c r="B304">
        <v>12742.290751993609</v>
      </c>
      <c r="F304">
        <f>SMALL(SimData!$B$9:$B$508,301)</f>
        <v>73834.253331931483</v>
      </c>
      <c r="G304">
        <f>1/(COUNT(SimData!$B$9:$B$508)-1)+$G$303</f>
        <v>0.60120240480961973</v>
      </c>
    </row>
    <row r="305" spans="1:7">
      <c r="A305">
        <v>297</v>
      </c>
      <c r="B305">
        <v>0</v>
      </c>
      <c r="F305">
        <f>SMALL(SimData!$B$9:$B$508,302)</f>
        <v>73991.42161513734</v>
      </c>
      <c r="G305">
        <f>1/(COUNT(SimData!$B$9:$B$508)-1)+$G$304</f>
        <v>0.60320641282565179</v>
      </c>
    </row>
    <row r="306" spans="1:7">
      <c r="A306">
        <v>298</v>
      </c>
      <c r="B306">
        <v>61546.090430032127</v>
      </c>
      <c r="F306">
        <f>SMALL(SimData!$B$9:$B$508,303)</f>
        <v>74355.341024551919</v>
      </c>
      <c r="G306">
        <f>1/(COUNT(SimData!$B$9:$B$508)-1)+$G$305</f>
        <v>0.60521042084168386</v>
      </c>
    </row>
    <row r="307" spans="1:7">
      <c r="A307">
        <v>299</v>
      </c>
      <c r="B307">
        <v>122468.80297631933</v>
      </c>
      <c r="F307">
        <f>SMALL(SimData!$B$9:$B$508,304)</f>
        <v>74986.198749527946</v>
      </c>
      <c r="G307">
        <f>1/(COUNT(SimData!$B$9:$B$508)-1)+$G$306</f>
        <v>0.60721442885771593</v>
      </c>
    </row>
    <row r="308" spans="1:7">
      <c r="A308">
        <v>300</v>
      </c>
      <c r="B308">
        <v>47840.984187104732</v>
      </c>
      <c r="F308">
        <f>SMALL(SimData!$B$9:$B$508,305)</f>
        <v>75172.752050675481</v>
      </c>
      <c r="G308">
        <f>1/(COUNT(SimData!$B$9:$B$508)-1)+$G$307</f>
        <v>0.60921843687374799</v>
      </c>
    </row>
    <row r="309" spans="1:7">
      <c r="A309">
        <v>301</v>
      </c>
      <c r="B309">
        <v>129700.31021802066</v>
      </c>
      <c r="F309">
        <f>SMALL(SimData!$B$9:$B$508,306)</f>
        <v>75261.717174309437</v>
      </c>
      <c r="G309">
        <f>1/(COUNT(SimData!$B$9:$B$508)-1)+$G$308</f>
        <v>0.61122244488978006</v>
      </c>
    </row>
    <row r="310" spans="1:7">
      <c r="A310">
        <v>302</v>
      </c>
      <c r="B310">
        <v>8053.4481558451398</v>
      </c>
      <c r="F310">
        <f>SMALL(SimData!$B$9:$B$508,307)</f>
        <v>75401.15246344448</v>
      </c>
      <c r="G310">
        <f>1/(COUNT(SimData!$B$9:$B$508)-1)+$G$309</f>
        <v>0.61322645290581212</v>
      </c>
    </row>
    <row r="311" spans="1:7">
      <c r="A311">
        <v>303</v>
      </c>
      <c r="B311">
        <v>120560.1942093978</v>
      </c>
      <c r="F311">
        <f>SMALL(SimData!$B$9:$B$508,308)</f>
        <v>75693.850382299963</v>
      </c>
      <c r="G311">
        <f>1/(COUNT(SimData!$B$9:$B$508)-1)+$G$310</f>
        <v>0.61523046092184419</v>
      </c>
    </row>
    <row r="312" spans="1:7">
      <c r="A312">
        <v>304</v>
      </c>
      <c r="B312">
        <v>46908.078007056945</v>
      </c>
      <c r="F312">
        <f>SMALL(SimData!$B$9:$B$508,309)</f>
        <v>75997.437353591871</v>
      </c>
      <c r="G312">
        <f>1/(COUNT(SimData!$B$9:$B$508)-1)+$G$311</f>
        <v>0.61723446893787626</v>
      </c>
    </row>
    <row r="313" spans="1:7">
      <c r="A313">
        <v>305</v>
      </c>
      <c r="B313">
        <v>21709.160826688872</v>
      </c>
      <c r="F313">
        <f>SMALL(SimData!$B$9:$B$508,310)</f>
        <v>76022.66983373632</v>
      </c>
      <c r="G313">
        <f>1/(COUNT(SimData!$B$9:$B$508)-1)+$G$312</f>
        <v>0.61923847695390832</v>
      </c>
    </row>
    <row r="314" spans="1:7">
      <c r="A314">
        <v>306</v>
      </c>
      <c r="B314">
        <v>52759.927274265501</v>
      </c>
      <c r="F314">
        <f>SMALL(SimData!$B$9:$B$508,311)</f>
        <v>76029.461806663225</v>
      </c>
      <c r="G314">
        <f>1/(COUNT(SimData!$B$9:$B$508)-1)+$G$313</f>
        <v>0.62124248496994039</v>
      </c>
    </row>
    <row r="315" spans="1:7">
      <c r="A315">
        <v>307</v>
      </c>
      <c r="B315">
        <v>27987.412234622519</v>
      </c>
      <c r="F315">
        <f>SMALL(SimData!$B$9:$B$508,312)</f>
        <v>76119.803945876673</v>
      </c>
      <c r="G315">
        <f>1/(COUNT(SimData!$B$9:$B$508)-1)+$G$314</f>
        <v>0.62324649298597246</v>
      </c>
    </row>
    <row r="316" spans="1:7">
      <c r="A316">
        <v>308</v>
      </c>
      <c r="B316">
        <v>85726.376241728765</v>
      </c>
      <c r="F316">
        <f>SMALL(SimData!$B$9:$B$508,313)</f>
        <v>76295.295598082565</v>
      </c>
      <c r="G316">
        <f>1/(COUNT(SimData!$B$9:$B$508)-1)+$G$315</f>
        <v>0.62525050100200452</v>
      </c>
    </row>
    <row r="317" spans="1:7">
      <c r="A317">
        <v>309</v>
      </c>
      <c r="B317">
        <v>30978.476170937887</v>
      </c>
      <c r="F317">
        <f>SMALL(SimData!$B$9:$B$508,314)</f>
        <v>76302.39586776137</v>
      </c>
      <c r="G317">
        <f>1/(COUNT(SimData!$B$9:$B$508)-1)+$G$316</f>
        <v>0.62725450901803659</v>
      </c>
    </row>
    <row r="318" spans="1:7">
      <c r="A318">
        <v>310</v>
      </c>
      <c r="B318">
        <v>101908.29252996536</v>
      </c>
      <c r="F318">
        <f>SMALL(SimData!$B$9:$B$508,315)</f>
        <v>76372.930789780105</v>
      </c>
      <c r="G318">
        <f>1/(COUNT(SimData!$B$9:$B$508)-1)+$G$317</f>
        <v>0.62925851703406865</v>
      </c>
    </row>
    <row r="319" spans="1:7">
      <c r="A319">
        <v>311</v>
      </c>
      <c r="B319">
        <v>79637.135122783307</v>
      </c>
      <c r="F319">
        <f>SMALL(SimData!$B$9:$B$508,316)</f>
        <v>76406.453531143008</v>
      </c>
      <c r="G319">
        <f>1/(COUNT(SimData!$B$9:$B$508)-1)+$G$318</f>
        <v>0.63126252505010072</v>
      </c>
    </row>
    <row r="320" spans="1:7">
      <c r="A320">
        <v>312</v>
      </c>
      <c r="B320">
        <v>32189.301468294034</v>
      </c>
      <c r="F320">
        <f>SMALL(SimData!$B$9:$B$508,317)</f>
        <v>76593.18350811812</v>
      </c>
      <c r="G320">
        <f>1/(COUNT(SimData!$B$9:$B$508)-1)+$G$319</f>
        <v>0.63326653306613279</v>
      </c>
    </row>
    <row r="321" spans="1:7">
      <c r="A321">
        <v>313</v>
      </c>
      <c r="B321">
        <v>8637.8176500836853</v>
      </c>
      <c r="F321">
        <f>SMALL(SimData!$B$9:$B$508,318)</f>
        <v>77234.836741939711</v>
      </c>
      <c r="G321">
        <f>1/(COUNT(SimData!$B$9:$B$508)-1)+$G$320</f>
        <v>0.63527054108216485</v>
      </c>
    </row>
    <row r="322" spans="1:7">
      <c r="A322">
        <v>314</v>
      </c>
      <c r="B322">
        <v>112980.51019423221</v>
      </c>
      <c r="F322">
        <f>SMALL(SimData!$B$9:$B$508,319)</f>
        <v>77311.648357382015</v>
      </c>
      <c r="G322">
        <f>1/(COUNT(SimData!$B$9:$B$508)-1)+$G$321</f>
        <v>0.63727454909819692</v>
      </c>
    </row>
    <row r="323" spans="1:7">
      <c r="A323">
        <v>315</v>
      </c>
      <c r="B323">
        <v>76593.18350811812</v>
      </c>
      <c r="F323">
        <f>SMALL(SimData!$B$9:$B$508,320)</f>
        <v>77534.52506476597</v>
      </c>
      <c r="G323">
        <f>1/(COUNT(SimData!$B$9:$B$508)-1)+$G$322</f>
        <v>0.63927855711422898</v>
      </c>
    </row>
    <row r="324" spans="1:7">
      <c r="A324">
        <v>316</v>
      </c>
      <c r="B324">
        <v>82640.018717649393</v>
      </c>
      <c r="F324">
        <f>SMALL(SimData!$B$9:$B$508,321)</f>
        <v>77656.958446945486</v>
      </c>
      <c r="G324">
        <f>1/(COUNT(SimData!$B$9:$B$508)-1)+$G$323</f>
        <v>0.64128256513026105</v>
      </c>
    </row>
    <row r="325" spans="1:7">
      <c r="A325">
        <v>317</v>
      </c>
      <c r="B325">
        <v>52507.343846344796</v>
      </c>
      <c r="F325">
        <f>SMALL(SimData!$B$9:$B$508,322)</f>
        <v>77737.70420928832</v>
      </c>
      <c r="G325">
        <f>1/(COUNT(SimData!$B$9:$B$508)-1)+$G$324</f>
        <v>0.64328657314629312</v>
      </c>
    </row>
    <row r="326" spans="1:7">
      <c r="A326">
        <v>318</v>
      </c>
      <c r="B326">
        <v>117757.19851401739</v>
      </c>
      <c r="F326">
        <f>SMALL(SimData!$B$9:$B$508,323)</f>
        <v>78105.638669988082</v>
      </c>
      <c r="G326">
        <f>1/(COUNT(SimData!$B$9:$B$508)-1)+$G$325</f>
        <v>0.64529058116232518</v>
      </c>
    </row>
    <row r="327" spans="1:7">
      <c r="A327">
        <v>319</v>
      </c>
      <c r="B327">
        <v>87996.42659510755</v>
      </c>
      <c r="F327">
        <f>SMALL(SimData!$B$9:$B$508,324)</f>
        <v>78237.549037590652</v>
      </c>
      <c r="G327">
        <f>1/(COUNT(SimData!$B$9:$B$508)-1)+$G$326</f>
        <v>0.64729458917835725</v>
      </c>
    </row>
    <row r="328" spans="1:7">
      <c r="A328">
        <v>320</v>
      </c>
      <c r="B328">
        <v>14627.355621057577</v>
      </c>
      <c r="F328">
        <f>SMALL(SimData!$B$9:$B$508,325)</f>
        <v>78304.91307829319</v>
      </c>
      <c r="G328">
        <f>1/(COUNT(SimData!$B$9:$B$508)-1)+$G$327</f>
        <v>0.64929859719438932</v>
      </c>
    </row>
    <row r="329" spans="1:7">
      <c r="A329">
        <v>321</v>
      </c>
      <c r="B329">
        <v>66058.822800628986</v>
      </c>
      <c r="F329">
        <f>SMALL(SimData!$B$9:$B$508,326)</f>
        <v>79149.537439211228</v>
      </c>
      <c r="G329">
        <f>1/(COUNT(SimData!$B$9:$B$508)-1)+$G$328</f>
        <v>0.65130260521042138</v>
      </c>
    </row>
    <row r="330" spans="1:7">
      <c r="A330">
        <v>322</v>
      </c>
      <c r="B330">
        <v>56120.536552514815</v>
      </c>
      <c r="F330">
        <f>SMALL(SimData!$B$9:$B$508,327)</f>
        <v>79221.120241209064</v>
      </c>
      <c r="G330">
        <f>1/(COUNT(SimData!$B$9:$B$508)-1)+$G$329</f>
        <v>0.65330661322645345</v>
      </c>
    </row>
    <row r="331" spans="1:7">
      <c r="A331">
        <v>323</v>
      </c>
      <c r="B331">
        <v>176302.16478262411</v>
      </c>
      <c r="F331">
        <f>SMALL(SimData!$B$9:$B$508,328)</f>
        <v>79280.512836756679</v>
      </c>
      <c r="G331">
        <f>1/(COUNT(SimData!$B$9:$B$508)-1)+$G$330</f>
        <v>0.65531062124248551</v>
      </c>
    </row>
    <row r="332" spans="1:7">
      <c r="A332">
        <v>324</v>
      </c>
      <c r="B332">
        <v>97498.787760521809</v>
      </c>
      <c r="F332">
        <f>SMALL(SimData!$B$9:$B$508,329)</f>
        <v>79617.262466725617</v>
      </c>
      <c r="G332">
        <f>1/(COUNT(SimData!$B$9:$B$508)-1)+$G$331</f>
        <v>0.65731462925851758</v>
      </c>
    </row>
    <row r="333" spans="1:7">
      <c r="A333">
        <v>325</v>
      </c>
      <c r="B333">
        <v>59046.887709444884</v>
      </c>
      <c r="F333">
        <f>SMALL(SimData!$B$9:$B$508,330)</f>
        <v>79637.135122783307</v>
      </c>
      <c r="G333">
        <f>1/(COUNT(SimData!$B$9:$B$508)-1)+$G$332</f>
        <v>0.65931863727454965</v>
      </c>
    </row>
    <row r="334" spans="1:7">
      <c r="A334">
        <v>326</v>
      </c>
      <c r="B334">
        <v>63514.518789715337</v>
      </c>
      <c r="F334">
        <f>SMALL(SimData!$B$9:$B$508,331)</f>
        <v>79749.51452247116</v>
      </c>
      <c r="G334">
        <f>1/(COUNT(SimData!$B$9:$B$508)-1)+$G$333</f>
        <v>0.66132264529058171</v>
      </c>
    </row>
    <row r="335" spans="1:7">
      <c r="A335">
        <v>327</v>
      </c>
      <c r="B335">
        <v>97078.212976463445</v>
      </c>
      <c r="F335">
        <f>SMALL(SimData!$B$9:$B$508,332)</f>
        <v>79764.714539365086</v>
      </c>
      <c r="G335">
        <f>1/(COUNT(SimData!$B$9:$B$508)-1)+$G$334</f>
        <v>0.66332665330661378</v>
      </c>
    </row>
    <row r="336" spans="1:7">
      <c r="A336">
        <v>328</v>
      </c>
      <c r="B336">
        <v>138603.60054051407</v>
      </c>
      <c r="F336">
        <f>SMALL(SimData!$B$9:$B$508,333)</f>
        <v>79899.729255323371</v>
      </c>
      <c r="G336">
        <f>1/(COUNT(SimData!$B$9:$B$508)-1)+$G$335</f>
        <v>0.66533066132264584</v>
      </c>
    </row>
    <row r="337" spans="1:7">
      <c r="A337">
        <v>329</v>
      </c>
      <c r="B337">
        <v>38716.779577843132</v>
      </c>
      <c r="F337">
        <f>SMALL(SimData!$B$9:$B$508,334)</f>
        <v>79899.785200314145</v>
      </c>
      <c r="G337">
        <f>1/(COUNT(SimData!$B$9:$B$508)-1)+$G$336</f>
        <v>0.66733466933867791</v>
      </c>
    </row>
    <row r="338" spans="1:7">
      <c r="A338">
        <v>330</v>
      </c>
      <c r="B338">
        <v>72014.025209410029</v>
      </c>
      <c r="F338">
        <f>SMALL(SimData!$B$9:$B$508,335)</f>
        <v>80345.950116416454</v>
      </c>
      <c r="G338">
        <f>1/(COUNT(SimData!$B$9:$B$508)-1)+$G$337</f>
        <v>0.66933867735470998</v>
      </c>
    </row>
    <row r="339" spans="1:7">
      <c r="A339">
        <v>331</v>
      </c>
      <c r="B339">
        <v>51558.556462928493</v>
      </c>
      <c r="F339">
        <f>SMALL(SimData!$B$9:$B$508,336)</f>
        <v>80377.996472238447</v>
      </c>
      <c r="G339">
        <f>1/(COUNT(SimData!$B$9:$B$508)-1)+$G$338</f>
        <v>0.67134268537074204</v>
      </c>
    </row>
    <row r="340" spans="1:7">
      <c r="A340">
        <v>332</v>
      </c>
      <c r="B340">
        <v>128396.13931056604</v>
      </c>
      <c r="F340">
        <f>SMALL(SimData!$B$9:$B$508,337)</f>
        <v>80389.625382595987</v>
      </c>
      <c r="G340">
        <f>1/(COUNT(SimData!$B$9:$B$508)-1)+$G$339</f>
        <v>0.67334669338677411</v>
      </c>
    </row>
    <row r="341" spans="1:7">
      <c r="A341">
        <v>333</v>
      </c>
      <c r="B341">
        <v>67105.045903265083</v>
      </c>
      <c r="F341">
        <f>SMALL(SimData!$B$9:$B$508,338)</f>
        <v>80686.460274376324</v>
      </c>
      <c r="G341">
        <f>1/(COUNT(SimData!$B$9:$B$508)-1)+$G$340</f>
        <v>0.67535070140280618</v>
      </c>
    </row>
    <row r="342" spans="1:7">
      <c r="A342">
        <v>334</v>
      </c>
      <c r="B342">
        <v>37633.58372710312</v>
      </c>
      <c r="F342">
        <f>SMALL(SimData!$B$9:$B$508,339)</f>
        <v>80730.362112639545</v>
      </c>
      <c r="G342">
        <f>1/(COUNT(SimData!$B$9:$B$508)-1)+$G$341</f>
        <v>0.67735470941883824</v>
      </c>
    </row>
    <row r="343" spans="1:7">
      <c r="A343">
        <v>335</v>
      </c>
      <c r="B343">
        <v>115794.11815559768</v>
      </c>
      <c r="F343">
        <f>SMALL(SimData!$B$9:$B$508,340)</f>
        <v>81068.437910173641</v>
      </c>
      <c r="G343">
        <f>1/(COUNT(SimData!$B$9:$B$508)-1)+$G$342</f>
        <v>0.67935871743487031</v>
      </c>
    </row>
    <row r="344" spans="1:7">
      <c r="A344">
        <v>336</v>
      </c>
      <c r="B344">
        <v>20107.651769629334</v>
      </c>
      <c r="F344">
        <f>SMALL(SimData!$B$9:$B$508,341)</f>
        <v>81105.039088038728</v>
      </c>
      <c r="G344">
        <f>1/(COUNT(SimData!$B$9:$B$508)-1)+$G$343</f>
        <v>0.68136272545090237</v>
      </c>
    </row>
    <row r="345" spans="1:7">
      <c r="A345">
        <v>337</v>
      </c>
      <c r="B345">
        <v>73790.70127458169</v>
      </c>
      <c r="F345">
        <f>SMALL(SimData!$B$9:$B$508,342)</f>
        <v>81384.826618387815</v>
      </c>
      <c r="G345">
        <f>1/(COUNT(SimData!$B$9:$B$508)-1)+$G$344</f>
        <v>0.68336673346693444</v>
      </c>
    </row>
    <row r="346" spans="1:7">
      <c r="A346">
        <v>338</v>
      </c>
      <c r="B346">
        <v>49996.233480029463</v>
      </c>
      <c r="F346">
        <f>SMALL(SimData!$B$9:$B$508,343)</f>
        <v>82377.258738664284</v>
      </c>
      <c r="G346">
        <f>1/(COUNT(SimData!$B$9:$B$508)-1)+$G$345</f>
        <v>0.68537074148296651</v>
      </c>
    </row>
    <row r="347" spans="1:7">
      <c r="A347">
        <v>339</v>
      </c>
      <c r="B347">
        <v>99330.415182675977</v>
      </c>
      <c r="F347">
        <f>SMALL(SimData!$B$9:$B$508,344)</f>
        <v>82640.018717649393</v>
      </c>
      <c r="G347">
        <f>1/(COUNT(SimData!$B$9:$B$508)-1)+$G$346</f>
        <v>0.68737474949899857</v>
      </c>
    </row>
    <row r="348" spans="1:7">
      <c r="A348">
        <v>340</v>
      </c>
      <c r="B348">
        <v>89213.618538385301</v>
      </c>
      <c r="F348">
        <f>SMALL(SimData!$B$9:$B$508,345)</f>
        <v>83277.805020927408</v>
      </c>
      <c r="G348">
        <f>1/(COUNT(SimData!$B$9:$B$508)-1)+$G$347</f>
        <v>0.68937875751503064</v>
      </c>
    </row>
    <row r="349" spans="1:7">
      <c r="A349">
        <v>341</v>
      </c>
      <c r="B349">
        <v>84697.900015198393</v>
      </c>
      <c r="F349">
        <f>SMALL(SimData!$B$9:$B$508,346)</f>
        <v>83280.704452410646</v>
      </c>
      <c r="G349">
        <f>1/(COUNT(SimData!$B$9:$B$508)-1)+$G$348</f>
        <v>0.6913827655310627</v>
      </c>
    </row>
    <row r="350" spans="1:7">
      <c r="A350">
        <v>342</v>
      </c>
      <c r="B350">
        <v>24208.979877600745</v>
      </c>
      <c r="F350">
        <f>SMALL(SimData!$B$9:$B$508,347)</f>
        <v>83488.951317683372</v>
      </c>
      <c r="G350">
        <f>1/(COUNT(SimData!$B$9:$B$508)-1)+$G$349</f>
        <v>0.69338677354709477</v>
      </c>
    </row>
    <row r="351" spans="1:7">
      <c r="A351">
        <v>343</v>
      </c>
      <c r="B351">
        <v>45730.761113238288</v>
      </c>
      <c r="F351">
        <f>SMALL(SimData!$B$9:$B$508,348)</f>
        <v>84697.900015198393</v>
      </c>
      <c r="G351">
        <f>1/(COUNT(SimData!$B$9:$B$508)-1)+$G$350</f>
        <v>0.69539078156312684</v>
      </c>
    </row>
    <row r="352" spans="1:7">
      <c r="A352">
        <v>344</v>
      </c>
      <c r="B352">
        <v>53790.108883373992</v>
      </c>
      <c r="F352">
        <f>SMALL(SimData!$B$9:$B$508,349)</f>
        <v>85191.054604256162</v>
      </c>
      <c r="G352">
        <f>1/(COUNT(SimData!$B$9:$B$508)-1)+$G$351</f>
        <v>0.6973947895791589</v>
      </c>
    </row>
    <row r="353" spans="1:7">
      <c r="A353">
        <v>345</v>
      </c>
      <c r="B353">
        <v>70692.443753963977</v>
      </c>
      <c r="F353">
        <f>SMALL(SimData!$B$9:$B$508,350)</f>
        <v>85254.803157151386</v>
      </c>
      <c r="G353">
        <f>1/(COUNT(SimData!$B$9:$B$508)-1)+$G$352</f>
        <v>0.69939879759519097</v>
      </c>
    </row>
    <row r="354" spans="1:7">
      <c r="A354">
        <v>346</v>
      </c>
      <c r="B354">
        <v>129554.29470394648</v>
      </c>
      <c r="F354">
        <f>SMALL(SimData!$B$9:$B$508,351)</f>
        <v>85310.429300134463</v>
      </c>
      <c r="G354">
        <f>1/(COUNT(SimData!$B$9:$B$508)-1)+$G$353</f>
        <v>0.70140280561122303</v>
      </c>
    </row>
    <row r="355" spans="1:7">
      <c r="A355">
        <v>347</v>
      </c>
      <c r="B355">
        <v>34475.679874003181</v>
      </c>
      <c r="F355">
        <f>SMALL(SimData!$B$9:$B$508,352)</f>
        <v>85418.858637338883</v>
      </c>
      <c r="G355">
        <f>1/(COUNT(SimData!$B$9:$B$508)-1)+$G$354</f>
        <v>0.7034068136272551</v>
      </c>
    </row>
    <row r="356" spans="1:7">
      <c r="A356">
        <v>348</v>
      </c>
      <c r="B356">
        <v>77737.70420928832</v>
      </c>
      <c r="F356">
        <f>SMALL(SimData!$B$9:$B$508,353)</f>
        <v>85530.325649266248</v>
      </c>
      <c r="G356">
        <f>1/(COUNT(SimData!$B$9:$B$508)-1)+$G$355</f>
        <v>0.70541082164328717</v>
      </c>
    </row>
    <row r="357" spans="1:7">
      <c r="A357">
        <v>349</v>
      </c>
      <c r="B357">
        <v>100967.97869487136</v>
      </c>
      <c r="F357">
        <f>SMALL(SimData!$B$9:$B$508,354)</f>
        <v>85622.589407382329</v>
      </c>
      <c r="G357">
        <f>1/(COUNT(SimData!$B$9:$B$508)-1)+$G$356</f>
        <v>0.70741482965931923</v>
      </c>
    </row>
    <row r="358" spans="1:7">
      <c r="A358">
        <v>350</v>
      </c>
      <c r="B358">
        <v>19746.52422946259</v>
      </c>
      <c r="F358">
        <f>SMALL(SimData!$B$9:$B$508,355)</f>
        <v>85726.376241728765</v>
      </c>
      <c r="G358">
        <f>1/(COUNT(SimData!$B$9:$B$508)-1)+$G$357</f>
        <v>0.7094188376753513</v>
      </c>
    </row>
    <row r="359" spans="1:7">
      <c r="A359">
        <v>351</v>
      </c>
      <c r="B359">
        <v>45089.47466219739</v>
      </c>
      <c r="F359">
        <f>SMALL(SimData!$B$9:$B$508,356)</f>
        <v>85771.818948800996</v>
      </c>
      <c r="G359">
        <f>1/(COUNT(SimData!$B$9:$B$508)-1)+$G$358</f>
        <v>0.71142284569138337</v>
      </c>
    </row>
    <row r="360" spans="1:7">
      <c r="A360">
        <v>352</v>
      </c>
      <c r="B360">
        <v>80389.625382595987</v>
      </c>
      <c r="F360">
        <f>SMALL(SimData!$B$9:$B$508,357)</f>
        <v>86315.789709113655</v>
      </c>
      <c r="G360">
        <f>1/(COUNT(SimData!$B$9:$B$508)-1)+$G$359</f>
        <v>0.71342685370741543</v>
      </c>
    </row>
    <row r="361" spans="1:7">
      <c r="A361">
        <v>353</v>
      </c>
      <c r="B361">
        <v>8393.5391241169455</v>
      </c>
      <c r="F361">
        <f>SMALL(SimData!$B$9:$B$508,358)</f>
        <v>86479.001994235135</v>
      </c>
      <c r="G361">
        <f>1/(COUNT(SimData!$B$9:$B$508)-1)+$G$360</f>
        <v>0.7154308617234475</v>
      </c>
    </row>
    <row r="362" spans="1:7">
      <c r="A362">
        <v>354</v>
      </c>
      <c r="B362">
        <v>0</v>
      </c>
      <c r="F362">
        <f>SMALL(SimData!$B$9:$B$508,359)</f>
        <v>86863.373143418081</v>
      </c>
      <c r="G362">
        <f>1/(COUNT(SimData!$B$9:$B$508)-1)+$G$361</f>
        <v>0.71743486973947956</v>
      </c>
    </row>
    <row r="363" spans="1:7">
      <c r="A363">
        <v>355</v>
      </c>
      <c r="B363">
        <v>90502.911444152793</v>
      </c>
      <c r="F363">
        <f>SMALL(SimData!$B$9:$B$508,360)</f>
        <v>86880.747738860795</v>
      </c>
      <c r="G363">
        <f>1/(COUNT(SimData!$B$9:$B$508)-1)+$G$362</f>
        <v>0.71943887775551163</v>
      </c>
    </row>
    <row r="364" spans="1:7">
      <c r="A364">
        <v>356</v>
      </c>
      <c r="B364">
        <v>99167.747987581621</v>
      </c>
      <c r="F364">
        <f>SMALL(SimData!$B$9:$B$508,361)</f>
        <v>87167.722828133948</v>
      </c>
      <c r="G364">
        <f>1/(COUNT(SimData!$B$9:$B$508)-1)+$G$363</f>
        <v>0.7214428857715437</v>
      </c>
    </row>
    <row r="365" spans="1:7">
      <c r="A365">
        <v>357</v>
      </c>
      <c r="B365">
        <v>29211.409681888454</v>
      </c>
      <c r="F365">
        <f>SMALL(SimData!$B$9:$B$508,362)</f>
        <v>87717.399129696365</v>
      </c>
      <c r="G365">
        <f>1/(COUNT(SimData!$B$9:$B$508)-1)+$G$364</f>
        <v>0.72344689378757576</v>
      </c>
    </row>
    <row r="366" spans="1:7">
      <c r="A366">
        <v>358</v>
      </c>
      <c r="B366">
        <v>102691.60527038512</v>
      </c>
      <c r="F366">
        <f>SMALL(SimData!$B$9:$B$508,363)</f>
        <v>87746.177990347147</v>
      </c>
      <c r="G366">
        <f>1/(COUNT(SimData!$B$9:$B$508)-1)+$G$365</f>
        <v>0.72545090180360783</v>
      </c>
    </row>
    <row r="367" spans="1:7">
      <c r="A367">
        <v>359</v>
      </c>
      <c r="B367">
        <v>50746.948490317685</v>
      </c>
      <c r="F367">
        <f>SMALL(SimData!$B$9:$B$508,364)</f>
        <v>87788.106129129083</v>
      </c>
      <c r="G367">
        <f>1/(COUNT(SimData!$B$9:$B$508)-1)+$G$366</f>
        <v>0.72745490981963989</v>
      </c>
    </row>
    <row r="368" spans="1:7">
      <c r="A368">
        <v>360</v>
      </c>
      <c r="B368">
        <v>40241.344080346098</v>
      </c>
      <c r="F368">
        <f>SMALL(SimData!$B$9:$B$508,365)</f>
        <v>87822.381244581542</v>
      </c>
      <c r="G368">
        <f>1/(COUNT(SimData!$B$9:$B$508)-1)+$G$367</f>
        <v>0.72945891783567196</v>
      </c>
    </row>
    <row r="369" spans="1:7">
      <c r="A369">
        <v>361</v>
      </c>
      <c r="B369">
        <v>68970.844582908903</v>
      </c>
      <c r="F369">
        <f>SMALL(SimData!$B$9:$B$508,366)</f>
        <v>87996.42659510755</v>
      </c>
      <c r="G369">
        <f>1/(COUNT(SimData!$B$9:$B$508)-1)+$G$368</f>
        <v>0.73146292585170403</v>
      </c>
    </row>
    <row r="370" spans="1:7">
      <c r="A370">
        <v>362</v>
      </c>
      <c r="B370">
        <v>93732.991034117964</v>
      </c>
      <c r="F370">
        <f>SMALL(SimData!$B$9:$B$508,367)</f>
        <v>88304.934421268801</v>
      </c>
      <c r="G370">
        <f>1/(COUNT(SimData!$B$9:$B$508)-1)+$G$369</f>
        <v>0.73346693386773609</v>
      </c>
    </row>
    <row r="371" spans="1:7">
      <c r="A371">
        <v>363</v>
      </c>
      <c r="B371">
        <v>100740.40124408317</v>
      </c>
      <c r="F371">
        <f>SMALL(SimData!$B$9:$B$508,368)</f>
        <v>88503.013786242314</v>
      </c>
      <c r="G371">
        <f>1/(COUNT(SimData!$B$9:$B$508)-1)+$G$370</f>
        <v>0.73547094188376816</v>
      </c>
    </row>
    <row r="372" spans="1:7">
      <c r="A372">
        <v>364</v>
      </c>
      <c r="B372">
        <v>119521.13392635813</v>
      </c>
      <c r="F372">
        <f>SMALL(SimData!$B$9:$B$508,369)</f>
        <v>89126.481259409236</v>
      </c>
      <c r="G372">
        <f>1/(COUNT(SimData!$B$9:$B$508)-1)+$G$371</f>
        <v>0.73747494989980023</v>
      </c>
    </row>
    <row r="373" spans="1:7">
      <c r="A373">
        <v>365</v>
      </c>
      <c r="B373">
        <v>12705.141995330034</v>
      </c>
      <c r="F373">
        <f>SMALL(SimData!$B$9:$B$508,370)</f>
        <v>89213.618538385301</v>
      </c>
      <c r="G373">
        <f>1/(COUNT(SimData!$B$9:$B$508)-1)+$G$372</f>
        <v>0.73947895791583229</v>
      </c>
    </row>
    <row r="374" spans="1:7">
      <c r="A374">
        <v>366</v>
      </c>
      <c r="B374">
        <v>0</v>
      </c>
      <c r="F374">
        <f>SMALL(SimData!$B$9:$B$508,371)</f>
        <v>89244.346679699651</v>
      </c>
      <c r="G374">
        <f>1/(COUNT(SimData!$B$9:$B$508)-1)+$G$373</f>
        <v>0.74148296593186436</v>
      </c>
    </row>
    <row r="375" spans="1:7">
      <c r="A375">
        <v>367</v>
      </c>
      <c r="B375">
        <v>59148.354760158065</v>
      </c>
      <c r="F375">
        <f>SMALL(SimData!$B$9:$B$508,372)</f>
        <v>89809.545610524685</v>
      </c>
      <c r="G375">
        <f>1/(COUNT(SimData!$B$9:$B$508)-1)+$G$374</f>
        <v>0.74348697394789642</v>
      </c>
    </row>
    <row r="376" spans="1:7">
      <c r="A376">
        <v>368</v>
      </c>
      <c r="B376">
        <v>112436.8614683621</v>
      </c>
      <c r="F376">
        <f>SMALL(SimData!$B$9:$B$508,373)</f>
        <v>90017.791791173266</v>
      </c>
      <c r="G376">
        <f>1/(COUNT(SimData!$B$9:$B$508)-1)+$G$375</f>
        <v>0.74549098196392849</v>
      </c>
    </row>
    <row r="377" spans="1:7">
      <c r="A377">
        <v>369</v>
      </c>
      <c r="B377">
        <v>22448.979671902041</v>
      </c>
      <c r="F377">
        <f>SMALL(SimData!$B$9:$B$508,374)</f>
        <v>90502.911444152793</v>
      </c>
      <c r="G377">
        <f>1/(COUNT(SimData!$B$9:$B$508)-1)+$G$376</f>
        <v>0.74749498997996056</v>
      </c>
    </row>
    <row r="378" spans="1:7">
      <c r="A378">
        <v>370</v>
      </c>
      <c r="B378">
        <v>28223.806800777675</v>
      </c>
      <c r="F378">
        <f>SMALL(SimData!$B$9:$B$508,375)</f>
        <v>90956.150258887006</v>
      </c>
      <c r="G378">
        <f>1/(COUNT(SimData!$B$9:$B$508)-1)+$G$377</f>
        <v>0.74949899799599262</v>
      </c>
    </row>
    <row r="379" spans="1:7">
      <c r="A379">
        <v>371</v>
      </c>
      <c r="B379">
        <v>36570.834756989498</v>
      </c>
      <c r="F379">
        <f>SMALL(SimData!$B$9:$B$508,376)</f>
        <v>90979.253424113078</v>
      </c>
      <c r="G379">
        <f>1/(COUNT(SimData!$B$9:$B$508)-1)+$G$378</f>
        <v>0.75150300601202469</v>
      </c>
    </row>
    <row r="380" spans="1:7">
      <c r="A380">
        <v>372</v>
      </c>
      <c r="B380">
        <v>14585.868173022531</v>
      </c>
      <c r="F380">
        <f>SMALL(SimData!$B$9:$B$508,377)</f>
        <v>91474.008213008419</v>
      </c>
      <c r="G380">
        <f>1/(COUNT(SimData!$B$9:$B$508)-1)+$G$379</f>
        <v>0.75350701402805675</v>
      </c>
    </row>
    <row r="381" spans="1:7">
      <c r="A381">
        <v>373</v>
      </c>
      <c r="B381">
        <v>55861.36194442118</v>
      </c>
      <c r="F381">
        <f>SMALL(SimData!$B$9:$B$508,378)</f>
        <v>91541.985243956893</v>
      </c>
      <c r="G381">
        <f>1/(COUNT(SimData!$B$9:$B$508)-1)+$G$380</f>
        <v>0.75551102204408882</v>
      </c>
    </row>
    <row r="382" spans="1:7">
      <c r="A382">
        <v>374</v>
      </c>
      <c r="B382">
        <v>19268.630755563019</v>
      </c>
      <c r="F382">
        <f>SMALL(SimData!$B$9:$B$508,379)</f>
        <v>91832.337483346855</v>
      </c>
      <c r="G382">
        <f>1/(COUNT(SimData!$B$9:$B$508)-1)+$G$381</f>
        <v>0.75751503006012089</v>
      </c>
    </row>
    <row r="383" spans="1:7">
      <c r="A383">
        <v>375</v>
      </c>
      <c r="B383">
        <v>39224.598379798845</v>
      </c>
      <c r="F383">
        <f>SMALL(SimData!$B$9:$B$508,380)</f>
        <v>91861.461536845993</v>
      </c>
      <c r="G383">
        <f>1/(COUNT(SimData!$B$9:$B$508)-1)+$G$382</f>
        <v>0.75951903807615295</v>
      </c>
    </row>
    <row r="384" spans="1:7">
      <c r="A384">
        <v>376</v>
      </c>
      <c r="B384">
        <v>83277.805020927408</v>
      </c>
      <c r="F384">
        <f>SMALL(SimData!$B$9:$B$508,381)</f>
        <v>92108.402595257285</v>
      </c>
      <c r="G384">
        <f>1/(COUNT(SimData!$B$9:$B$508)-1)+$G$383</f>
        <v>0.76152304609218502</v>
      </c>
    </row>
    <row r="385" spans="1:7">
      <c r="A385">
        <v>377</v>
      </c>
      <c r="B385">
        <v>19478.616770329238</v>
      </c>
      <c r="F385">
        <f>SMALL(SimData!$B$9:$B$508,382)</f>
        <v>92328.417233559579</v>
      </c>
      <c r="G385">
        <f>1/(COUNT(SimData!$B$9:$B$508)-1)+$G$384</f>
        <v>0.76352705410821708</v>
      </c>
    </row>
    <row r="386" spans="1:7">
      <c r="A386">
        <v>378</v>
      </c>
      <c r="B386">
        <v>18567.274433698323</v>
      </c>
      <c r="F386">
        <f>SMALL(SimData!$B$9:$B$508,383)</f>
        <v>92409.659818445507</v>
      </c>
      <c r="G386">
        <f>1/(COUNT(SimData!$B$9:$B$508)-1)+$G$385</f>
        <v>0.76553106212424915</v>
      </c>
    </row>
    <row r="387" spans="1:7">
      <c r="A387">
        <v>379</v>
      </c>
      <c r="B387">
        <v>54210.189776730098</v>
      </c>
      <c r="F387">
        <f>SMALL(SimData!$B$9:$B$508,384)</f>
        <v>92923.633823638665</v>
      </c>
      <c r="G387">
        <f>1/(COUNT(SimData!$B$9:$B$508)-1)+$G$386</f>
        <v>0.76753507014028122</v>
      </c>
    </row>
    <row r="388" spans="1:7">
      <c r="A388">
        <v>380</v>
      </c>
      <c r="B388">
        <v>28966.334919558562</v>
      </c>
      <c r="F388">
        <f>SMALL(SimData!$B$9:$B$508,385)</f>
        <v>93010.12375749831</v>
      </c>
      <c r="G388">
        <f>1/(COUNT(SimData!$B$9:$B$508)-1)+$G$387</f>
        <v>0.76953907815631328</v>
      </c>
    </row>
    <row r="389" spans="1:7">
      <c r="A389">
        <v>381</v>
      </c>
      <c r="B389">
        <v>75997.437353591871</v>
      </c>
      <c r="F389">
        <f>SMALL(SimData!$B$9:$B$508,386)</f>
        <v>93432.882630969165</v>
      </c>
      <c r="G389">
        <f>1/(COUNT(SimData!$B$9:$B$508)-1)+$G$388</f>
        <v>0.77154308617234535</v>
      </c>
    </row>
    <row r="390" spans="1:7">
      <c r="A390">
        <v>382</v>
      </c>
      <c r="B390">
        <v>49838.161439096264</v>
      </c>
      <c r="F390">
        <f>SMALL(SimData!$B$9:$B$508,387)</f>
        <v>93732.991034117964</v>
      </c>
      <c r="G390">
        <f>1/(COUNT(SimData!$B$9:$B$508)-1)+$G$389</f>
        <v>0.77354709418837742</v>
      </c>
    </row>
    <row r="391" spans="1:7">
      <c r="A391">
        <v>383</v>
      </c>
      <c r="B391">
        <v>44490.158804589533</v>
      </c>
      <c r="F391">
        <f>SMALL(SimData!$B$9:$B$508,388)</f>
        <v>93935.906786145584</v>
      </c>
      <c r="G391">
        <f>1/(COUNT(SimData!$B$9:$B$508)-1)+$G$390</f>
        <v>0.77555110220440948</v>
      </c>
    </row>
    <row r="392" spans="1:7">
      <c r="A392">
        <v>384</v>
      </c>
      <c r="B392">
        <v>83488.951317683372</v>
      </c>
      <c r="F392">
        <f>SMALL(SimData!$B$9:$B$508,389)</f>
        <v>94029.741035879342</v>
      </c>
      <c r="G392">
        <f>1/(COUNT(SimData!$B$9:$B$508)-1)+$G$391</f>
        <v>0.77755511022044155</v>
      </c>
    </row>
    <row r="393" spans="1:7">
      <c r="A393">
        <v>385</v>
      </c>
      <c r="B393">
        <v>55802.813619849461</v>
      </c>
      <c r="F393">
        <f>SMALL(SimData!$B$9:$B$508,390)</f>
        <v>94183.064592513358</v>
      </c>
      <c r="G393">
        <f>1/(COUNT(SimData!$B$9:$B$508)-1)+$G$392</f>
        <v>0.77955911823647361</v>
      </c>
    </row>
    <row r="394" spans="1:7">
      <c r="A394">
        <v>386</v>
      </c>
      <c r="B394">
        <v>88503.013786242314</v>
      </c>
      <c r="F394">
        <f>SMALL(SimData!$B$9:$B$508,391)</f>
        <v>94540.839136479219</v>
      </c>
      <c r="G394">
        <f>1/(COUNT(SimData!$B$9:$B$508)-1)+$G$393</f>
        <v>0.78156312625250568</v>
      </c>
    </row>
    <row r="395" spans="1:7">
      <c r="A395">
        <v>387</v>
      </c>
      <c r="B395">
        <v>43018.704398129586</v>
      </c>
      <c r="F395">
        <f>SMALL(SimData!$B$9:$B$508,392)</f>
        <v>94653.773290288198</v>
      </c>
      <c r="G395">
        <f>1/(COUNT(SimData!$B$9:$B$508)-1)+$G$394</f>
        <v>0.78356713426853775</v>
      </c>
    </row>
    <row r="396" spans="1:7">
      <c r="A396">
        <v>388</v>
      </c>
      <c r="B396">
        <v>74355.341024551919</v>
      </c>
      <c r="F396">
        <f>SMALL(SimData!$B$9:$B$508,393)</f>
        <v>94713.372062855735</v>
      </c>
      <c r="G396">
        <f>1/(COUNT(SimData!$B$9:$B$508)-1)+$G$395</f>
        <v>0.78557114228456981</v>
      </c>
    </row>
    <row r="397" spans="1:7">
      <c r="A397">
        <v>389</v>
      </c>
      <c r="B397">
        <v>61920.553709878623</v>
      </c>
      <c r="F397">
        <f>SMALL(SimData!$B$9:$B$508,394)</f>
        <v>94985.174461694638</v>
      </c>
      <c r="G397">
        <f>1/(COUNT(SimData!$B$9:$B$508)-1)+$G$396</f>
        <v>0.78757515030060188</v>
      </c>
    </row>
    <row r="398" spans="1:7">
      <c r="A398">
        <v>390</v>
      </c>
      <c r="B398">
        <v>46820.426367705055</v>
      </c>
      <c r="F398">
        <f>SMALL(SimData!$B$9:$B$508,395)</f>
        <v>94988.095207444363</v>
      </c>
      <c r="G398">
        <f>1/(COUNT(SimData!$B$9:$B$508)-1)+$G$397</f>
        <v>0.78957915831663394</v>
      </c>
    </row>
    <row r="399" spans="1:7">
      <c r="A399">
        <v>391</v>
      </c>
      <c r="B399">
        <v>14974.783526923222</v>
      </c>
      <c r="F399">
        <f>SMALL(SimData!$B$9:$B$508,396)</f>
        <v>95366.175055230851</v>
      </c>
      <c r="G399">
        <f>1/(COUNT(SimData!$B$9:$B$508)-1)+$G$398</f>
        <v>0.79158316633266601</v>
      </c>
    </row>
    <row r="400" spans="1:7">
      <c r="A400">
        <v>392</v>
      </c>
      <c r="B400">
        <v>23514.857194979129</v>
      </c>
      <c r="F400">
        <f>SMALL(SimData!$B$9:$B$508,397)</f>
        <v>96510.58896795394</v>
      </c>
      <c r="G400">
        <f>1/(COUNT(SimData!$B$9:$B$508)-1)+$G$399</f>
        <v>0.79358717434869808</v>
      </c>
    </row>
    <row r="401" spans="1:7">
      <c r="A401">
        <v>393</v>
      </c>
      <c r="B401">
        <v>23260.726697284234</v>
      </c>
      <c r="F401">
        <f>SMALL(SimData!$B$9:$B$508,398)</f>
        <v>97078.212976463445</v>
      </c>
      <c r="G401">
        <f>1/(COUNT(SimData!$B$9:$B$508)-1)+$G$400</f>
        <v>0.79559118236473014</v>
      </c>
    </row>
    <row r="402" spans="1:7">
      <c r="A402">
        <v>394</v>
      </c>
      <c r="B402">
        <v>64748.216268692755</v>
      </c>
      <c r="F402">
        <f>SMALL(SimData!$B$9:$B$508,399)</f>
        <v>97305.109014814341</v>
      </c>
      <c r="G402">
        <f>1/(COUNT(SimData!$B$9:$B$508)-1)+$G$401</f>
        <v>0.79759519038076221</v>
      </c>
    </row>
    <row r="403" spans="1:7">
      <c r="A403">
        <v>395</v>
      </c>
      <c r="B403">
        <v>14688.759388706278</v>
      </c>
      <c r="F403">
        <f>SMALL(SimData!$B$9:$B$508,400)</f>
        <v>97498.787760521809</v>
      </c>
      <c r="G403">
        <f>1/(COUNT(SimData!$B$9:$B$508)-1)+$G$402</f>
        <v>0.79959919839679428</v>
      </c>
    </row>
    <row r="404" spans="1:7">
      <c r="A404">
        <v>396</v>
      </c>
      <c r="B404">
        <v>89809.545610524685</v>
      </c>
      <c r="F404">
        <f>SMALL(SimData!$B$9:$B$508,401)</f>
        <v>98388.754249063379</v>
      </c>
      <c r="G404">
        <f>1/(COUNT(SimData!$B$9:$B$508)-1)+$G$403</f>
        <v>0.80160320641282634</v>
      </c>
    </row>
    <row r="405" spans="1:7">
      <c r="A405">
        <v>397</v>
      </c>
      <c r="B405">
        <v>33437.736146774783</v>
      </c>
      <c r="F405">
        <f>SMALL(SimData!$B$9:$B$508,402)</f>
        <v>98699.759722980438</v>
      </c>
      <c r="G405">
        <f>1/(COUNT(SimData!$B$9:$B$508)-1)+$G$404</f>
        <v>0.80360721442885841</v>
      </c>
    </row>
    <row r="406" spans="1:7">
      <c r="A406">
        <v>398</v>
      </c>
      <c r="B406">
        <v>101761.44595948239</v>
      </c>
      <c r="F406">
        <f>SMALL(SimData!$B$9:$B$508,403)</f>
        <v>98855.616859461443</v>
      </c>
      <c r="G406">
        <f>1/(COUNT(SimData!$B$9:$B$508)-1)+$G$405</f>
        <v>0.80561122244489047</v>
      </c>
    </row>
    <row r="407" spans="1:7">
      <c r="A407">
        <v>399</v>
      </c>
      <c r="B407">
        <v>53617.272495316545</v>
      </c>
      <c r="F407">
        <f>SMALL(SimData!$B$9:$B$508,404)</f>
        <v>98954.332427427027</v>
      </c>
      <c r="G407">
        <f>1/(COUNT(SimData!$B$9:$B$508)-1)+$G$406</f>
        <v>0.80761523046092254</v>
      </c>
    </row>
    <row r="408" spans="1:7">
      <c r="A408">
        <v>400</v>
      </c>
      <c r="B408">
        <v>87746.177990347147</v>
      </c>
      <c r="F408">
        <f>SMALL(SimData!$B$9:$B$508,405)</f>
        <v>99147.668596826217</v>
      </c>
      <c r="G408">
        <f>1/(COUNT(SimData!$B$9:$B$508)-1)+$G$407</f>
        <v>0.80961923847695461</v>
      </c>
    </row>
    <row r="409" spans="1:7">
      <c r="A409">
        <v>401</v>
      </c>
      <c r="B409">
        <v>14853.524449337687</v>
      </c>
      <c r="F409">
        <f>SMALL(SimData!$B$9:$B$508,406)</f>
        <v>99152.288361343803</v>
      </c>
      <c r="G409">
        <f>1/(COUNT(SimData!$B$9:$B$508)-1)+$G$408</f>
        <v>0.81162324649298667</v>
      </c>
    </row>
    <row r="410" spans="1:7">
      <c r="A410">
        <v>402</v>
      </c>
      <c r="B410">
        <v>89126.481259409236</v>
      </c>
      <c r="F410">
        <f>SMALL(SimData!$B$9:$B$508,407)</f>
        <v>99167.747987581621</v>
      </c>
      <c r="G410">
        <f>1/(COUNT(SimData!$B$9:$B$508)-1)+$G$409</f>
        <v>0.81362725450901874</v>
      </c>
    </row>
    <row r="411" spans="1:7">
      <c r="A411">
        <v>403</v>
      </c>
      <c r="B411">
        <v>55483.457960342646</v>
      </c>
      <c r="F411">
        <f>SMALL(SimData!$B$9:$B$508,408)</f>
        <v>99329.850669053485</v>
      </c>
      <c r="G411">
        <f>1/(COUNT(SimData!$B$9:$B$508)-1)+$G$410</f>
        <v>0.8156312625250508</v>
      </c>
    </row>
    <row r="412" spans="1:7">
      <c r="A412">
        <v>404</v>
      </c>
      <c r="B412">
        <v>63485.462155392182</v>
      </c>
      <c r="F412">
        <f>SMALL(SimData!$B$9:$B$508,409)</f>
        <v>99330.415182675977</v>
      </c>
      <c r="G412">
        <f>1/(COUNT(SimData!$B$9:$B$508)-1)+$G$411</f>
        <v>0.81763527054108287</v>
      </c>
    </row>
    <row r="413" spans="1:7">
      <c r="A413">
        <v>405</v>
      </c>
      <c r="B413">
        <v>69808.294597247179</v>
      </c>
      <c r="F413">
        <f>SMALL(SimData!$B$9:$B$508,410)</f>
        <v>99695.335024251704</v>
      </c>
      <c r="G413">
        <f>1/(COUNT(SimData!$B$9:$B$508)-1)+$G$412</f>
        <v>0.81963927855711494</v>
      </c>
    </row>
    <row r="414" spans="1:7">
      <c r="A414">
        <v>406</v>
      </c>
      <c r="B414">
        <v>79899.785200314145</v>
      </c>
      <c r="F414">
        <f>SMALL(SimData!$B$9:$B$508,411)</f>
        <v>100740.40124408317</v>
      </c>
      <c r="G414">
        <f>1/(COUNT(SimData!$B$9:$B$508)-1)+$G$413</f>
        <v>0.821643286573147</v>
      </c>
    </row>
    <row r="415" spans="1:7">
      <c r="A415">
        <v>407</v>
      </c>
      <c r="B415">
        <v>101717.46195022998</v>
      </c>
      <c r="F415">
        <f>SMALL(SimData!$B$9:$B$508,412)</f>
        <v>100822.16786670781</v>
      </c>
      <c r="G415">
        <f>1/(COUNT(SimData!$B$9:$B$508)-1)+$G$414</f>
        <v>0.82364729458917907</v>
      </c>
    </row>
    <row r="416" spans="1:7">
      <c r="A416">
        <v>408</v>
      </c>
      <c r="B416">
        <v>52966.656326731834</v>
      </c>
      <c r="F416">
        <f>SMALL(SimData!$B$9:$B$508,413)</f>
        <v>100879.25856976467</v>
      </c>
      <c r="G416">
        <f>1/(COUNT(SimData!$B$9:$B$508)-1)+$G$415</f>
        <v>0.82565130260521113</v>
      </c>
    </row>
    <row r="417" spans="1:7">
      <c r="A417">
        <v>409</v>
      </c>
      <c r="B417">
        <v>39375.108297372688</v>
      </c>
      <c r="F417">
        <f>SMALL(SimData!$B$9:$B$508,414)</f>
        <v>100967.97869487136</v>
      </c>
      <c r="G417">
        <f>1/(COUNT(SimData!$B$9:$B$508)-1)+$G$416</f>
        <v>0.8276553106212432</v>
      </c>
    </row>
    <row r="418" spans="1:7">
      <c r="A418">
        <v>410</v>
      </c>
      <c r="B418">
        <v>127452.32772989609</v>
      </c>
      <c r="F418">
        <f>SMALL(SimData!$B$9:$B$508,415)</f>
        <v>101271.54899858411</v>
      </c>
      <c r="G418">
        <f>1/(COUNT(SimData!$B$9:$B$508)-1)+$G$417</f>
        <v>0.82965931863727527</v>
      </c>
    </row>
    <row r="419" spans="1:7">
      <c r="A419">
        <v>411</v>
      </c>
      <c r="B419">
        <v>63872.216977054253</v>
      </c>
      <c r="F419">
        <f>SMALL(SimData!$B$9:$B$508,416)</f>
        <v>101350.50683832788</v>
      </c>
      <c r="G419">
        <f>1/(COUNT(SimData!$B$9:$B$508)-1)+$G$418</f>
        <v>0.83166332665330733</v>
      </c>
    </row>
    <row r="420" spans="1:7">
      <c r="A420">
        <v>412</v>
      </c>
      <c r="B420">
        <v>54608.611931017149</v>
      </c>
      <c r="F420">
        <f>SMALL(SimData!$B$9:$B$508,417)</f>
        <v>101717.46195022998</v>
      </c>
      <c r="G420">
        <f>1/(COUNT(SimData!$B$9:$B$508)-1)+$G$419</f>
        <v>0.8336673346693394</v>
      </c>
    </row>
    <row r="421" spans="1:7">
      <c r="A421">
        <v>413</v>
      </c>
      <c r="B421">
        <v>94988.095207444363</v>
      </c>
      <c r="F421">
        <f>SMALL(SimData!$B$9:$B$508,418)</f>
        <v>101761.44595948239</v>
      </c>
      <c r="G421">
        <f>1/(COUNT(SimData!$B$9:$B$508)-1)+$G$420</f>
        <v>0.83567134268537147</v>
      </c>
    </row>
    <row r="422" spans="1:7">
      <c r="A422">
        <v>414</v>
      </c>
      <c r="B422">
        <v>163629.1223003284</v>
      </c>
      <c r="F422">
        <f>SMALL(SimData!$B$9:$B$508,419)</f>
        <v>101908.29252996536</v>
      </c>
      <c r="G422">
        <f>1/(COUNT(SimData!$B$9:$B$508)-1)+$G$421</f>
        <v>0.83767535070140353</v>
      </c>
    </row>
    <row r="423" spans="1:7">
      <c r="A423">
        <v>415</v>
      </c>
      <c r="B423">
        <v>56130.966141277619</v>
      </c>
      <c r="F423">
        <f>SMALL(SimData!$B$9:$B$508,420)</f>
        <v>102199.06496928161</v>
      </c>
      <c r="G423">
        <f>1/(COUNT(SimData!$B$9:$B$508)-1)+$G$422</f>
        <v>0.8396793587174356</v>
      </c>
    </row>
    <row r="424" spans="1:7">
      <c r="A424">
        <v>416</v>
      </c>
      <c r="B424">
        <v>21515.005683289688</v>
      </c>
      <c r="F424">
        <f>SMALL(SimData!$B$9:$B$508,421)</f>
        <v>102691.60527038512</v>
      </c>
      <c r="G424">
        <f>1/(COUNT(SimData!$B$9:$B$508)-1)+$G$423</f>
        <v>0.84168336673346766</v>
      </c>
    </row>
    <row r="425" spans="1:7">
      <c r="A425">
        <v>417</v>
      </c>
      <c r="B425">
        <v>26239.495388463023</v>
      </c>
      <c r="F425">
        <f>SMALL(SimData!$B$9:$B$508,422)</f>
        <v>104494.97254665972</v>
      </c>
      <c r="G425">
        <f>1/(COUNT(SimData!$B$9:$B$508)-1)+$G$424</f>
        <v>0.84368737474949973</v>
      </c>
    </row>
    <row r="426" spans="1:7">
      <c r="A426">
        <v>418</v>
      </c>
      <c r="B426">
        <v>63422.076035871039</v>
      </c>
      <c r="F426">
        <f>SMALL(SimData!$B$9:$B$508,423)</f>
        <v>104920.19573231475</v>
      </c>
      <c r="G426">
        <f>1/(COUNT(SimData!$B$9:$B$508)-1)+$G$425</f>
        <v>0.8456913827655318</v>
      </c>
    </row>
    <row r="427" spans="1:7">
      <c r="A427">
        <v>419</v>
      </c>
      <c r="B427">
        <v>24357.71249321604</v>
      </c>
      <c r="F427">
        <f>SMALL(SimData!$B$9:$B$508,424)</f>
        <v>104964.23315855119</v>
      </c>
      <c r="G427">
        <f>1/(COUNT(SimData!$B$9:$B$508)-1)+$G$426</f>
        <v>0.84769539078156386</v>
      </c>
    </row>
    <row r="428" spans="1:7">
      <c r="A428">
        <v>420</v>
      </c>
      <c r="B428">
        <v>101271.54899858411</v>
      </c>
      <c r="F428">
        <f>SMALL(SimData!$B$9:$B$508,425)</f>
        <v>105502.82272975857</v>
      </c>
      <c r="G428">
        <f>1/(COUNT(SimData!$B$9:$B$508)-1)+$G$427</f>
        <v>0.84969939879759593</v>
      </c>
    </row>
    <row r="429" spans="1:7">
      <c r="A429">
        <v>421</v>
      </c>
      <c r="B429">
        <v>140819.95397212176</v>
      </c>
      <c r="F429">
        <f>SMALL(SimData!$B$9:$B$508,426)</f>
        <v>106354.71037101446</v>
      </c>
      <c r="G429">
        <f>1/(COUNT(SimData!$B$9:$B$508)-1)+$G$428</f>
        <v>0.85170340681362799</v>
      </c>
    </row>
    <row r="430" spans="1:7">
      <c r="A430">
        <v>422</v>
      </c>
      <c r="B430">
        <v>65879.827327755222</v>
      </c>
      <c r="F430">
        <f>SMALL(SimData!$B$9:$B$508,427)</f>
        <v>107423.24835052871</v>
      </c>
      <c r="G430">
        <f>1/(COUNT(SimData!$B$9:$B$508)-1)+$G$429</f>
        <v>0.85370741482966006</v>
      </c>
    </row>
    <row r="431" spans="1:7">
      <c r="A431">
        <v>423</v>
      </c>
      <c r="B431">
        <v>75172.752050675481</v>
      </c>
      <c r="F431">
        <f>SMALL(SimData!$B$9:$B$508,428)</f>
        <v>107610.60363202832</v>
      </c>
      <c r="G431">
        <f>1/(COUNT(SimData!$B$9:$B$508)-1)+$G$430</f>
        <v>0.85571142284569213</v>
      </c>
    </row>
    <row r="432" spans="1:7">
      <c r="A432">
        <v>424</v>
      </c>
      <c r="B432">
        <v>60324.419489104825</v>
      </c>
      <c r="F432">
        <f>SMALL(SimData!$B$9:$B$508,429)</f>
        <v>107664.46289932079</v>
      </c>
      <c r="G432">
        <f>1/(COUNT(SimData!$B$9:$B$508)-1)+$G$431</f>
        <v>0.85771543086172419</v>
      </c>
    </row>
    <row r="433" spans="1:7">
      <c r="A433">
        <v>425</v>
      </c>
      <c r="B433">
        <v>41511.154182396072</v>
      </c>
      <c r="F433">
        <f>SMALL(SimData!$B$9:$B$508,430)</f>
        <v>107825.75436267201</v>
      </c>
      <c r="G433">
        <f>1/(COUNT(SimData!$B$9:$B$508)-1)+$G$432</f>
        <v>0.85971943887775626</v>
      </c>
    </row>
    <row r="434" spans="1:7">
      <c r="A434">
        <v>426</v>
      </c>
      <c r="B434">
        <v>168223.56021113729</v>
      </c>
      <c r="F434">
        <f>SMALL(SimData!$B$9:$B$508,431)</f>
        <v>108290.12935617285</v>
      </c>
      <c r="G434">
        <f>1/(COUNT(SimData!$B$9:$B$508)-1)+$G$433</f>
        <v>0.86172344689378833</v>
      </c>
    </row>
    <row r="435" spans="1:7">
      <c r="A435">
        <v>427</v>
      </c>
      <c r="B435">
        <v>81105.039088038728</v>
      </c>
      <c r="F435">
        <f>SMALL(SimData!$B$9:$B$508,432)</f>
        <v>109056.37648617414</v>
      </c>
      <c r="G435">
        <f>1/(COUNT(SimData!$B$9:$B$508)-1)+$G$434</f>
        <v>0.86372745490982039</v>
      </c>
    </row>
    <row r="436" spans="1:7">
      <c r="A436">
        <v>428</v>
      </c>
      <c r="B436">
        <v>36061.135276501234</v>
      </c>
      <c r="F436">
        <f>SMALL(SimData!$B$9:$B$508,433)</f>
        <v>110219.18569137924</v>
      </c>
      <c r="G436">
        <f>1/(COUNT(SimData!$B$9:$B$508)-1)+$G$435</f>
        <v>0.86573146292585246</v>
      </c>
    </row>
    <row r="437" spans="1:7">
      <c r="A437">
        <v>429</v>
      </c>
      <c r="B437">
        <v>90956.150258887006</v>
      </c>
      <c r="F437">
        <f>SMALL(SimData!$B$9:$B$508,434)</f>
        <v>110527.70102072215</v>
      </c>
      <c r="G437">
        <f>1/(COUNT(SimData!$B$9:$B$508)-1)+$G$436</f>
        <v>0.86773547094188452</v>
      </c>
    </row>
    <row r="438" spans="1:7">
      <c r="A438">
        <v>430</v>
      </c>
      <c r="B438">
        <v>17511.679918341873</v>
      </c>
      <c r="F438">
        <f>SMALL(SimData!$B$9:$B$508,435)</f>
        <v>112020.46570518981</v>
      </c>
      <c r="G438">
        <f>1/(COUNT(SimData!$B$9:$B$508)-1)+$G$437</f>
        <v>0.86973947895791659</v>
      </c>
    </row>
    <row r="439" spans="1:7">
      <c r="A439">
        <v>431</v>
      </c>
      <c r="B439">
        <v>53022.490933534791</v>
      </c>
      <c r="F439">
        <f>SMALL(SimData!$B$9:$B$508,436)</f>
        <v>112436.8614683621</v>
      </c>
      <c r="G439">
        <f>1/(COUNT(SimData!$B$9:$B$508)-1)+$G$438</f>
        <v>0.87174348697394866</v>
      </c>
    </row>
    <row r="440" spans="1:7">
      <c r="A440">
        <v>432</v>
      </c>
      <c r="B440">
        <v>33474.881216030466</v>
      </c>
      <c r="F440">
        <f>SMALL(SimData!$B$9:$B$508,437)</f>
        <v>112980.51019423221</v>
      </c>
      <c r="G440">
        <f>1/(COUNT(SimData!$B$9:$B$508)-1)+$G$439</f>
        <v>0.87374749498998072</v>
      </c>
    </row>
    <row r="441" spans="1:7">
      <c r="A441">
        <v>433</v>
      </c>
      <c r="B441">
        <v>71476.368513686684</v>
      </c>
      <c r="F441">
        <f>SMALL(SimData!$B$9:$B$508,438)</f>
        <v>113127.45373929461</v>
      </c>
      <c r="G441">
        <f>1/(COUNT(SimData!$B$9:$B$508)-1)+$G$440</f>
        <v>0.87575150300601279</v>
      </c>
    </row>
    <row r="442" spans="1:7">
      <c r="A442">
        <v>434</v>
      </c>
      <c r="B442">
        <v>79617.262466725617</v>
      </c>
      <c r="F442">
        <f>SMALL(SimData!$B$9:$B$508,439)</f>
        <v>113618.79365228242</v>
      </c>
      <c r="G442">
        <f>1/(COUNT(SimData!$B$9:$B$508)-1)+$G$441</f>
        <v>0.87775551102204485</v>
      </c>
    </row>
    <row r="443" spans="1:7">
      <c r="A443">
        <v>435</v>
      </c>
      <c r="B443">
        <v>92923.633823638665</v>
      </c>
      <c r="F443">
        <f>SMALL(SimData!$B$9:$B$508,440)</f>
        <v>113981.13095681049</v>
      </c>
      <c r="G443">
        <f>1/(COUNT(SimData!$B$9:$B$508)-1)+$G$442</f>
        <v>0.87975951903807692</v>
      </c>
    </row>
    <row r="444" spans="1:7">
      <c r="A444">
        <v>436</v>
      </c>
      <c r="B444">
        <v>39386.19893809424</v>
      </c>
      <c r="F444">
        <f>SMALL(SimData!$B$9:$B$508,441)</f>
        <v>114539.56663889269</v>
      </c>
      <c r="G444">
        <f>1/(COUNT(SimData!$B$9:$B$508)-1)+$G$443</f>
        <v>0.88176352705410899</v>
      </c>
    </row>
    <row r="445" spans="1:7">
      <c r="A445">
        <v>437</v>
      </c>
      <c r="B445">
        <v>80686.460274376324</v>
      </c>
      <c r="F445">
        <f>SMALL(SimData!$B$9:$B$508,442)</f>
        <v>114546.42098607391</v>
      </c>
      <c r="G445">
        <f>1/(COUNT(SimData!$B$9:$B$508)-1)+$G$444</f>
        <v>0.88376753507014105</v>
      </c>
    </row>
    <row r="446" spans="1:7">
      <c r="A446">
        <v>438</v>
      </c>
      <c r="B446">
        <v>18307.399364448065</v>
      </c>
      <c r="F446">
        <f>SMALL(SimData!$B$9:$B$508,443)</f>
        <v>115288.39699348653</v>
      </c>
      <c r="G446">
        <f>1/(COUNT(SimData!$B$9:$B$508)-1)+$G$445</f>
        <v>0.88577154308617312</v>
      </c>
    </row>
    <row r="447" spans="1:7">
      <c r="A447">
        <v>439</v>
      </c>
      <c r="B447">
        <v>46044.528963050427</v>
      </c>
      <c r="F447">
        <f>SMALL(SimData!$B$9:$B$508,444)</f>
        <v>115695.11803844283</v>
      </c>
      <c r="G447">
        <f>1/(COUNT(SimData!$B$9:$B$508)-1)+$G$446</f>
        <v>0.88777555110220518</v>
      </c>
    </row>
    <row r="448" spans="1:7">
      <c r="A448">
        <v>440</v>
      </c>
      <c r="B448">
        <v>50095.816789076373</v>
      </c>
      <c r="F448">
        <f>SMALL(SimData!$B$9:$B$508,445)</f>
        <v>115794.11815559768</v>
      </c>
      <c r="G448">
        <f>1/(COUNT(SimData!$B$9:$B$508)-1)+$G$447</f>
        <v>0.88977955911823725</v>
      </c>
    </row>
    <row r="449" spans="1:7">
      <c r="A449">
        <v>441</v>
      </c>
      <c r="B449">
        <v>26801.916696857952</v>
      </c>
      <c r="F449">
        <f>SMALL(SimData!$B$9:$B$508,446)</f>
        <v>116787.48531813658</v>
      </c>
      <c r="G449">
        <f>1/(COUNT(SimData!$B$9:$B$508)-1)+$G$448</f>
        <v>0.89178356713426932</v>
      </c>
    </row>
    <row r="450" spans="1:7">
      <c r="A450">
        <v>442</v>
      </c>
      <c r="B450">
        <v>157311.7544337085</v>
      </c>
      <c r="F450">
        <f>SMALL(SimData!$B$9:$B$508,447)</f>
        <v>117757.19851401739</v>
      </c>
      <c r="G450">
        <f>1/(COUNT(SimData!$B$9:$B$508)-1)+$G$449</f>
        <v>0.89378757515030138</v>
      </c>
    </row>
    <row r="451" spans="1:7">
      <c r="A451">
        <v>443</v>
      </c>
      <c r="B451">
        <v>52495.144667122731</v>
      </c>
      <c r="F451">
        <f>SMALL(SimData!$B$9:$B$508,448)</f>
        <v>118080.92485790758</v>
      </c>
      <c r="G451">
        <f>1/(COUNT(SimData!$B$9:$B$508)-1)+$G$450</f>
        <v>0.89579158316633345</v>
      </c>
    </row>
    <row r="452" spans="1:7">
      <c r="A452">
        <v>444</v>
      </c>
      <c r="B452">
        <v>73991.42161513734</v>
      </c>
      <c r="F452">
        <f>SMALL(SimData!$B$9:$B$508,449)</f>
        <v>118176.35607036858</v>
      </c>
      <c r="G452">
        <f>1/(COUNT(SimData!$B$9:$B$508)-1)+$G$451</f>
        <v>0.89779559118236552</v>
      </c>
    </row>
    <row r="453" spans="1:7">
      <c r="A453">
        <v>445</v>
      </c>
      <c r="B453">
        <v>58902.453382269399</v>
      </c>
      <c r="F453">
        <f>SMALL(SimData!$B$9:$B$508,450)</f>
        <v>118188.43804505173</v>
      </c>
      <c r="G453">
        <f>1/(COUNT(SimData!$B$9:$B$508)-1)+$G$452</f>
        <v>0.89979959919839758</v>
      </c>
    </row>
    <row r="454" spans="1:7">
      <c r="A454">
        <v>446</v>
      </c>
      <c r="B454">
        <v>90017.791791173266</v>
      </c>
      <c r="F454">
        <f>SMALL(SimData!$B$9:$B$508,451)</f>
        <v>118631.34734687582</v>
      </c>
      <c r="G454">
        <f>1/(COUNT(SimData!$B$9:$B$508)-1)+$G$453</f>
        <v>0.90180360721442965</v>
      </c>
    </row>
    <row r="455" spans="1:7">
      <c r="A455">
        <v>447</v>
      </c>
      <c r="B455">
        <v>36023.032631553688</v>
      </c>
      <c r="F455">
        <f>SMALL(SimData!$B$9:$B$508,452)</f>
        <v>119521.13392635813</v>
      </c>
      <c r="G455">
        <f>1/(COUNT(SimData!$B$9:$B$508)-1)+$G$454</f>
        <v>0.90380761523046171</v>
      </c>
    </row>
    <row r="456" spans="1:7">
      <c r="A456">
        <v>448</v>
      </c>
      <c r="B456">
        <v>94713.372062855735</v>
      </c>
      <c r="F456">
        <f>SMALL(SimData!$B$9:$B$508,453)</f>
        <v>119724.50827848626</v>
      </c>
      <c r="G456">
        <f>1/(COUNT(SimData!$B$9:$B$508)-1)+$G$455</f>
        <v>0.90581162324649378</v>
      </c>
    </row>
    <row r="457" spans="1:7">
      <c r="A457">
        <v>449</v>
      </c>
      <c r="B457">
        <v>42499.394513085819</v>
      </c>
      <c r="F457">
        <f>SMALL(SimData!$B$9:$B$508,454)</f>
        <v>120560.1942093978</v>
      </c>
      <c r="G457">
        <f>1/(COUNT(SimData!$B$9:$B$508)-1)+$G$456</f>
        <v>0.90781563126252585</v>
      </c>
    </row>
    <row r="458" spans="1:7">
      <c r="A458">
        <v>450</v>
      </c>
      <c r="B458">
        <v>30116.051541311379</v>
      </c>
      <c r="F458">
        <f>SMALL(SimData!$B$9:$B$508,455)</f>
        <v>120664.13952520961</v>
      </c>
      <c r="G458">
        <f>1/(COUNT(SimData!$B$9:$B$508)-1)+$G$457</f>
        <v>0.90981963927855791</v>
      </c>
    </row>
    <row r="459" spans="1:7">
      <c r="A459">
        <v>451</v>
      </c>
      <c r="B459">
        <v>0</v>
      </c>
      <c r="F459">
        <f>SMALL(SimData!$B$9:$B$508,456)</f>
        <v>120828.49849335187</v>
      </c>
      <c r="G459">
        <f>1/(COUNT(SimData!$B$9:$B$508)-1)+$G$458</f>
        <v>0.91182364729458998</v>
      </c>
    </row>
    <row r="460" spans="1:7">
      <c r="A460">
        <v>452</v>
      </c>
      <c r="B460">
        <v>18373.208231124427</v>
      </c>
      <c r="F460">
        <f>SMALL(SimData!$B$9:$B$508,457)</f>
        <v>121518.88564274169</v>
      </c>
      <c r="G460">
        <f>1/(COUNT(SimData!$B$9:$B$508)-1)+$G$459</f>
        <v>0.91382765531062204</v>
      </c>
    </row>
    <row r="461" spans="1:7">
      <c r="A461">
        <v>453</v>
      </c>
      <c r="B461">
        <v>119724.50827848626</v>
      </c>
      <c r="F461">
        <f>SMALL(SimData!$B$9:$B$508,458)</f>
        <v>121893.26353316745</v>
      </c>
      <c r="G461">
        <f>1/(COUNT(SimData!$B$9:$B$508)-1)+$G$460</f>
        <v>0.91583166332665411</v>
      </c>
    </row>
    <row r="462" spans="1:7">
      <c r="A462">
        <v>454</v>
      </c>
      <c r="B462">
        <v>78237.549037590652</v>
      </c>
      <c r="F462">
        <f>SMALL(SimData!$B$9:$B$508,459)</f>
        <v>122468.80297631933</v>
      </c>
      <c r="G462">
        <f>1/(COUNT(SimData!$B$9:$B$508)-1)+$G$461</f>
        <v>0.91783567134268618</v>
      </c>
    </row>
    <row r="463" spans="1:7">
      <c r="A463">
        <v>455</v>
      </c>
      <c r="B463">
        <v>134351.2940158514</v>
      </c>
      <c r="F463">
        <f>SMALL(SimData!$B$9:$B$508,460)</f>
        <v>122948.39957983351</v>
      </c>
      <c r="G463">
        <f>1/(COUNT(SimData!$B$9:$B$508)-1)+$G$462</f>
        <v>0.91983967935871824</v>
      </c>
    </row>
    <row r="464" spans="1:7">
      <c r="A464">
        <v>456</v>
      </c>
      <c r="B464">
        <v>18443.835920032703</v>
      </c>
      <c r="F464">
        <f>SMALL(SimData!$B$9:$B$508,461)</f>
        <v>124077.83122302499</v>
      </c>
      <c r="G464">
        <f>1/(COUNT(SimData!$B$9:$B$508)-1)+$G$463</f>
        <v>0.92184368737475031</v>
      </c>
    </row>
    <row r="465" spans="1:7">
      <c r="A465">
        <v>457</v>
      </c>
      <c r="B465">
        <v>54014.516238919066</v>
      </c>
      <c r="F465">
        <f>SMALL(SimData!$B$9:$B$508,462)</f>
        <v>124898.33091325959</v>
      </c>
      <c r="G465">
        <f>1/(COUNT(SimData!$B$9:$B$508)-1)+$G$464</f>
        <v>0.92384769539078238</v>
      </c>
    </row>
    <row r="466" spans="1:7">
      <c r="A466">
        <v>458</v>
      </c>
      <c r="B466">
        <v>120828.49849335187</v>
      </c>
      <c r="F466">
        <f>SMALL(SimData!$B$9:$B$508,463)</f>
        <v>125019.63893090103</v>
      </c>
      <c r="G466">
        <f>1/(COUNT(SimData!$B$9:$B$508)-1)+$G$465</f>
        <v>0.92585170340681444</v>
      </c>
    </row>
    <row r="467" spans="1:7">
      <c r="A467">
        <v>459</v>
      </c>
      <c r="B467">
        <v>85530.325649266248</v>
      </c>
      <c r="F467">
        <f>SMALL(SimData!$B$9:$B$508,464)</f>
        <v>125587.29704841392</v>
      </c>
      <c r="G467">
        <f>1/(COUNT(SimData!$B$9:$B$508)-1)+$G$466</f>
        <v>0.92785571142284651</v>
      </c>
    </row>
    <row r="468" spans="1:7">
      <c r="A468">
        <v>460</v>
      </c>
      <c r="B468">
        <v>16200.387000641847</v>
      </c>
      <c r="F468">
        <f>SMALL(SimData!$B$9:$B$508,465)</f>
        <v>127452.32772989609</v>
      </c>
      <c r="G468">
        <f>1/(COUNT(SimData!$B$9:$B$508)-1)+$G$467</f>
        <v>0.92985971943887857</v>
      </c>
    </row>
    <row r="469" spans="1:7">
      <c r="A469">
        <v>461</v>
      </c>
      <c r="B469">
        <v>25978.947607487578</v>
      </c>
      <c r="F469">
        <f>SMALL(SimData!$B$9:$B$508,466)</f>
        <v>128048.50377046844</v>
      </c>
      <c r="G469">
        <f>1/(COUNT(SimData!$B$9:$B$508)-1)+$G$468</f>
        <v>0.93186372745491064</v>
      </c>
    </row>
    <row r="470" spans="1:7">
      <c r="A470">
        <v>462</v>
      </c>
      <c r="B470">
        <v>34963.350966165497</v>
      </c>
      <c r="F470">
        <f>SMALL(SimData!$B$9:$B$508,467)</f>
        <v>128396.13931056604</v>
      </c>
      <c r="G470">
        <f>1/(COUNT(SimData!$B$9:$B$508)-1)+$G$469</f>
        <v>0.93386773547094271</v>
      </c>
    </row>
    <row r="471" spans="1:7">
      <c r="A471">
        <v>463</v>
      </c>
      <c r="B471">
        <v>76406.453531143008</v>
      </c>
      <c r="F471">
        <f>SMALL(SimData!$B$9:$B$508,468)</f>
        <v>129465.59974465608</v>
      </c>
      <c r="G471">
        <f>1/(COUNT(SimData!$B$9:$B$508)-1)+$G$470</f>
        <v>0.93587174348697477</v>
      </c>
    </row>
    <row r="472" spans="1:7">
      <c r="A472">
        <v>464</v>
      </c>
      <c r="B472">
        <v>71365.832905510702</v>
      </c>
      <c r="F472">
        <f>SMALL(SimData!$B$9:$B$508,469)</f>
        <v>129554.29470394648</v>
      </c>
      <c r="G472">
        <f>1/(COUNT(SimData!$B$9:$B$508)-1)+$G$471</f>
        <v>0.93787575150300684</v>
      </c>
    </row>
    <row r="473" spans="1:7">
      <c r="A473">
        <v>465</v>
      </c>
      <c r="B473">
        <v>124077.83122302499</v>
      </c>
      <c r="F473">
        <f>SMALL(SimData!$B$9:$B$508,470)</f>
        <v>129700.31021802066</v>
      </c>
      <c r="G473">
        <f>1/(COUNT(SimData!$B$9:$B$508)-1)+$G$472</f>
        <v>0.9398797595190389</v>
      </c>
    </row>
    <row r="474" spans="1:7">
      <c r="A474">
        <v>466</v>
      </c>
      <c r="B474">
        <v>39380.22139702487</v>
      </c>
      <c r="F474">
        <f>SMALL(SimData!$B$9:$B$508,471)</f>
        <v>129979.3058944986</v>
      </c>
      <c r="G474">
        <f>1/(COUNT(SimData!$B$9:$B$508)-1)+$G$473</f>
        <v>0.94188376753507097</v>
      </c>
    </row>
    <row r="475" spans="1:7">
      <c r="A475">
        <v>467</v>
      </c>
      <c r="B475">
        <v>28888.354677884156</v>
      </c>
      <c r="F475">
        <f>SMALL(SimData!$B$9:$B$508,472)</f>
        <v>131970.1272862145</v>
      </c>
      <c r="G475">
        <f>1/(COUNT(SimData!$B$9:$B$508)-1)+$G$474</f>
        <v>0.94388777555110304</v>
      </c>
    </row>
    <row r="476" spans="1:7">
      <c r="A476">
        <v>468</v>
      </c>
      <c r="B476">
        <v>113981.13095681049</v>
      </c>
      <c r="F476">
        <f>SMALL(SimData!$B$9:$B$508,473)</f>
        <v>132353.59119380932</v>
      </c>
      <c r="G476">
        <f>1/(COUNT(SimData!$B$9:$B$508)-1)+$G$475</f>
        <v>0.9458917835671351</v>
      </c>
    </row>
    <row r="477" spans="1:7">
      <c r="A477">
        <v>469</v>
      </c>
      <c r="B477">
        <v>102199.06496928161</v>
      </c>
      <c r="F477">
        <f>SMALL(SimData!$B$9:$B$508,474)</f>
        <v>133346.79161857947</v>
      </c>
      <c r="G477">
        <f>1/(COUNT(SimData!$B$9:$B$508)-1)+$G$476</f>
        <v>0.94789579158316717</v>
      </c>
    </row>
    <row r="478" spans="1:7">
      <c r="A478">
        <v>470</v>
      </c>
      <c r="B478">
        <v>141908.33200059546</v>
      </c>
      <c r="F478">
        <f>SMALL(SimData!$B$9:$B$508,475)</f>
        <v>133844.67075175408</v>
      </c>
      <c r="G478">
        <f>1/(COUNT(SimData!$B$9:$B$508)-1)+$G$477</f>
        <v>0.94989979959919923</v>
      </c>
    </row>
    <row r="479" spans="1:7">
      <c r="A479">
        <v>471</v>
      </c>
      <c r="B479">
        <v>77656.958446945486</v>
      </c>
      <c r="F479">
        <f>SMALL(SimData!$B$9:$B$508,476)</f>
        <v>134351.2940158514</v>
      </c>
      <c r="G479">
        <f>1/(COUNT(SimData!$B$9:$B$508)-1)+$G$478</f>
        <v>0.9519038076152313</v>
      </c>
    </row>
    <row r="480" spans="1:7">
      <c r="A480">
        <v>472</v>
      </c>
      <c r="B480">
        <v>70587.826466389408</v>
      </c>
      <c r="F480">
        <f>SMALL(SimData!$B$9:$B$508,477)</f>
        <v>135592.08592329381</v>
      </c>
      <c r="G480">
        <f>1/(COUNT(SimData!$B$9:$B$508)-1)+$G$479</f>
        <v>0.95390781563126337</v>
      </c>
    </row>
    <row r="481" spans="1:7">
      <c r="A481">
        <v>473</v>
      </c>
      <c r="B481">
        <v>34690.831121789874</v>
      </c>
      <c r="F481">
        <f>SMALL(SimData!$B$9:$B$508,478)</f>
        <v>137136.78396139218</v>
      </c>
      <c r="G481">
        <f>1/(COUNT(SimData!$B$9:$B$508)-1)+$G$480</f>
        <v>0.95591182364729543</v>
      </c>
    </row>
    <row r="482" spans="1:7">
      <c r="A482">
        <v>474</v>
      </c>
      <c r="B482">
        <v>113127.45373929461</v>
      </c>
      <c r="F482">
        <f>SMALL(SimData!$B$9:$B$508,479)</f>
        <v>137167.82271835377</v>
      </c>
      <c r="G482">
        <f>1/(COUNT(SimData!$B$9:$B$508)-1)+$G$481</f>
        <v>0.9579158316633275</v>
      </c>
    </row>
    <row r="483" spans="1:7">
      <c r="A483">
        <v>475</v>
      </c>
      <c r="B483">
        <v>42101.374459747429</v>
      </c>
      <c r="F483">
        <f>SMALL(SimData!$B$9:$B$508,480)</f>
        <v>138603.60054051407</v>
      </c>
      <c r="G483">
        <f>1/(COUNT(SimData!$B$9:$B$508)-1)+$G$482</f>
        <v>0.95991983967935957</v>
      </c>
    </row>
    <row r="484" spans="1:7">
      <c r="A484">
        <v>476</v>
      </c>
      <c r="B484">
        <v>60823.489617632913</v>
      </c>
      <c r="F484">
        <f>SMALL(SimData!$B$9:$B$508,481)</f>
        <v>140677.43351573937</v>
      </c>
      <c r="G484">
        <f>1/(COUNT(SimData!$B$9:$B$508)-1)+$G$483</f>
        <v>0.96192384769539163</v>
      </c>
    </row>
    <row r="485" spans="1:7">
      <c r="A485">
        <v>477</v>
      </c>
      <c r="B485">
        <v>33078.769342866821</v>
      </c>
      <c r="F485">
        <f>SMALL(SimData!$B$9:$B$508,482)</f>
        <v>140819.95397212176</v>
      </c>
      <c r="G485">
        <f>1/(COUNT(SimData!$B$9:$B$508)-1)+$G$484</f>
        <v>0.9639278557114237</v>
      </c>
    </row>
    <row r="486" spans="1:7">
      <c r="A486">
        <v>478</v>
      </c>
      <c r="B486">
        <v>38018.395339913135</v>
      </c>
      <c r="F486">
        <f>SMALL(SimData!$B$9:$B$508,483)</f>
        <v>141908.33200059546</v>
      </c>
      <c r="G486">
        <f>1/(COUNT(SimData!$B$9:$B$508)-1)+$G$485</f>
        <v>0.96593186372745576</v>
      </c>
    </row>
    <row r="487" spans="1:7">
      <c r="A487">
        <v>479</v>
      </c>
      <c r="B487">
        <v>39206.839622759057</v>
      </c>
      <c r="F487">
        <f>SMALL(SimData!$B$9:$B$508,484)</f>
        <v>142956.82437949989</v>
      </c>
      <c r="G487">
        <f>1/(COUNT(SimData!$B$9:$B$508)-1)+$G$486</f>
        <v>0.96793587174348783</v>
      </c>
    </row>
    <row r="488" spans="1:7">
      <c r="A488">
        <v>480</v>
      </c>
      <c r="B488">
        <v>80730.362112639545</v>
      </c>
      <c r="F488">
        <f>SMALL(SimData!$B$9:$B$508,485)</f>
        <v>146215.32149174402</v>
      </c>
      <c r="G488">
        <f>1/(COUNT(SimData!$B$9:$B$508)-1)+$G$487</f>
        <v>0.9699398797595199</v>
      </c>
    </row>
    <row r="489" spans="1:7">
      <c r="A489">
        <v>481</v>
      </c>
      <c r="B489">
        <v>58378.379653658529</v>
      </c>
      <c r="F489">
        <f>SMALL(SimData!$B$9:$B$508,486)</f>
        <v>148410.80402955125</v>
      </c>
      <c r="G489">
        <f>1/(COUNT(SimData!$B$9:$B$508)-1)+$G$488</f>
        <v>0.97194388777555196</v>
      </c>
    </row>
    <row r="490" spans="1:7">
      <c r="A490">
        <v>482</v>
      </c>
      <c r="B490">
        <v>70017.405059364741</v>
      </c>
      <c r="F490">
        <f>SMALL(SimData!$B$9:$B$508,487)</f>
        <v>151396.68449902197</v>
      </c>
      <c r="G490">
        <f>1/(COUNT(SimData!$B$9:$B$508)-1)+$G$489</f>
        <v>0.97394789579158403</v>
      </c>
    </row>
    <row r="491" spans="1:7">
      <c r="A491">
        <v>483</v>
      </c>
      <c r="B491">
        <v>74986.198749527946</v>
      </c>
      <c r="F491">
        <f>SMALL(SimData!$B$9:$B$508,488)</f>
        <v>151601.85708986042</v>
      </c>
      <c r="G491">
        <f>1/(COUNT(SimData!$B$9:$B$508)-1)+$G$490</f>
        <v>0.97595190380761609</v>
      </c>
    </row>
    <row r="492" spans="1:7">
      <c r="A492">
        <v>484</v>
      </c>
      <c r="B492">
        <v>93432.882630969165</v>
      </c>
      <c r="F492">
        <f>SMALL(SimData!$B$9:$B$508,489)</f>
        <v>152884.55325010975</v>
      </c>
      <c r="G492">
        <f>1/(COUNT(SimData!$B$9:$B$508)-1)+$G$491</f>
        <v>0.97795591182364816</v>
      </c>
    </row>
    <row r="493" spans="1:7">
      <c r="A493">
        <v>485</v>
      </c>
      <c r="B493">
        <v>16980.596155423009</v>
      </c>
      <c r="F493">
        <f>SMALL(SimData!$B$9:$B$508,490)</f>
        <v>154358.11273537876</v>
      </c>
      <c r="G493">
        <f>1/(COUNT(SimData!$B$9:$B$508)-1)+$G$492</f>
        <v>0.97995991983968023</v>
      </c>
    </row>
    <row r="494" spans="1:7">
      <c r="A494">
        <v>486</v>
      </c>
      <c r="B494">
        <v>48258.246862089843</v>
      </c>
      <c r="F494">
        <f>SMALL(SimData!$B$9:$B$508,491)</f>
        <v>155562.14001641062</v>
      </c>
      <c r="G494">
        <f>1/(COUNT(SimData!$B$9:$B$508)-1)+$G$493</f>
        <v>0.98196392785571229</v>
      </c>
    </row>
    <row r="495" spans="1:7">
      <c r="A495">
        <v>487</v>
      </c>
      <c r="B495">
        <v>66900.723287205765</v>
      </c>
      <c r="F495">
        <f>SMALL(SimData!$B$9:$B$508,492)</f>
        <v>156630.42423256391</v>
      </c>
      <c r="G495">
        <f>1/(COUNT(SimData!$B$9:$B$508)-1)+$G$494</f>
        <v>0.98396793587174436</v>
      </c>
    </row>
    <row r="496" spans="1:7">
      <c r="A496">
        <v>488</v>
      </c>
      <c r="B496">
        <v>36501.951819611961</v>
      </c>
      <c r="F496">
        <f>SMALL(SimData!$B$9:$B$508,493)</f>
        <v>157311.7544337085</v>
      </c>
      <c r="G496">
        <f>1/(COUNT(SimData!$B$9:$B$508)-1)+$G$495</f>
        <v>0.98597194388777643</v>
      </c>
    </row>
    <row r="497" spans="1:7">
      <c r="A497">
        <v>489</v>
      </c>
      <c r="B497">
        <v>24085.254864481416</v>
      </c>
      <c r="F497">
        <f>SMALL(SimData!$B$9:$B$508,494)</f>
        <v>163629.1223003284</v>
      </c>
      <c r="G497">
        <f>1/(COUNT(SimData!$B$9:$B$508)-1)+$G$496</f>
        <v>0.98797595190380849</v>
      </c>
    </row>
    <row r="498" spans="1:7">
      <c r="A498">
        <v>490</v>
      </c>
      <c r="B498">
        <v>52893.532206528354</v>
      </c>
      <c r="F498">
        <f>SMALL(SimData!$B$9:$B$508,495)</f>
        <v>168147.90332219447</v>
      </c>
      <c r="G498">
        <f>1/(COUNT(SimData!$B$9:$B$508)-1)+$G$497</f>
        <v>0.98997995991984056</v>
      </c>
    </row>
    <row r="499" spans="1:7">
      <c r="A499">
        <v>491</v>
      </c>
      <c r="B499">
        <v>45487.606655530559</v>
      </c>
      <c r="F499">
        <f>SMALL(SimData!$B$9:$B$508,496)</f>
        <v>168223.56021113729</v>
      </c>
      <c r="G499">
        <f>1/(COUNT(SimData!$B$9:$B$508)-1)+$G$498</f>
        <v>0.99198396793587262</v>
      </c>
    </row>
    <row r="500" spans="1:7">
      <c r="A500">
        <v>492</v>
      </c>
      <c r="B500">
        <v>72492.016769038935</v>
      </c>
      <c r="F500">
        <f>SMALL(SimData!$B$9:$B$508,497)</f>
        <v>169188.50916312484</v>
      </c>
      <c r="G500">
        <f>1/(COUNT(SimData!$B$9:$B$508)-1)+$G$499</f>
        <v>0.99398797595190469</v>
      </c>
    </row>
    <row r="501" spans="1:7">
      <c r="A501">
        <v>493</v>
      </c>
      <c r="B501">
        <v>0</v>
      </c>
      <c r="F501">
        <f>SMALL(SimData!$B$9:$B$508,498)</f>
        <v>171069.94563974557</v>
      </c>
      <c r="G501">
        <f>1/(COUNT(SimData!$B$9:$B$508)-1)+$G$500</f>
        <v>0.99599198396793676</v>
      </c>
    </row>
    <row r="502" spans="1:7">
      <c r="A502">
        <v>494</v>
      </c>
      <c r="B502">
        <v>46239.212359621801</v>
      </c>
      <c r="F502">
        <f>SMALL(SimData!$B$9:$B$508,499)</f>
        <v>176302.16478262411</v>
      </c>
      <c r="G502">
        <f>1/(COUNT(SimData!$B$9:$B$508)-1)+$G$501</f>
        <v>0.99799599198396882</v>
      </c>
    </row>
    <row r="503" spans="1:7">
      <c r="A503">
        <v>495</v>
      </c>
      <c r="B503">
        <v>66385.867160907539</v>
      </c>
      <c r="F503">
        <f>SMALL(SimData!$B$9:$B$508,500)</f>
        <v>202214.77684477341</v>
      </c>
      <c r="G503">
        <f>1/(COUNT(SimData!$B$9:$B$508)-1)+$G$502</f>
        <v>1.0000000000000009</v>
      </c>
    </row>
    <row r="504" spans="1:7">
      <c r="A504">
        <v>496</v>
      </c>
      <c r="B504">
        <v>82377.258738664284</v>
      </c>
    </row>
    <row r="505" spans="1:7">
      <c r="A505">
        <v>497</v>
      </c>
      <c r="B505">
        <v>106354.71037101446</v>
      </c>
    </row>
    <row r="506" spans="1:7">
      <c r="A506">
        <v>498</v>
      </c>
      <c r="B506">
        <v>133346.79161857947</v>
      </c>
    </row>
    <row r="507" spans="1:7">
      <c r="A507">
        <v>499</v>
      </c>
      <c r="B507">
        <v>110527.70102072215</v>
      </c>
    </row>
    <row r="508" spans="1:7">
      <c r="A508">
        <v>500</v>
      </c>
      <c r="B508">
        <v>79280.512836756679</v>
      </c>
    </row>
    <row r="510" spans="1:7">
      <c r="A510" t="s">
        <v>52</v>
      </c>
      <c r="B510">
        <v>0</v>
      </c>
    </row>
    <row r="511" spans="1:7">
      <c r="A511" t="s">
        <v>53</v>
      </c>
      <c r="B511">
        <f>IF(ISBLANK($B510)=TRUE,"",_xll.EDF(B9:B508,$B510))</f>
        <v>0.03</v>
      </c>
    </row>
    <row r="512" spans="1:7">
      <c r="A512" t="s">
        <v>54</v>
      </c>
      <c r="B512">
        <v>50000</v>
      </c>
    </row>
    <row r="513" spans="1:2">
      <c r="A513" t="s">
        <v>55</v>
      </c>
      <c r="B513">
        <f>IF(ISBLANK($B512)=TRUE,"",_xll.EDF(B9:B508,$B512))</f>
        <v>0.3500756456078149</v>
      </c>
    </row>
    <row r="514" spans="1:2">
      <c r="A514" t="s">
        <v>56</v>
      </c>
      <c r="B514">
        <v>100000</v>
      </c>
    </row>
    <row r="515" spans="1:2">
      <c r="A515" t="s">
        <v>57</v>
      </c>
      <c r="B515">
        <f>IF(ISBLANK($B514)=TRUE,"",_xll.EDF(B9:B508,$B514))</f>
        <v>0.82058305391556408</v>
      </c>
    </row>
    <row r="516" spans="1:2">
      <c r="A516" t="s">
        <v>58</v>
      </c>
    </row>
    <row r="517" spans="1:2">
      <c r="A517" t="s">
        <v>59</v>
      </c>
      <c r="B517" t="str">
        <f>IF(ISBLANK($B516)=TRUE,"",_xll.EDF(B9:B508,$B516))</f>
        <v/>
      </c>
    </row>
    <row r="518" spans="1:2">
      <c r="A518" t="s">
        <v>60</v>
      </c>
    </row>
    <row r="519" spans="1:2">
      <c r="A519" t="s">
        <v>61</v>
      </c>
      <c r="B519" t="str">
        <f>IF(ISBLANK($B518)=TRUE,"",_xll.EDF(B9:B508,$B518))</f>
        <v/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workbookViewId="0">
      <selection activeCell="A3" sqref="A3"/>
    </sheetView>
  </sheetViews>
  <sheetFormatPr defaultRowHeight="15"/>
  <cols>
    <col min="1" max="1" width="12.85546875" customWidth="1"/>
    <col min="2" max="2" width="10.5703125" bestFit="1" customWidth="1"/>
  </cols>
  <sheetData>
    <row r="1" spans="1:32">
      <c r="A1" t="str">
        <f ca="1">_xll.WBNAME()</f>
        <v>2010 HWK 1-6.xlsx</v>
      </c>
    </row>
    <row r="2" spans="1:32"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  <c r="S2" t="s">
        <v>30</v>
      </c>
      <c r="T2" t="s">
        <v>31</v>
      </c>
      <c r="U2" t="s">
        <v>32</v>
      </c>
      <c r="V2" t="s">
        <v>33</v>
      </c>
      <c r="W2" t="s">
        <v>34</v>
      </c>
      <c r="X2" t="s">
        <v>35</v>
      </c>
      <c r="Y2" t="s">
        <v>36</v>
      </c>
      <c r="Z2" t="s">
        <v>37</v>
      </c>
      <c r="AA2" t="s">
        <v>38</v>
      </c>
      <c r="AB2" t="s">
        <v>39</v>
      </c>
      <c r="AC2" t="s">
        <v>40</v>
      </c>
      <c r="AD2" t="s">
        <v>41</v>
      </c>
      <c r="AE2" t="s">
        <v>42</v>
      </c>
      <c r="AF2" t="s">
        <v>43</v>
      </c>
    </row>
    <row r="3" spans="1:32">
      <c r="A3" t="s">
        <v>0</v>
      </c>
      <c r="B3">
        <v>0.12</v>
      </c>
      <c r="C3">
        <v>0.12</v>
      </c>
      <c r="D3">
        <v>0.12</v>
      </c>
      <c r="E3">
        <v>0.12</v>
      </c>
      <c r="F3">
        <v>0.12</v>
      </c>
      <c r="G3">
        <v>0.12</v>
      </c>
      <c r="H3">
        <v>0.12</v>
      </c>
      <c r="I3">
        <v>0.12</v>
      </c>
      <c r="J3">
        <v>0.12</v>
      </c>
      <c r="K3">
        <v>0.12</v>
      </c>
      <c r="L3">
        <v>0.12</v>
      </c>
      <c r="M3">
        <v>0.12</v>
      </c>
      <c r="N3">
        <v>0.12</v>
      </c>
      <c r="O3">
        <v>0.12</v>
      </c>
      <c r="P3">
        <v>0.12</v>
      </c>
      <c r="Q3">
        <v>0.12</v>
      </c>
      <c r="R3">
        <v>0.12</v>
      </c>
      <c r="S3">
        <v>0.12</v>
      </c>
      <c r="T3">
        <v>0.12</v>
      </c>
      <c r="U3">
        <v>0.12</v>
      </c>
      <c r="V3">
        <v>0.12</v>
      </c>
      <c r="W3">
        <v>0.12</v>
      </c>
      <c r="X3">
        <v>0.12</v>
      </c>
      <c r="Y3">
        <v>0.12</v>
      </c>
      <c r="Z3">
        <v>0.12</v>
      </c>
      <c r="AA3">
        <v>0.12</v>
      </c>
      <c r="AB3">
        <v>0.12</v>
      </c>
      <c r="AC3">
        <v>0.12</v>
      </c>
      <c r="AD3">
        <v>0.12</v>
      </c>
      <c r="AE3">
        <v>0.12</v>
      </c>
      <c r="AF3">
        <v>0.12</v>
      </c>
    </row>
    <row r="4" spans="1:32">
      <c r="A4" t="s">
        <v>1</v>
      </c>
    </row>
    <row r="5" spans="1:32">
      <c r="A5" t="s">
        <v>2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</row>
    <row r="6" spans="1:32">
      <c r="A6" t="s">
        <v>3</v>
      </c>
      <c r="B6">
        <v>0.3</v>
      </c>
      <c r="C6">
        <v>0.3</v>
      </c>
      <c r="D6">
        <v>0.3</v>
      </c>
      <c r="E6">
        <v>0.3</v>
      </c>
      <c r="F6">
        <v>0.3</v>
      </c>
      <c r="G6">
        <v>0.3</v>
      </c>
      <c r="H6">
        <v>0.3</v>
      </c>
      <c r="I6">
        <v>0.3</v>
      </c>
      <c r="J6">
        <v>0.3</v>
      </c>
      <c r="K6">
        <v>0.3</v>
      </c>
      <c r="L6">
        <v>0.3</v>
      </c>
      <c r="M6">
        <v>0.3</v>
      </c>
      <c r="N6">
        <v>0.3</v>
      </c>
      <c r="O6">
        <v>0.3</v>
      </c>
      <c r="P6">
        <v>0.3</v>
      </c>
      <c r="Q6">
        <v>0.3</v>
      </c>
      <c r="R6">
        <v>0.3</v>
      </c>
      <c r="S6">
        <v>0.3</v>
      </c>
      <c r="T6">
        <v>0.3</v>
      </c>
      <c r="U6">
        <v>0.3</v>
      </c>
      <c r="V6">
        <v>0.3</v>
      </c>
      <c r="W6">
        <v>0.3</v>
      </c>
      <c r="X6">
        <v>0.3</v>
      </c>
      <c r="Y6">
        <v>0.3</v>
      </c>
      <c r="Z6">
        <v>0.3</v>
      </c>
      <c r="AA6">
        <v>0.3</v>
      </c>
      <c r="AB6">
        <v>0.3</v>
      </c>
      <c r="AC6">
        <v>0.3</v>
      </c>
      <c r="AD6">
        <v>0.3</v>
      </c>
      <c r="AE6">
        <v>0.3</v>
      </c>
      <c r="AF6">
        <v>0.3</v>
      </c>
    </row>
    <row r="7" spans="1:32">
      <c r="A7" t="s">
        <v>4</v>
      </c>
      <c r="B7">
        <v>22610</v>
      </c>
      <c r="C7">
        <v>22610</v>
      </c>
      <c r="D7">
        <v>22610</v>
      </c>
      <c r="E7">
        <v>22610</v>
      </c>
      <c r="F7">
        <v>22610</v>
      </c>
      <c r="G7">
        <v>22610</v>
      </c>
      <c r="H7">
        <v>22610</v>
      </c>
      <c r="I7">
        <v>22610</v>
      </c>
      <c r="J7">
        <v>22610</v>
      </c>
      <c r="K7">
        <v>22610</v>
      </c>
      <c r="L7">
        <v>22610</v>
      </c>
      <c r="M7">
        <v>22610</v>
      </c>
      <c r="N7">
        <v>22610</v>
      </c>
      <c r="O7">
        <v>22610</v>
      </c>
      <c r="P7">
        <v>22610</v>
      </c>
      <c r="Q7">
        <v>22610</v>
      </c>
      <c r="R7">
        <v>22610</v>
      </c>
      <c r="S7">
        <v>22610</v>
      </c>
      <c r="T7">
        <v>22610</v>
      </c>
      <c r="U7">
        <v>22610</v>
      </c>
      <c r="V7">
        <v>22610</v>
      </c>
      <c r="W7">
        <v>22610</v>
      </c>
      <c r="X7">
        <v>22610</v>
      </c>
      <c r="Y7">
        <v>22610</v>
      </c>
      <c r="Z7">
        <v>22610</v>
      </c>
      <c r="AA7">
        <v>22610</v>
      </c>
      <c r="AB7">
        <v>22610</v>
      </c>
      <c r="AC7">
        <v>22610</v>
      </c>
      <c r="AD7">
        <v>22610</v>
      </c>
      <c r="AE7">
        <v>22610</v>
      </c>
      <c r="AF7">
        <v>22610</v>
      </c>
    </row>
    <row r="8" spans="1:32">
      <c r="A8" t="s">
        <v>5</v>
      </c>
      <c r="B8">
        <v>0.2</v>
      </c>
      <c r="C8">
        <v>0.2</v>
      </c>
      <c r="D8">
        <v>0.2</v>
      </c>
      <c r="E8">
        <v>0.2</v>
      </c>
      <c r="F8">
        <v>0.2</v>
      </c>
      <c r="G8">
        <v>0.2</v>
      </c>
      <c r="H8">
        <v>0.2</v>
      </c>
      <c r="I8">
        <v>0.2</v>
      </c>
      <c r="J8">
        <v>0.2</v>
      </c>
      <c r="K8">
        <v>0.2</v>
      </c>
      <c r="L8">
        <v>0.2</v>
      </c>
      <c r="M8">
        <v>0.2</v>
      </c>
      <c r="N8">
        <v>0.2</v>
      </c>
      <c r="O8">
        <v>0.2</v>
      </c>
      <c r="P8">
        <v>0.2</v>
      </c>
      <c r="Q8">
        <v>0.2</v>
      </c>
      <c r="R8">
        <v>0.2</v>
      </c>
      <c r="S8">
        <v>0.2</v>
      </c>
      <c r="T8">
        <v>0.2</v>
      </c>
      <c r="U8">
        <v>0.2</v>
      </c>
      <c r="V8">
        <v>0.2</v>
      </c>
      <c r="W8">
        <v>0.2</v>
      </c>
      <c r="X8">
        <v>0.2</v>
      </c>
      <c r="Y8">
        <v>0.2</v>
      </c>
      <c r="Z8">
        <v>0.2</v>
      </c>
      <c r="AA8">
        <v>0.2</v>
      </c>
      <c r="AB8">
        <v>0.2</v>
      </c>
      <c r="AC8">
        <v>0.2</v>
      </c>
      <c r="AD8">
        <v>0.2</v>
      </c>
      <c r="AE8">
        <v>0.2</v>
      </c>
      <c r="AF8">
        <v>0.2</v>
      </c>
    </row>
    <row r="10" spans="1:32">
      <c r="A10" t="s">
        <v>6</v>
      </c>
    </row>
    <row r="11" spans="1:32">
      <c r="A11" t="s">
        <v>7</v>
      </c>
      <c r="B11">
        <f ca="1">_xll.BERNOULLI(B3)</f>
        <v>0</v>
      </c>
      <c r="C11">
        <f ca="1">_xll.BERNOULLI(C3)</f>
        <v>0</v>
      </c>
      <c r="D11">
        <f ca="1">_xll.BERNOULLI(D3)</f>
        <v>0</v>
      </c>
      <c r="E11">
        <f ca="1">_xll.BERNOULLI(E3)</f>
        <v>0</v>
      </c>
      <c r="F11">
        <f ca="1">_xll.BERNOULLI(F3)</f>
        <v>0</v>
      </c>
      <c r="G11">
        <f ca="1">_xll.BERNOULLI(G3)</f>
        <v>0</v>
      </c>
      <c r="H11">
        <f ca="1">_xll.BERNOULLI(H3)</f>
        <v>0</v>
      </c>
      <c r="I11">
        <f ca="1">_xll.BERNOULLI(I3)</f>
        <v>0</v>
      </c>
      <c r="J11">
        <f ca="1">_xll.BERNOULLI(J3)</f>
        <v>0</v>
      </c>
      <c r="K11">
        <f ca="1">_xll.BERNOULLI(K3)</f>
        <v>0</v>
      </c>
      <c r="L11">
        <f ca="1">_xll.BERNOULLI(L3)</f>
        <v>0</v>
      </c>
      <c r="M11">
        <f ca="1">_xll.BERNOULLI(M3)</f>
        <v>0</v>
      </c>
      <c r="N11">
        <f ca="1">_xll.BERNOULLI(N3)</f>
        <v>0</v>
      </c>
      <c r="O11">
        <f ca="1">_xll.BERNOULLI(O3)</f>
        <v>0</v>
      </c>
      <c r="P11">
        <f ca="1">_xll.BERNOULLI(P3)</f>
        <v>1</v>
      </c>
      <c r="Q11">
        <f ca="1">_xll.BERNOULLI(Q3)</f>
        <v>0</v>
      </c>
      <c r="R11">
        <f ca="1">_xll.BERNOULLI(R3)</f>
        <v>0</v>
      </c>
      <c r="S11">
        <f ca="1">_xll.BERNOULLI(S3)</f>
        <v>1</v>
      </c>
      <c r="T11">
        <f ca="1">_xll.BERNOULLI(T3)</f>
        <v>0</v>
      </c>
      <c r="U11">
        <f ca="1">_xll.BERNOULLI(U3)</f>
        <v>0</v>
      </c>
      <c r="V11">
        <f ca="1">_xll.BERNOULLI(V3)</f>
        <v>0</v>
      </c>
      <c r="W11">
        <f ca="1">_xll.BERNOULLI(W3)</f>
        <v>0</v>
      </c>
      <c r="X11">
        <f ca="1">_xll.BERNOULLI(X3)</f>
        <v>0</v>
      </c>
      <c r="Y11">
        <f ca="1">_xll.BERNOULLI(Y3)</f>
        <v>0</v>
      </c>
      <c r="Z11">
        <f ca="1">_xll.BERNOULLI(Z3)</f>
        <v>0</v>
      </c>
      <c r="AA11">
        <f ca="1">_xll.BERNOULLI(AA3)</f>
        <v>0</v>
      </c>
      <c r="AB11">
        <f ca="1">_xll.BERNOULLI(AB3)</f>
        <v>0</v>
      </c>
      <c r="AC11">
        <f ca="1">_xll.BERNOULLI(AC3)</f>
        <v>0</v>
      </c>
      <c r="AD11">
        <f ca="1">_xll.BERNOULLI(AD3)</f>
        <v>0</v>
      </c>
      <c r="AE11">
        <f ca="1">_xll.BERNOULLI(AE3)</f>
        <v>0</v>
      </c>
      <c r="AF11">
        <f ca="1">_xll.BERNOULLI(AF3)</f>
        <v>1</v>
      </c>
    </row>
    <row r="12" spans="1:32">
      <c r="A12" t="s">
        <v>8</v>
      </c>
      <c r="B12">
        <f ca="1">_xll.NORM(B5,B6)</f>
        <v>0.85409074281867492</v>
      </c>
      <c r="C12">
        <f ca="1">_xll.NORM(C5,C6)</f>
        <v>0.82495604057161076</v>
      </c>
      <c r="D12">
        <f ca="1">_xll.NORM(D5,D6)</f>
        <v>1.0350074585302445</v>
      </c>
      <c r="E12">
        <f ca="1">_xll.NORM(E5,E6)</f>
        <v>1.2432400312006537</v>
      </c>
      <c r="F12">
        <f ca="1">_xll.NORM(F5,F6)</f>
        <v>0.89978517777863765</v>
      </c>
      <c r="G12">
        <f ca="1">_xll.NORM(G5,G6)</f>
        <v>1.3215375896102699</v>
      </c>
      <c r="H12">
        <f ca="1">_xll.NORM(H5,H6)</f>
        <v>1.1970199340460115</v>
      </c>
      <c r="I12">
        <f ca="1">_xll.NORM(I5,I6)</f>
        <v>0.97276824616813551</v>
      </c>
      <c r="J12">
        <f ca="1">_xll.NORM(J5,J6)</f>
        <v>0.89218137635216643</v>
      </c>
      <c r="K12">
        <f ca="1">_xll.NORM(K5,K6)</f>
        <v>0.95628888345729646</v>
      </c>
      <c r="L12">
        <f ca="1">_xll.NORM(L5,L6)</f>
        <v>1.0651085875225208</v>
      </c>
      <c r="M12">
        <f ca="1">_xll.NORM(M5,M6)</f>
        <v>0.90758986790260321</v>
      </c>
      <c r="N12">
        <f ca="1">_xll.NORM(N5,N6)</f>
        <v>1.1011616844258294</v>
      </c>
      <c r="O12">
        <f ca="1">_xll.NORM(O5,O6)</f>
        <v>1.0434560009073355</v>
      </c>
      <c r="P12">
        <f ca="1">_xll.NORM(P5,P6)</f>
        <v>0.98689202933658426</v>
      </c>
      <c r="Q12">
        <f ca="1">_xll.NORM(Q5,Q6)</f>
        <v>1.2942218627211779</v>
      </c>
      <c r="R12">
        <f ca="1">_xll.NORM(R5,R6)</f>
        <v>0.73184319493256966</v>
      </c>
      <c r="S12">
        <f ca="1">_xll.NORM(S5,S6)</f>
        <v>0.29872676890788896</v>
      </c>
      <c r="T12">
        <f ca="1">_xll.NORM(T5,T6)</f>
        <v>0.63084674147184161</v>
      </c>
      <c r="U12">
        <f ca="1">_xll.NORM(U5,U6)</f>
        <v>0.47693534732721532</v>
      </c>
      <c r="V12">
        <f ca="1">_xll.NORM(V5,V6)</f>
        <v>0.77013252504393914</v>
      </c>
      <c r="W12">
        <f ca="1">_xll.NORM(W5,W6)</f>
        <v>0.80323624125308646</v>
      </c>
      <c r="X12">
        <f ca="1">_xll.NORM(X5,X6)</f>
        <v>0.93195127246747234</v>
      </c>
      <c r="Y12">
        <f ca="1">_xll.NORM(Y5,Y6)</f>
        <v>1.1638991123904219</v>
      </c>
      <c r="Z12">
        <f ca="1">_xll.NORM(Z5,Z6)</f>
        <v>0.95677589512552541</v>
      </c>
      <c r="AA12">
        <f ca="1">_xll.NORM(AA5,AA6)</f>
        <v>0.66638265104602401</v>
      </c>
      <c r="AB12">
        <f ca="1">_xll.NORM(AB5,AB6)</f>
        <v>1.0331827488203844</v>
      </c>
      <c r="AC12">
        <f ca="1">_xll.NORM(AC5,AC6)</f>
        <v>1.3197499734921923</v>
      </c>
      <c r="AD12">
        <f ca="1">_xll.NORM(AD5,AD6)</f>
        <v>1.2596415920311244</v>
      </c>
      <c r="AE12">
        <f ca="1">_xll.NORM(AE5,AE6)</f>
        <v>0.76657680921635496</v>
      </c>
      <c r="AF12">
        <f ca="1">_xll.NORM(AF5,AF6)</f>
        <v>1.4293266218010121</v>
      </c>
    </row>
    <row r="13" spans="1:32">
      <c r="A13" t="s">
        <v>9</v>
      </c>
      <c r="B13">
        <f ca="1">B11*B12</f>
        <v>0</v>
      </c>
      <c r="C13">
        <f t="shared" ref="C13:AF13" ca="1" si="0">C11*C12</f>
        <v>0</v>
      </c>
      <c r="D13">
        <f t="shared" ca="1" si="0"/>
        <v>0</v>
      </c>
      <c r="E13">
        <f t="shared" ca="1" si="0"/>
        <v>0</v>
      </c>
      <c r="F13">
        <f t="shared" ca="1" si="0"/>
        <v>0</v>
      </c>
      <c r="G13">
        <f t="shared" ca="1" si="0"/>
        <v>0</v>
      </c>
      <c r="H13">
        <f t="shared" ca="1" si="0"/>
        <v>0</v>
      </c>
      <c r="I13">
        <f t="shared" ca="1" si="0"/>
        <v>0</v>
      </c>
      <c r="J13">
        <f t="shared" ca="1" si="0"/>
        <v>0</v>
      </c>
      <c r="K13">
        <f t="shared" ca="1" si="0"/>
        <v>0</v>
      </c>
      <c r="L13">
        <f t="shared" ca="1" si="0"/>
        <v>0</v>
      </c>
      <c r="M13">
        <f t="shared" ca="1" si="0"/>
        <v>0</v>
      </c>
      <c r="N13">
        <f t="shared" ca="1" si="0"/>
        <v>0</v>
      </c>
      <c r="O13">
        <f t="shared" ca="1" si="0"/>
        <v>0</v>
      </c>
      <c r="P13">
        <f t="shared" ca="1" si="0"/>
        <v>0.98689202933658426</v>
      </c>
      <c r="Q13">
        <f t="shared" ca="1" si="0"/>
        <v>0</v>
      </c>
      <c r="R13">
        <f t="shared" ca="1" si="0"/>
        <v>0</v>
      </c>
      <c r="S13">
        <f t="shared" ca="1" si="0"/>
        <v>0.29872676890788896</v>
      </c>
      <c r="T13">
        <f t="shared" ca="1" si="0"/>
        <v>0</v>
      </c>
      <c r="U13">
        <f t="shared" ca="1" si="0"/>
        <v>0</v>
      </c>
      <c r="V13">
        <f t="shared" ca="1" si="0"/>
        <v>0</v>
      </c>
      <c r="W13">
        <f t="shared" ca="1" si="0"/>
        <v>0</v>
      </c>
      <c r="X13">
        <f t="shared" ca="1" si="0"/>
        <v>0</v>
      </c>
      <c r="Y13">
        <f t="shared" ca="1" si="0"/>
        <v>0</v>
      </c>
      <c r="Z13">
        <f t="shared" ca="1" si="0"/>
        <v>0</v>
      </c>
      <c r="AA13">
        <f t="shared" ca="1" si="0"/>
        <v>0</v>
      </c>
      <c r="AB13">
        <f t="shared" ca="1" si="0"/>
        <v>0</v>
      </c>
      <c r="AC13">
        <f t="shared" ca="1" si="0"/>
        <v>0</v>
      </c>
      <c r="AD13">
        <f t="shared" ca="1" si="0"/>
        <v>0</v>
      </c>
      <c r="AE13">
        <f t="shared" ca="1" si="0"/>
        <v>0</v>
      </c>
      <c r="AF13">
        <f t="shared" ca="1" si="0"/>
        <v>1.4293266218010121</v>
      </c>
    </row>
    <row r="14" spans="1:32">
      <c r="A14" t="s">
        <v>10</v>
      </c>
      <c r="B14">
        <f ca="1">B13*B7</f>
        <v>0</v>
      </c>
      <c r="C14">
        <f t="shared" ref="C14:AF14" ca="1" si="1">C13*C7</f>
        <v>0</v>
      </c>
      <c r="D14">
        <f t="shared" ca="1" si="1"/>
        <v>0</v>
      </c>
      <c r="E14">
        <f t="shared" ca="1" si="1"/>
        <v>0</v>
      </c>
      <c r="F14">
        <f t="shared" ca="1" si="1"/>
        <v>0</v>
      </c>
      <c r="G14">
        <f t="shared" ca="1" si="1"/>
        <v>0</v>
      </c>
      <c r="H14">
        <f t="shared" ca="1" si="1"/>
        <v>0</v>
      </c>
      <c r="I14">
        <f t="shared" ca="1" si="1"/>
        <v>0</v>
      </c>
      <c r="J14">
        <f t="shared" ca="1" si="1"/>
        <v>0</v>
      </c>
      <c r="K14">
        <f t="shared" ca="1" si="1"/>
        <v>0</v>
      </c>
      <c r="L14">
        <f t="shared" ca="1" si="1"/>
        <v>0</v>
      </c>
      <c r="M14">
        <f t="shared" ca="1" si="1"/>
        <v>0</v>
      </c>
      <c r="N14">
        <f t="shared" ca="1" si="1"/>
        <v>0</v>
      </c>
      <c r="O14">
        <f t="shared" ca="1" si="1"/>
        <v>0</v>
      </c>
      <c r="P14">
        <f t="shared" ca="1" si="1"/>
        <v>22313.62878330017</v>
      </c>
      <c r="Q14">
        <f t="shared" ca="1" si="1"/>
        <v>0</v>
      </c>
      <c r="R14">
        <f t="shared" ca="1" si="1"/>
        <v>0</v>
      </c>
      <c r="S14">
        <f t="shared" ca="1" si="1"/>
        <v>6754.2122450073693</v>
      </c>
      <c r="T14">
        <f t="shared" ca="1" si="1"/>
        <v>0</v>
      </c>
      <c r="U14">
        <f t="shared" ca="1" si="1"/>
        <v>0</v>
      </c>
      <c r="V14">
        <f t="shared" ca="1" si="1"/>
        <v>0</v>
      </c>
      <c r="W14">
        <f t="shared" ca="1" si="1"/>
        <v>0</v>
      </c>
      <c r="X14">
        <f t="shared" ca="1" si="1"/>
        <v>0</v>
      </c>
      <c r="Y14">
        <f t="shared" ca="1" si="1"/>
        <v>0</v>
      </c>
      <c r="Z14">
        <f t="shared" ca="1" si="1"/>
        <v>0</v>
      </c>
      <c r="AA14">
        <f t="shared" ca="1" si="1"/>
        <v>0</v>
      </c>
      <c r="AB14">
        <f t="shared" ca="1" si="1"/>
        <v>0</v>
      </c>
      <c r="AC14">
        <f t="shared" ca="1" si="1"/>
        <v>0</v>
      </c>
      <c r="AD14">
        <f t="shared" ca="1" si="1"/>
        <v>0</v>
      </c>
      <c r="AE14">
        <f t="shared" ca="1" si="1"/>
        <v>0</v>
      </c>
      <c r="AF14">
        <f t="shared" ca="1" si="1"/>
        <v>32317.074918920884</v>
      </c>
    </row>
    <row r="15" spans="1:32">
      <c r="A15" t="s">
        <v>11</v>
      </c>
      <c r="B15">
        <f ca="1">0.2*B14</f>
        <v>0</v>
      </c>
      <c r="C15">
        <f t="shared" ref="C15:AF15" ca="1" si="2">0.2*C14</f>
        <v>0</v>
      </c>
      <c r="D15">
        <f t="shared" ca="1" si="2"/>
        <v>0</v>
      </c>
      <c r="E15">
        <f t="shared" ca="1" si="2"/>
        <v>0</v>
      </c>
      <c r="F15">
        <f t="shared" ca="1" si="2"/>
        <v>0</v>
      </c>
      <c r="G15">
        <f t="shared" ca="1" si="2"/>
        <v>0</v>
      </c>
      <c r="H15">
        <f t="shared" ca="1" si="2"/>
        <v>0</v>
      </c>
      <c r="I15">
        <f t="shared" ca="1" si="2"/>
        <v>0</v>
      </c>
      <c r="J15">
        <f t="shared" ca="1" si="2"/>
        <v>0</v>
      </c>
      <c r="K15">
        <f t="shared" ca="1" si="2"/>
        <v>0</v>
      </c>
      <c r="L15">
        <f t="shared" ca="1" si="2"/>
        <v>0</v>
      </c>
      <c r="M15">
        <f t="shared" ca="1" si="2"/>
        <v>0</v>
      </c>
      <c r="N15">
        <f t="shared" ca="1" si="2"/>
        <v>0</v>
      </c>
      <c r="O15">
        <f t="shared" ca="1" si="2"/>
        <v>0</v>
      </c>
      <c r="P15">
        <f t="shared" ca="1" si="2"/>
        <v>4462.7257566600338</v>
      </c>
      <c r="Q15">
        <f t="shared" ca="1" si="2"/>
        <v>0</v>
      </c>
      <c r="R15">
        <f t="shared" ca="1" si="2"/>
        <v>0</v>
      </c>
      <c r="S15">
        <f t="shared" ca="1" si="2"/>
        <v>1350.8424490014741</v>
      </c>
      <c r="T15">
        <f t="shared" ca="1" si="2"/>
        <v>0</v>
      </c>
      <c r="U15">
        <f t="shared" ca="1" si="2"/>
        <v>0</v>
      </c>
      <c r="V15">
        <f t="shared" ca="1" si="2"/>
        <v>0</v>
      </c>
      <c r="W15">
        <f t="shared" ca="1" si="2"/>
        <v>0</v>
      </c>
      <c r="X15">
        <f t="shared" ca="1" si="2"/>
        <v>0</v>
      </c>
      <c r="Y15">
        <f t="shared" ca="1" si="2"/>
        <v>0</v>
      </c>
      <c r="Z15">
        <f t="shared" ca="1" si="2"/>
        <v>0</v>
      </c>
      <c r="AA15">
        <f t="shared" ca="1" si="2"/>
        <v>0</v>
      </c>
      <c r="AB15">
        <f t="shared" ca="1" si="2"/>
        <v>0</v>
      </c>
      <c r="AC15">
        <f t="shared" ca="1" si="2"/>
        <v>0</v>
      </c>
      <c r="AD15">
        <f t="shared" ca="1" si="2"/>
        <v>0</v>
      </c>
      <c r="AE15">
        <f t="shared" ca="1" si="2"/>
        <v>0</v>
      </c>
      <c r="AF15">
        <f t="shared" ca="1" si="2"/>
        <v>6463.4149837841769</v>
      </c>
    </row>
    <row r="16" spans="1:32">
      <c r="A16" t="s">
        <v>12</v>
      </c>
      <c r="B16">
        <f ca="1">B14-B15</f>
        <v>0</v>
      </c>
      <c r="C16">
        <f t="shared" ref="C16:AF16" ca="1" si="3">C14-C15</f>
        <v>0</v>
      </c>
      <c r="D16">
        <f t="shared" ca="1" si="3"/>
        <v>0</v>
      </c>
      <c r="E16">
        <f t="shared" ca="1" si="3"/>
        <v>0</v>
      </c>
      <c r="F16">
        <f t="shared" ca="1" si="3"/>
        <v>0</v>
      </c>
      <c r="G16">
        <f t="shared" ca="1" si="3"/>
        <v>0</v>
      </c>
      <c r="H16">
        <f t="shared" ca="1" si="3"/>
        <v>0</v>
      </c>
      <c r="I16">
        <f t="shared" ca="1" si="3"/>
        <v>0</v>
      </c>
      <c r="J16">
        <f t="shared" ca="1" si="3"/>
        <v>0</v>
      </c>
      <c r="K16">
        <f t="shared" ca="1" si="3"/>
        <v>0</v>
      </c>
      <c r="L16">
        <f t="shared" ca="1" si="3"/>
        <v>0</v>
      </c>
      <c r="M16">
        <f t="shared" ca="1" si="3"/>
        <v>0</v>
      </c>
      <c r="N16">
        <f t="shared" ca="1" si="3"/>
        <v>0</v>
      </c>
      <c r="O16">
        <f t="shared" ca="1" si="3"/>
        <v>0</v>
      </c>
      <c r="P16">
        <f t="shared" ca="1" si="3"/>
        <v>17850.903026640135</v>
      </c>
      <c r="Q16">
        <f t="shared" ca="1" si="3"/>
        <v>0</v>
      </c>
      <c r="R16">
        <f t="shared" ca="1" si="3"/>
        <v>0</v>
      </c>
      <c r="S16">
        <f t="shared" ca="1" si="3"/>
        <v>5403.3697960058953</v>
      </c>
      <c r="T16">
        <f t="shared" ca="1" si="3"/>
        <v>0</v>
      </c>
      <c r="U16">
        <f t="shared" ca="1" si="3"/>
        <v>0</v>
      </c>
      <c r="V16">
        <f t="shared" ca="1" si="3"/>
        <v>0</v>
      </c>
      <c r="W16">
        <f t="shared" ca="1" si="3"/>
        <v>0</v>
      </c>
      <c r="X16">
        <f t="shared" ca="1" si="3"/>
        <v>0</v>
      </c>
      <c r="Y16">
        <f t="shared" ca="1" si="3"/>
        <v>0</v>
      </c>
      <c r="Z16">
        <f t="shared" ca="1" si="3"/>
        <v>0</v>
      </c>
      <c r="AA16">
        <f t="shared" ca="1" si="3"/>
        <v>0</v>
      </c>
      <c r="AB16">
        <f t="shared" ca="1" si="3"/>
        <v>0</v>
      </c>
      <c r="AC16">
        <f t="shared" ca="1" si="3"/>
        <v>0</v>
      </c>
      <c r="AD16">
        <f t="shared" ca="1" si="3"/>
        <v>0</v>
      </c>
      <c r="AE16">
        <f t="shared" ca="1" si="3"/>
        <v>0</v>
      </c>
      <c r="AF16">
        <f t="shared" ca="1" si="3"/>
        <v>25853.659935136708</v>
      </c>
    </row>
    <row r="17" spans="1:2">
      <c r="A17" t="s">
        <v>44</v>
      </c>
      <c r="B17" s="1">
        <f ca="1">SUM(B16:AF16)</f>
        <v>49107.932757782735</v>
      </c>
    </row>
    <row r="20" spans="1:2">
      <c r="A20" t="str">
        <f>SimData!A1</f>
        <v>Simetar Simulation Results for 500 Iterations.  7:58:18 AM 9/16/2010 (0.98 sec.).  © 2008.</v>
      </c>
    </row>
    <row r="21" spans="1:2">
      <c r="A21" t="str">
        <f>SimData!A2</f>
        <v>Variable</v>
      </c>
      <c r="B21" t="str">
        <f ca="1">SimData!B2</f>
        <v>Sheet1!B17</v>
      </c>
    </row>
    <row r="22" spans="1:2">
      <c r="A22" t="str">
        <f>SimData!A3</f>
        <v>Mean</v>
      </c>
      <c r="B22">
        <f>SimData!B3</f>
        <v>67074.624509958856</v>
      </c>
    </row>
    <row r="23" spans="1:2">
      <c r="A23" t="str">
        <f>SimData!A4</f>
        <v>StDev</v>
      </c>
      <c r="B23">
        <f>SimData!B4</f>
        <v>37300.595297818771</v>
      </c>
    </row>
    <row r="24" spans="1:2">
      <c r="A24" t="str">
        <f>SimData!A5</f>
        <v>CV</v>
      </c>
      <c r="B24">
        <f>SimData!B5</f>
        <v>55.610591293404248</v>
      </c>
    </row>
    <row r="25" spans="1:2">
      <c r="A25" t="str">
        <f>SimData!A6</f>
        <v>Min</v>
      </c>
      <c r="B25">
        <f>SimData!B6</f>
        <v>0</v>
      </c>
    </row>
    <row r="26" spans="1:2">
      <c r="A26" t="str">
        <f>SimData!A7</f>
        <v>Max</v>
      </c>
      <c r="B26">
        <f>SimData!B7</f>
        <v>202214.77684477341</v>
      </c>
    </row>
    <row r="27" spans="1:2">
      <c r="A27" t="str">
        <f>SimData!A8</f>
        <v>Iteration</v>
      </c>
      <c r="B27" t="str">
        <f>SimData!B8</f>
        <v>Sum 30 Days</v>
      </c>
    </row>
    <row r="31" spans="1:2">
      <c r="A31" t="s">
        <v>64</v>
      </c>
    </row>
    <row r="32" spans="1:2">
      <c r="A32" t="str">
        <f>SimData!A510</f>
        <v>x1-value</v>
      </c>
      <c r="B32">
        <f>SimData!B510</f>
        <v>0</v>
      </c>
    </row>
    <row r="33" spans="1:2">
      <c r="A33" t="str">
        <f>SimData!A511</f>
        <v>Prob(X&lt;=x1)</v>
      </c>
      <c r="B33">
        <f>SimData!B511</f>
        <v>0.03</v>
      </c>
    </row>
    <row r="34" spans="1:2">
      <c r="A34" t="str">
        <f>SimData!A512</f>
        <v>x2-value</v>
      </c>
      <c r="B34">
        <f>SimData!B512</f>
        <v>50000</v>
      </c>
    </row>
    <row r="35" spans="1:2">
      <c r="A35" t="str">
        <f>SimData!A513</f>
        <v>Prob(X&lt;=x2)</v>
      </c>
      <c r="B35">
        <f>SimData!B513</f>
        <v>0.3500756456078149</v>
      </c>
    </row>
    <row r="36" spans="1:2">
      <c r="A36" t="str">
        <f>SimData!A514</f>
        <v>x3-value</v>
      </c>
      <c r="B36">
        <f>SimData!B514</f>
        <v>100000</v>
      </c>
    </row>
    <row r="37" spans="1:2">
      <c r="A37" t="str">
        <f>SimData!A515</f>
        <v>Prob(X&lt;=x3)</v>
      </c>
      <c r="B37">
        <f>SimData!B515</f>
        <v>0.82058305391556408</v>
      </c>
    </row>
    <row r="38" spans="1:2">
      <c r="A38" t="s">
        <v>65</v>
      </c>
      <c r="B38">
        <f>B37-B35</f>
        <v>0.47050740830774918</v>
      </c>
    </row>
  </sheetData>
  <printOptions headings="1" gridLines="1"/>
  <pageMargins left="0.7" right="0.7" top="0.75" bottom="0.75" header="0.3" footer="0.3"/>
  <pageSetup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SimData</vt:lpstr>
      <vt:lpstr>Sheet1</vt:lpstr>
      <vt:lpstr>Sheet2</vt:lpstr>
      <vt:lpstr>Sheet3</vt:lpstr>
      <vt:lpstr>Sheet1!Print_Area</vt:lpstr>
    </vt:vector>
  </TitlesOfParts>
  <Company>Agricultural &amp; Food Policy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James W. Richardson</cp:lastModifiedBy>
  <cp:lastPrinted>2010-09-16T13:02:03Z</cp:lastPrinted>
  <dcterms:created xsi:type="dcterms:W3CDTF">2010-09-16T12:46:51Z</dcterms:created>
  <dcterms:modified xsi:type="dcterms:W3CDTF">2010-09-16T13:02:09Z</dcterms:modified>
</cp:coreProperties>
</file>