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20" windowWidth="19440" windowHeight="9780" activeTab="2"/>
  </bookViews>
  <sheets>
    <sheet name="EMP" sheetId="1" r:id="rId1"/>
    <sheet name="SimDataKDE" sheetId="11" r:id="rId2"/>
    <sheet name="KDE" sheetId="10" r:id="rId3"/>
    <sheet name="Triangle" sheetId="2" r:id="rId4"/>
    <sheet name="SimDataTRI" sheetId="7" r:id="rId5"/>
  </sheets>
  <definedNames>
    <definedName name="_xlnm.Print_Area" localSheetId="0">EMP!$A$1:$O$18</definedName>
    <definedName name="_xlnm.Print_Area" localSheetId="2">KDE!$A$3:$R$31</definedName>
  </definedNames>
  <calcPr calcId="152511"/>
</workbook>
</file>

<file path=xl/calcChain.xml><?xml version="1.0" encoding="utf-8"?>
<calcChain xmlns="http://schemas.openxmlformats.org/spreadsheetml/2006/main">
  <c r="E17" i="11" l="1"/>
  <c r="E15" i="11"/>
  <c r="E13" i="11"/>
  <c r="E10" i="11"/>
  <c r="E9" i="11"/>
  <c r="E8" i="11"/>
  <c r="B519" i="11"/>
  <c r="B517" i="11"/>
  <c r="B515" i="11"/>
  <c r="B513" i="11"/>
  <c r="B511" i="11"/>
  <c r="B8" i="11"/>
  <c r="B7" i="11"/>
  <c r="B6" i="11"/>
  <c r="B4" i="11"/>
  <c r="B3" i="11"/>
  <c r="E16" i="11"/>
  <c r="E14" i="11"/>
  <c r="E11" i="11"/>
  <c r="B2" i="11"/>
  <c r="B2" i="7"/>
  <c r="F14" i="11"/>
  <c r="F16" i="11"/>
  <c r="F15" i="11"/>
  <c r="F17" i="11"/>
  <c r="E18" i="11" l="1"/>
  <c r="B5" i="11"/>
  <c r="B3" i="7"/>
  <c r="B4" i="7"/>
  <c r="B6" i="7"/>
  <c r="B7" i="7"/>
  <c r="T7" i="7"/>
  <c r="B8" i="7"/>
  <c r="T6" i="7" s="1"/>
  <c r="T8" i="7"/>
  <c r="T16" i="7" s="1"/>
  <c r="I11" i="7"/>
  <c r="T11" i="7"/>
  <c r="E12" i="7"/>
  <c r="I12" i="7"/>
  <c r="I13" i="7"/>
  <c r="J13" i="7"/>
  <c r="J14" i="7" s="1"/>
  <c r="T13" i="7"/>
  <c r="I14" i="7"/>
  <c r="I15" i="7"/>
  <c r="T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F18" i="11"/>
  <c r="E4" i="7"/>
  <c r="E8" i="7"/>
  <c r="T9" i="7"/>
  <c r="T14" i="7"/>
  <c r="E6" i="7"/>
  <c r="E10" i="7"/>
  <c r="U13" i="7"/>
  <c r="U14" i="7"/>
  <c r="U15" i="7"/>
  <c r="U16" i="7"/>
  <c r="A1" i="2"/>
  <c r="T12" i="7"/>
  <c r="U12" i="7" s="1"/>
  <c r="A2" i="2"/>
  <c r="B9" i="2"/>
  <c r="E19" i="11" l="1"/>
  <c r="T17" i="7"/>
  <c r="J15" i="7"/>
  <c r="J16" i="7" s="1"/>
  <c r="B5" i="7"/>
  <c r="C6" i="10"/>
  <c r="G6" i="10"/>
  <c r="I6" i="10"/>
  <c r="C7" i="10"/>
  <c r="G7" i="10"/>
  <c r="C8" i="10"/>
  <c r="G8" i="10"/>
  <c r="C9" i="10"/>
  <c r="F19" i="11"/>
  <c r="U17" i="7"/>
  <c r="C9" i="2"/>
  <c r="G9" i="10"/>
  <c r="E20" i="11" l="1"/>
  <c r="J17" i="7"/>
  <c r="T18" i="7"/>
  <c r="C10" i="10"/>
  <c r="C11" i="10"/>
  <c r="G11" i="10"/>
  <c r="I11" i="10" s="1"/>
  <c r="C12" i="10"/>
  <c r="F20" i="11"/>
  <c r="U18" i="7"/>
  <c r="G12" i="10"/>
  <c r="H12" i="10"/>
  <c r="E21" i="11" l="1"/>
  <c r="T19" i="7"/>
  <c r="J18" i="7"/>
  <c r="J19" i="7" s="1"/>
  <c r="C13" i="10"/>
  <c r="G13" i="10"/>
  <c r="F21" i="11"/>
  <c r="U19" i="7"/>
  <c r="H13" i="10"/>
  <c r="E22" i="11" l="1"/>
  <c r="T20" i="7"/>
  <c r="J20" i="7"/>
  <c r="C14" i="10"/>
  <c r="F22" i="11"/>
  <c r="U20" i="7"/>
  <c r="G14" i="10"/>
  <c r="H14" i="10"/>
  <c r="E23" i="11" l="1"/>
  <c r="J21" i="7"/>
  <c r="J22" i="7" s="1"/>
  <c r="T21" i="7"/>
  <c r="C15" i="10"/>
  <c r="G15" i="10"/>
  <c r="F23" i="11"/>
  <c r="U21" i="7"/>
  <c r="I14" i="10"/>
  <c r="I12" i="10"/>
  <c r="I9" i="10"/>
  <c r="J12" i="10"/>
  <c r="J14" i="10"/>
  <c r="E24" i="11" l="1"/>
  <c r="T22" i="7"/>
  <c r="J24" i="7"/>
  <c r="J23" i="7"/>
  <c r="J25" i="7"/>
  <c r="I8" i="10"/>
  <c r="I13" i="10"/>
  <c r="I7" i="10"/>
  <c r="I15" i="10" s="1"/>
  <c r="G16" i="10"/>
  <c r="F24" i="11"/>
  <c r="U22" i="7"/>
  <c r="J15" i="10"/>
  <c r="J13" i="10"/>
  <c r="H16" i="10"/>
  <c r="E25" i="11" l="1"/>
  <c r="T23" i="7"/>
  <c r="J26" i="7"/>
  <c r="I16" i="10"/>
  <c r="F25" i="11"/>
  <c r="U23" i="7"/>
  <c r="J16" i="10"/>
  <c r="E26" i="11" l="1"/>
  <c r="T24" i="7"/>
  <c r="J27" i="7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J108" i="7" s="1"/>
  <c r="J109" i="7" s="1"/>
  <c r="J110" i="7" s="1"/>
  <c r="J111" i="7" s="1"/>
  <c r="J112" i="7" s="1"/>
  <c r="J113" i="7" s="1"/>
  <c r="J114" i="7" s="1"/>
  <c r="J115" i="7" s="1"/>
  <c r="J116" i="7" s="1"/>
  <c r="J117" i="7" s="1"/>
  <c r="J118" i="7" s="1"/>
  <c r="J119" i="7" s="1"/>
  <c r="J120" i="7" s="1"/>
  <c r="J121" i="7" s="1"/>
  <c r="J122" i="7" s="1"/>
  <c r="J123" i="7" s="1"/>
  <c r="J124" i="7" s="1"/>
  <c r="J125" i="7" s="1"/>
  <c r="J126" i="7" s="1"/>
  <c r="J127" i="7" s="1"/>
  <c r="J128" i="7" s="1"/>
  <c r="J129" i="7" s="1"/>
  <c r="J130" i="7" s="1"/>
  <c r="J131" i="7" s="1"/>
  <c r="J132" i="7" s="1"/>
  <c r="J133" i="7" s="1"/>
  <c r="J134" i="7" s="1"/>
  <c r="J135" i="7" s="1"/>
  <c r="J136" i="7" s="1"/>
  <c r="J137" i="7" s="1"/>
  <c r="J138" i="7" s="1"/>
  <c r="J139" i="7" s="1"/>
  <c r="J140" i="7" s="1"/>
  <c r="J141" i="7" s="1"/>
  <c r="J142" i="7" s="1"/>
  <c r="J143" i="7" s="1"/>
  <c r="J144" i="7" s="1"/>
  <c r="J145" i="7" s="1"/>
  <c r="J146" i="7" s="1"/>
  <c r="J147" i="7" s="1"/>
  <c r="J148" i="7" s="1"/>
  <c r="J149" i="7" s="1"/>
  <c r="J150" i="7" s="1"/>
  <c r="J151" i="7" s="1"/>
  <c r="J152" i="7" s="1"/>
  <c r="J153" i="7" s="1"/>
  <c r="J154" i="7" s="1"/>
  <c r="J155" i="7" s="1"/>
  <c r="J156" i="7" s="1"/>
  <c r="J157" i="7" s="1"/>
  <c r="J158" i="7" s="1"/>
  <c r="J159" i="7" s="1"/>
  <c r="J160" i="7" s="1"/>
  <c r="J161" i="7" s="1"/>
  <c r="J162" i="7" s="1"/>
  <c r="J163" i="7" s="1"/>
  <c r="J164" i="7" s="1"/>
  <c r="J165" i="7" s="1"/>
  <c r="J166" i="7" s="1"/>
  <c r="J167" i="7" s="1"/>
  <c r="J168" i="7" s="1"/>
  <c r="J169" i="7" s="1"/>
  <c r="J170" i="7" s="1"/>
  <c r="J171" i="7" s="1"/>
  <c r="J172" i="7" s="1"/>
  <c r="J173" i="7" s="1"/>
  <c r="J174" i="7" s="1"/>
  <c r="J175" i="7" s="1"/>
  <c r="J176" i="7" s="1"/>
  <c r="J177" i="7" s="1"/>
  <c r="J178" i="7" s="1"/>
  <c r="J179" i="7" s="1"/>
  <c r="J180" i="7" s="1"/>
  <c r="J181" i="7" s="1"/>
  <c r="J182" i="7" s="1"/>
  <c r="J183" i="7" s="1"/>
  <c r="J184" i="7" s="1"/>
  <c r="J185" i="7" s="1"/>
  <c r="J186" i="7" s="1"/>
  <c r="J187" i="7" s="1"/>
  <c r="J188" i="7" s="1"/>
  <c r="J189" i="7" s="1"/>
  <c r="J190" i="7" s="1"/>
  <c r="J191" i="7" s="1"/>
  <c r="J192" i="7" s="1"/>
  <c r="J193" i="7" s="1"/>
  <c r="J194" i="7" s="1"/>
  <c r="J195" i="7" s="1"/>
  <c r="J196" i="7" s="1"/>
  <c r="J197" i="7" s="1"/>
  <c r="J198" i="7" s="1"/>
  <c r="J199" i="7" s="1"/>
  <c r="J200" i="7" s="1"/>
  <c r="J201" i="7" s="1"/>
  <c r="J202" i="7" s="1"/>
  <c r="J203" i="7" s="1"/>
  <c r="J204" i="7" s="1"/>
  <c r="J205" i="7" s="1"/>
  <c r="J206" i="7" s="1"/>
  <c r="J207" i="7" s="1"/>
  <c r="J208" i="7" s="1"/>
  <c r="J209" i="7" s="1"/>
  <c r="J210" i="7" s="1"/>
  <c r="J211" i="7" s="1"/>
  <c r="J212" i="7" s="1"/>
  <c r="J213" i="7" s="1"/>
  <c r="J214" i="7" s="1"/>
  <c r="J215" i="7" s="1"/>
  <c r="J216" i="7" s="1"/>
  <c r="J217" i="7" s="1"/>
  <c r="J218" i="7" s="1"/>
  <c r="J219" i="7" s="1"/>
  <c r="J220" i="7" s="1"/>
  <c r="J221" i="7" s="1"/>
  <c r="J222" i="7" s="1"/>
  <c r="J223" i="7" s="1"/>
  <c r="J224" i="7" s="1"/>
  <c r="J225" i="7" s="1"/>
  <c r="J226" i="7" s="1"/>
  <c r="J227" i="7" s="1"/>
  <c r="J228" i="7" s="1"/>
  <c r="J229" i="7" s="1"/>
  <c r="J230" i="7" s="1"/>
  <c r="J231" i="7" s="1"/>
  <c r="J232" i="7" s="1"/>
  <c r="J233" i="7" s="1"/>
  <c r="J234" i="7" s="1"/>
  <c r="J235" i="7" s="1"/>
  <c r="J236" i="7" s="1"/>
  <c r="J237" i="7" s="1"/>
  <c r="J238" i="7" s="1"/>
  <c r="J239" i="7" s="1"/>
  <c r="J240" i="7" s="1"/>
  <c r="J241" i="7" s="1"/>
  <c r="J242" i="7" s="1"/>
  <c r="J243" i="7" s="1"/>
  <c r="J244" i="7" s="1"/>
  <c r="J245" i="7" s="1"/>
  <c r="J246" i="7" s="1"/>
  <c r="J247" i="7" s="1"/>
  <c r="J248" i="7" s="1"/>
  <c r="J249" i="7" s="1"/>
  <c r="J250" i="7" s="1"/>
  <c r="J251" i="7" s="1"/>
  <c r="J252" i="7" s="1"/>
  <c r="J253" i="7" s="1"/>
  <c r="J254" i="7" s="1"/>
  <c r="J255" i="7" s="1"/>
  <c r="J256" i="7" s="1"/>
  <c r="J257" i="7" s="1"/>
  <c r="J258" i="7" s="1"/>
  <c r="J259" i="7" s="1"/>
  <c r="J260" i="7" s="1"/>
  <c r="J261" i="7" s="1"/>
  <c r="J262" i="7" s="1"/>
  <c r="J263" i="7" s="1"/>
  <c r="J264" i="7" s="1"/>
  <c r="J265" i="7" s="1"/>
  <c r="J266" i="7" s="1"/>
  <c r="J267" i="7" s="1"/>
  <c r="J268" i="7" s="1"/>
  <c r="J269" i="7" s="1"/>
  <c r="J270" i="7" s="1"/>
  <c r="J271" i="7" s="1"/>
  <c r="J272" i="7" s="1"/>
  <c r="J273" i="7" s="1"/>
  <c r="J274" i="7" s="1"/>
  <c r="J275" i="7" s="1"/>
  <c r="J276" i="7" s="1"/>
  <c r="J277" i="7" s="1"/>
  <c r="J278" i="7" s="1"/>
  <c r="J279" i="7" s="1"/>
  <c r="J280" i="7" s="1"/>
  <c r="J281" i="7" s="1"/>
  <c r="J282" i="7" s="1"/>
  <c r="J283" i="7" s="1"/>
  <c r="J284" i="7" s="1"/>
  <c r="J285" i="7" s="1"/>
  <c r="J286" i="7" s="1"/>
  <c r="J287" i="7" s="1"/>
  <c r="J288" i="7" s="1"/>
  <c r="J289" i="7" s="1"/>
  <c r="J290" i="7" s="1"/>
  <c r="J291" i="7" s="1"/>
  <c r="J292" i="7" s="1"/>
  <c r="J293" i="7" s="1"/>
  <c r="J294" i="7" s="1"/>
  <c r="J295" i="7" s="1"/>
  <c r="J296" i="7" s="1"/>
  <c r="J297" i="7" s="1"/>
  <c r="J298" i="7" s="1"/>
  <c r="J299" i="7" s="1"/>
  <c r="J300" i="7" s="1"/>
  <c r="J301" i="7" s="1"/>
  <c r="J302" i="7" s="1"/>
  <c r="J303" i="7" s="1"/>
  <c r="J304" i="7" s="1"/>
  <c r="J305" i="7" s="1"/>
  <c r="J306" i="7" s="1"/>
  <c r="J307" i="7" s="1"/>
  <c r="J308" i="7" s="1"/>
  <c r="J309" i="7" s="1"/>
  <c r="J310" i="7" s="1"/>
  <c r="J311" i="7" s="1"/>
  <c r="J312" i="7" s="1"/>
  <c r="J313" i="7" s="1"/>
  <c r="J314" i="7" s="1"/>
  <c r="J315" i="7" s="1"/>
  <c r="J316" i="7" s="1"/>
  <c r="J317" i="7" s="1"/>
  <c r="J318" i="7" s="1"/>
  <c r="J319" i="7" s="1"/>
  <c r="J320" i="7" s="1"/>
  <c r="J321" i="7" s="1"/>
  <c r="J322" i="7" s="1"/>
  <c r="J323" i="7" s="1"/>
  <c r="J324" i="7" s="1"/>
  <c r="J325" i="7" s="1"/>
  <c r="J326" i="7" s="1"/>
  <c r="J327" i="7" s="1"/>
  <c r="J328" i="7" s="1"/>
  <c r="J329" i="7" s="1"/>
  <c r="J330" i="7" s="1"/>
  <c r="J331" i="7" s="1"/>
  <c r="J332" i="7" s="1"/>
  <c r="J333" i="7" s="1"/>
  <c r="J334" i="7" s="1"/>
  <c r="J335" i="7" s="1"/>
  <c r="J336" i="7" s="1"/>
  <c r="J337" i="7" s="1"/>
  <c r="J338" i="7" s="1"/>
  <c r="J339" i="7" s="1"/>
  <c r="J340" i="7" s="1"/>
  <c r="J341" i="7" s="1"/>
  <c r="J342" i="7" s="1"/>
  <c r="J343" i="7" s="1"/>
  <c r="J344" i="7" s="1"/>
  <c r="J345" i="7" s="1"/>
  <c r="J346" i="7" s="1"/>
  <c r="J347" i="7" s="1"/>
  <c r="J348" i="7" s="1"/>
  <c r="J349" i="7" s="1"/>
  <c r="J350" i="7" s="1"/>
  <c r="J351" i="7" s="1"/>
  <c r="J352" i="7" s="1"/>
  <c r="J353" i="7" s="1"/>
  <c r="J354" i="7" s="1"/>
  <c r="J355" i="7" s="1"/>
  <c r="J356" i="7" s="1"/>
  <c r="J357" i="7" s="1"/>
  <c r="J358" i="7" s="1"/>
  <c r="J359" i="7" s="1"/>
  <c r="J360" i="7" s="1"/>
  <c r="J361" i="7" s="1"/>
  <c r="J362" i="7" s="1"/>
  <c r="J363" i="7" s="1"/>
  <c r="J364" i="7" s="1"/>
  <c r="J365" i="7" s="1"/>
  <c r="J366" i="7" s="1"/>
  <c r="J367" i="7" s="1"/>
  <c r="J368" i="7" s="1"/>
  <c r="J369" i="7" s="1"/>
  <c r="J370" i="7" s="1"/>
  <c r="J371" i="7" s="1"/>
  <c r="J372" i="7" s="1"/>
  <c r="J373" i="7" s="1"/>
  <c r="J374" i="7" s="1"/>
  <c r="J375" i="7" s="1"/>
  <c r="J376" i="7" s="1"/>
  <c r="J377" i="7" s="1"/>
  <c r="J378" i="7" s="1"/>
  <c r="J379" i="7" s="1"/>
  <c r="J380" i="7" s="1"/>
  <c r="J381" i="7" s="1"/>
  <c r="J382" i="7" s="1"/>
  <c r="J383" i="7" s="1"/>
  <c r="J384" i="7" s="1"/>
  <c r="J385" i="7" s="1"/>
  <c r="J386" i="7" s="1"/>
  <c r="J387" i="7" s="1"/>
  <c r="J388" i="7" s="1"/>
  <c r="J389" i="7" s="1"/>
  <c r="J390" i="7" s="1"/>
  <c r="J391" i="7" s="1"/>
  <c r="J392" i="7" s="1"/>
  <c r="J393" i="7" s="1"/>
  <c r="J394" i="7" s="1"/>
  <c r="J395" i="7" s="1"/>
  <c r="J396" i="7" s="1"/>
  <c r="J397" i="7" s="1"/>
  <c r="J398" i="7" s="1"/>
  <c r="J399" i="7" s="1"/>
  <c r="J400" i="7" s="1"/>
  <c r="J401" i="7" s="1"/>
  <c r="J402" i="7" s="1"/>
  <c r="J403" i="7" s="1"/>
  <c r="J404" i="7" s="1"/>
  <c r="J405" i="7" s="1"/>
  <c r="J406" i="7" s="1"/>
  <c r="J407" i="7" s="1"/>
  <c r="J408" i="7" s="1"/>
  <c r="J409" i="7" s="1"/>
  <c r="J410" i="7" s="1"/>
  <c r="J411" i="7" s="1"/>
  <c r="J412" i="7" s="1"/>
  <c r="J413" i="7" s="1"/>
  <c r="J414" i="7" s="1"/>
  <c r="J415" i="7" s="1"/>
  <c r="J416" i="7" s="1"/>
  <c r="J417" i="7" s="1"/>
  <c r="J418" i="7" s="1"/>
  <c r="J419" i="7" s="1"/>
  <c r="J420" i="7" s="1"/>
  <c r="J421" i="7" s="1"/>
  <c r="J422" i="7" s="1"/>
  <c r="J423" i="7" s="1"/>
  <c r="J424" i="7" s="1"/>
  <c r="J425" i="7" s="1"/>
  <c r="J426" i="7" s="1"/>
  <c r="J427" i="7" s="1"/>
  <c r="J428" i="7" s="1"/>
  <c r="J429" i="7" s="1"/>
  <c r="J430" i="7" s="1"/>
  <c r="J431" i="7" s="1"/>
  <c r="J432" i="7" s="1"/>
  <c r="J433" i="7" s="1"/>
  <c r="J434" i="7" s="1"/>
  <c r="J435" i="7" s="1"/>
  <c r="J436" i="7" s="1"/>
  <c r="J437" i="7" s="1"/>
  <c r="J438" i="7" s="1"/>
  <c r="J439" i="7" s="1"/>
  <c r="J440" i="7" s="1"/>
  <c r="J441" i="7" s="1"/>
  <c r="J442" i="7" s="1"/>
  <c r="J443" i="7" s="1"/>
  <c r="J444" i="7" s="1"/>
  <c r="J445" i="7" s="1"/>
  <c r="J446" i="7" s="1"/>
  <c r="J447" i="7" s="1"/>
  <c r="J448" i="7" s="1"/>
  <c r="J449" i="7" s="1"/>
  <c r="J450" i="7" s="1"/>
  <c r="J451" i="7" s="1"/>
  <c r="J452" i="7" s="1"/>
  <c r="J453" i="7" s="1"/>
  <c r="J454" i="7" s="1"/>
  <c r="J455" i="7" s="1"/>
  <c r="J456" i="7" s="1"/>
  <c r="J457" i="7" s="1"/>
  <c r="J458" i="7" s="1"/>
  <c r="J459" i="7" s="1"/>
  <c r="J460" i="7" s="1"/>
  <c r="J461" i="7" s="1"/>
  <c r="J462" i="7" s="1"/>
  <c r="J463" i="7" s="1"/>
  <c r="J464" i="7" s="1"/>
  <c r="J465" i="7" s="1"/>
  <c r="J466" i="7" s="1"/>
  <c r="J467" i="7" s="1"/>
  <c r="J468" i="7" s="1"/>
  <c r="J469" i="7" s="1"/>
  <c r="J470" i="7" s="1"/>
  <c r="J471" i="7" s="1"/>
  <c r="J472" i="7" s="1"/>
  <c r="J473" i="7" s="1"/>
  <c r="J474" i="7" s="1"/>
  <c r="J475" i="7" s="1"/>
  <c r="J476" i="7" s="1"/>
  <c r="J477" i="7" s="1"/>
  <c r="J478" i="7" s="1"/>
  <c r="J479" i="7" s="1"/>
  <c r="J480" i="7" s="1"/>
  <c r="J481" i="7" s="1"/>
  <c r="J482" i="7" s="1"/>
  <c r="J483" i="7" s="1"/>
  <c r="J484" i="7" s="1"/>
  <c r="J485" i="7" s="1"/>
  <c r="J486" i="7" s="1"/>
  <c r="J487" i="7" s="1"/>
  <c r="J488" i="7" s="1"/>
  <c r="J489" i="7" s="1"/>
  <c r="J490" i="7" s="1"/>
  <c r="J491" i="7" s="1"/>
  <c r="J492" i="7" s="1"/>
  <c r="J493" i="7" s="1"/>
  <c r="J494" i="7" s="1"/>
  <c r="J495" i="7" s="1"/>
  <c r="J496" i="7" s="1"/>
  <c r="J497" i="7" s="1"/>
  <c r="J498" i="7" s="1"/>
  <c r="J499" i="7" s="1"/>
  <c r="J500" i="7" s="1"/>
  <c r="J501" i="7" s="1"/>
  <c r="J502" i="7" s="1"/>
  <c r="J503" i="7" s="1"/>
  <c r="J504" i="7" s="1"/>
  <c r="J505" i="7" s="1"/>
  <c r="J506" i="7" s="1"/>
  <c r="J507" i="7" s="1"/>
  <c r="J508" i="7" s="1"/>
  <c r="J509" i="7" s="1"/>
  <c r="J510" i="7" s="1"/>
  <c r="J511" i="7" s="1"/>
  <c r="G17" i="10"/>
  <c r="F26" i="11"/>
  <c r="U24" i="7"/>
  <c r="H17" i="10"/>
  <c r="E27" i="11" l="1"/>
  <c r="T25" i="7"/>
  <c r="I17" i="10"/>
  <c r="F27" i="11"/>
  <c r="U25" i="7"/>
  <c r="J17" i="10"/>
  <c r="E28" i="11" l="1"/>
  <c r="T26" i="7"/>
  <c r="G18" i="10"/>
  <c r="F28" i="11"/>
  <c r="U26" i="7"/>
  <c r="H18" i="10"/>
  <c r="E29" i="11" l="1"/>
  <c r="T27" i="7"/>
  <c r="I18" i="10"/>
  <c r="F29" i="11"/>
  <c r="U27" i="7"/>
  <c r="J18" i="10"/>
  <c r="E30" i="11" l="1"/>
  <c r="T28" i="7"/>
  <c r="G19" i="10"/>
  <c r="F30" i="11"/>
  <c r="U28" i="7"/>
  <c r="H19" i="10"/>
  <c r="E31" i="11" l="1"/>
  <c r="T29" i="7"/>
  <c r="I19" i="10"/>
  <c r="F31" i="11"/>
  <c r="U29" i="7"/>
  <c r="J19" i="10"/>
  <c r="E32" i="11" l="1"/>
  <c r="T30" i="7"/>
  <c r="G20" i="10"/>
  <c r="F32" i="11"/>
  <c r="U30" i="7"/>
  <c r="H20" i="10"/>
  <c r="E33" i="11" l="1"/>
  <c r="T31" i="7"/>
  <c r="I20" i="10"/>
  <c r="F33" i="11"/>
  <c r="U31" i="7"/>
  <c r="J20" i="10"/>
  <c r="E34" i="11" l="1"/>
  <c r="T32" i="7"/>
  <c r="G21" i="10"/>
  <c r="F34" i="11"/>
  <c r="U32" i="7"/>
  <c r="H21" i="10"/>
  <c r="E35" i="11" l="1"/>
  <c r="T33" i="7"/>
  <c r="I21" i="10"/>
  <c r="F35" i="11"/>
  <c r="U33" i="7"/>
  <c r="J21" i="10"/>
  <c r="E36" i="11" l="1"/>
  <c r="T34" i="7"/>
  <c r="G22" i="10"/>
  <c r="F36" i="11"/>
  <c r="U34" i="7"/>
  <c r="H22" i="10"/>
  <c r="E37" i="11" l="1"/>
  <c r="T35" i="7"/>
  <c r="I22" i="10"/>
  <c r="F37" i="11"/>
  <c r="U35" i="7"/>
  <c r="J22" i="10"/>
  <c r="E38" i="11" l="1"/>
  <c r="T36" i="7"/>
  <c r="G23" i="10"/>
  <c r="F38" i="11"/>
  <c r="U36" i="7"/>
  <c r="H23" i="10"/>
  <c r="E39" i="11" l="1"/>
  <c r="T37" i="7"/>
  <c r="I23" i="10"/>
  <c r="F39" i="11"/>
  <c r="U37" i="7"/>
  <c r="J23" i="10"/>
  <c r="E40" i="11" l="1"/>
  <c r="T38" i="7"/>
  <c r="G24" i="10"/>
  <c r="F40" i="11"/>
  <c r="U38" i="7"/>
  <c r="H24" i="10"/>
  <c r="E41" i="11" l="1"/>
  <c r="T39" i="7"/>
  <c r="I24" i="10"/>
  <c r="F41" i="11"/>
  <c r="U39" i="7"/>
  <c r="J24" i="10"/>
  <c r="E42" i="11" l="1"/>
  <c r="T40" i="7"/>
  <c r="G25" i="10"/>
  <c r="F42" i="11"/>
  <c r="U40" i="7"/>
  <c r="H25" i="10"/>
  <c r="E43" i="11" l="1"/>
  <c r="T41" i="7"/>
  <c r="I25" i="10"/>
  <c r="F43" i="11"/>
  <c r="U41" i="7"/>
  <c r="J25" i="10"/>
  <c r="E44" i="11" l="1"/>
  <c r="T42" i="7"/>
  <c r="G26" i="10"/>
  <c r="F44" i="11"/>
  <c r="U42" i="7"/>
  <c r="H26" i="10"/>
  <c r="E45" i="11" l="1"/>
  <c r="T43" i="7"/>
  <c r="I26" i="10"/>
  <c r="F45" i="11"/>
  <c r="U43" i="7"/>
  <c r="J26" i="10"/>
  <c r="E46" i="11" l="1"/>
  <c r="T44" i="7"/>
  <c r="G27" i="10"/>
  <c r="F46" i="11"/>
  <c r="U44" i="7"/>
  <c r="H27" i="10"/>
  <c r="E47" i="11" l="1"/>
  <c r="T45" i="7"/>
  <c r="I27" i="10"/>
  <c r="F47" i="11"/>
  <c r="U45" i="7"/>
  <c r="J27" i="10"/>
  <c r="C28" i="10"/>
  <c r="E48" i="11" l="1"/>
  <c r="T46" i="7"/>
  <c r="G28" i="10"/>
  <c r="F48" i="11"/>
  <c r="U46" i="7"/>
  <c r="H28" i="10"/>
  <c r="E49" i="11" l="1"/>
  <c r="T47" i="7"/>
  <c r="I28" i="10"/>
  <c r="F49" i="11"/>
  <c r="U47" i="7"/>
  <c r="J28" i="10"/>
  <c r="E50" i="11" l="1"/>
  <c r="T48" i="7"/>
  <c r="G29" i="10"/>
  <c r="F50" i="11"/>
  <c r="U48" i="7"/>
  <c r="H29" i="10"/>
  <c r="E51" i="11" l="1"/>
  <c r="T49" i="7"/>
  <c r="I29" i="10"/>
  <c r="F51" i="11"/>
  <c r="U49" i="7"/>
  <c r="J29" i="10"/>
  <c r="E52" i="11" l="1"/>
  <c r="T50" i="7"/>
  <c r="G30" i="10"/>
  <c r="F52" i="11"/>
  <c r="U50" i="7"/>
  <c r="H30" i="10"/>
  <c r="E53" i="11" l="1"/>
  <c r="T51" i="7"/>
  <c r="I30" i="10"/>
  <c r="F53" i="11"/>
  <c r="U51" i="7"/>
  <c r="J30" i="10"/>
  <c r="E54" i="11" l="1"/>
  <c r="T52" i="7"/>
  <c r="G31" i="10"/>
  <c r="F54" i="11"/>
  <c r="U52" i="7"/>
  <c r="H31" i="10"/>
  <c r="E55" i="11" l="1"/>
  <c r="T53" i="7"/>
  <c r="I31" i="10"/>
  <c r="F55" i="11"/>
  <c r="U53" i="7"/>
  <c r="J31" i="10"/>
  <c r="E56" i="11" l="1"/>
  <c r="T54" i="7"/>
  <c r="G32" i="10"/>
  <c r="F56" i="11"/>
  <c r="U54" i="7"/>
  <c r="H32" i="10"/>
  <c r="E57" i="11" l="1"/>
  <c r="T55" i="7"/>
  <c r="I32" i="10"/>
  <c r="F57" i="11"/>
  <c r="U55" i="7"/>
  <c r="J32" i="10"/>
  <c r="E58" i="11" l="1"/>
  <c r="T56" i="7"/>
  <c r="G33" i="10"/>
  <c r="F58" i="11"/>
  <c r="U56" i="7"/>
  <c r="H33" i="10"/>
  <c r="E59" i="11" l="1"/>
  <c r="T57" i="7"/>
  <c r="I33" i="10"/>
  <c r="F59" i="11"/>
  <c r="U57" i="7"/>
  <c r="J33" i="10"/>
  <c r="E60" i="11" l="1"/>
  <c r="T58" i="7"/>
  <c r="G34" i="10"/>
  <c r="F60" i="11"/>
  <c r="U58" i="7"/>
  <c r="H34" i="10"/>
  <c r="E61" i="11" l="1"/>
  <c r="T59" i="7"/>
  <c r="I34" i="10"/>
  <c r="F61" i="11"/>
  <c r="U59" i="7"/>
  <c r="J34" i="10"/>
  <c r="E62" i="11" l="1"/>
  <c r="T60" i="7"/>
  <c r="G35" i="10"/>
  <c r="F62" i="11"/>
  <c r="U60" i="7"/>
  <c r="H35" i="10"/>
  <c r="E63" i="11" l="1"/>
  <c r="T61" i="7"/>
  <c r="I35" i="10"/>
  <c r="F63" i="11"/>
  <c r="U61" i="7"/>
  <c r="J35" i="10"/>
  <c r="E64" i="11" l="1"/>
  <c r="T62" i="7"/>
  <c r="G36" i="10"/>
  <c r="F64" i="11"/>
  <c r="U62" i="7"/>
  <c r="H36" i="10"/>
  <c r="E65" i="11" l="1"/>
  <c r="T63" i="7"/>
  <c r="I36" i="10"/>
  <c r="F65" i="11"/>
  <c r="U63" i="7"/>
  <c r="J36" i="10"/>
  <c r="E66" i="11" l="1"/>
  <c r="T64" i="7"/>
  <c r="G37" i="10"/>
  <c r="F66" i="11"/>
  <c r="U64" i="7"/>
  <c r="H37" i="10"/>
  <c r="E67" i="11" l="1"/>
  <c r="T65" i="7"/>
  <c r="I37" i="10"/>
  <c r="F67" i="11"/>
  <c r="U65" i="7"/>
  <c r="J37" i="10"/>
  <c r="E68" i="11" l="1"/>
  <c r="T66" i="7"/>
  <c r="G38" i="10"/>
  <c r="F68" i="11"/>
  <c r="U66" i="7"/>
  <c r="H38" i="10"/>
  <c r="E69" i="11" l="1"/>
  <c r="T67" i="7"/>
  <c r="I38" i="10"/>
  <c r="F69" i="11"/>
  <c r="U67" i="7"/>
  <c r="J38" i="10"/>
  <c r="E70" i="11" l="1"/>
  <c r="T68" i="7"/>
  <c r="G39" i="10"/>
  <c r="F70" i="11"/>
  <c r="U68" i="7"/>
  <c r="H39" i="10"/>
  <c r="E71" i="11" l="1"/>
  <c r="T69" i="7"/>
  <c r="I39" i="10"/>
  <c r="F71" i="11"/>
  <c r="U69" i="7"/>
  <c r="J39" i="10"/>
  <c r="E72" i="11" l="1"/>
  <c r="T70" i="7"/>
  <c r="G40" i="10"/>
  <c r="F72" i="11"/>
  <c r="U70" i="7"/>
  <c r="H40" i="10"/>
  <c r="E73" i="11" l="1"/>
  <c r="T71" i="7"/>
  <c r="I40" i="10"/>
  <c r="F73" i="11"/>
  <c r="U71" i="7"/>
  <c r="J40" i="10"/>
  <c r="E74" i="11" l="1"/>
  <c r="T72" i="7"/>
  <c r="G41" i="10"/>
  <c r="F74" i="11"/>
  <c r="U72" i="7"/>
  <c r="H41" i="10"/>
  <c r="E75" i="11" l="1"/>
  <c r="T73" i="7"/>
  <c r="I41" i="10"/>
  <c r="F75" i="11"/>
  <c r="U73" i="7"/>
  <c r="J41" i="10"/>
  <c r="E76" i="11" l="1"/>
  <c r="T74" i="7"/>
  <c r="G42" i="10"/>
  <c r="F76" i="11"/>
  <c r="U74" i="7"/>
  <c r="H42" i="10"/>
  <c r="E77" i="11" l="1"/>
  <c r="T75" i="7"/>
  <c r="I42" i="10"/>
  <c r="F77" i="11"/>
  <c r="U75" i="7"/>
  <c r="J42" i="10"/>
  <c r="E78" i="11" l="1"/>
  <c r="T76" i="7"/>
  <c r="G43" i="10"/>
  <c r="F78" i="11"/>
  <c r="U76" i="7"/>
  <c r="H43" i="10"/>
  <c r="E79" i="11" l="1"/>
  <c r="T77" i="7"/>
  <c r="I43" i="10"/>
  <c r="F79" i="11"/>
  <c r="U77" i="7"/>
  <c r="J43" i="10"/>
  <c r="E80" i="11" l="1"/>
  <c r="T78" i="7"/>
  <c r="G44" i="10"/>
  <c r="F80" i="11"/>
  <c r="U78" i="7"/>
  <c r="H44" i="10"/>
  <c r="E81" i="11" l="1"/>
  <c r="T79" i="7"/>
  <c r="I44" i="10"/>
  <c r="F81" i="11"/>
  <c r="U79" i="7"/>
  <c r="J44" i="10"/>
  <c r="E82" i="11" l="1"/>
  <c r="T80" i="7"/>
  <c r="G45" i="10"/>
  <c r="F82" i="11"/>
  <c r="U80" i="7"/>
  <c r="H45" i="10"/>
  <c r="E83" i="11" l="1"/>
  <c r="T81" i="7"/>
  <c r="I45" i="10"/>
  <c r="F83" i="11"/>
  <c r="U81" i="7"/>
  <c r="J45" i="10"/>
  <c r="E84" i="11" l="1"/>
  <c r="T82" i="7"/>
  <c r="G46" i="10"/>
  <c r="F84" i="11"/>
  <c r="U82" i="7"/>
  <c r="H46" i="10"/>
  <c r="E85" i="11" l="1"/>
  <c r="T83" i="7"/>
  <c r="I46" i="10"/>
  <c r="F85" i="11"/>
  <c r="U83" i="7"/>
  <c r="J46" i="10"/>
  <c r="E86" i="11" l="1"/>
  <c r="T84" i="7"/>
  <c r="G47" i="10"/>
  <c r="F86" i="11"/>
  <c r="U84" i="7"/>
  <c r="H47" i="10"/>
  <c r="E87" i="11" l="1"/>
  <c r="T85" i="7"/>
  <c r="I47" i="10"/>
  <c r="F87" i="11"/>
  <c r="U85" i="7"/>
  <c r="J47" i="10"/>
  <c r="E88" i="11" l="1"/>
  <c r="T86" i="7"/>
  <c r="G48" i="10"/>
  <c r="F88" i="11"/>
  <c r="U86" i="7"/>
  <c r="H48" i="10"/>
  <c r="E89" i="11" l="1"/>
  <c r="T87" i="7"/>
  <c r="I48" i="10"/>
  <c r="F89" i="11"/>
  <c r="U87" i="7"/>
  <c r="J48" i="10"/>
  <c r="E90" i="11" l="1"/>
  <c r="T88" i="7"/>
  <c r="G49" i="10"/>
  <c r="F90" i="11"/>
  <c r="U88" i="7"/>
  <c r="H49" i="10"/>
  <c r="E91" i="11" l="1"/>
  <c r="T89" i="7"/>
  <c r="I49" i="10"/>
  <c r="F91" i="11"/>
  <c r="U89" i="7"/>
  <c r="J49" i="10"/>
  <c r="E92" i="11" l="1"/>
  <c r="T90" i="7"/>
  <c r="G50" i="10"/>
  <c r="F92" i="11"/>
  <c r="U90" i="7"/>
  <c r="H50" i="10"/>
  <c r="E93" i="11" l="1"/>
  <c r="T91" i="7"/>
  <c r="I50" i="10"/>
  <c r="F93" i="11"/>
  <c r="U91" i="7"/>
  <c r="J50" i="10"/>
  <c r="E94" i="11" l="1"/>
  <c r="T92" i="7"/>
  <c r="G51" i="10"/>
  <c r="F94" i="11"/>
  <c r="U92" i="7"/>
  <c r="H51" i="10"/>
  <c r="E95" i="11" l="1"/>
  <c r="T93" i="7"/>
  <c r="I51" i="10"/>
  <c r="F95" i="11"/>
  <c r="U93" i="7"/>
  <c r="J51" i="10"/>
  <c r="E96" i="11" l="1"/>
  <c r="T94" i="7"/>
  <c r="G52" i="10"/>
  <c r="F96" i="11"/>
  <c r="U94" i="7"/>
  <c r="H52" i="10"/>
  <c r="E97" i="11" l="1"/>
  <c r="T95" i="7"/>
  <c r="I52" i="10"/>
  <c r="F97" i="11"/>
  <c r="U95" i="7"/>
  <c r="J52" i="10"/>
  <c r="E98" i="11" l="1"/>
  <c r="T96" i="7"/>
  <c r="G53" i="10"/>
  <c r="F98" i="11"/>
  <c r="U96" i="7"/>
  <c r="H53" i="10"/>
  <c r="E99" i="11" l="1"/>
  <c r="T97" i="7"/>
  <c r="I53" i="10"/>
  <c r="F99" i="11"/>
  <c r="U97" i="7"/>
  <c r="J53" i="10"/>
  <c r="E100" i="11" l="1"/>
  <c r="T98" i="7"/>
  <c r="G54" i="10"/>
  <c r="F100" i="11"/>
  <c r="U98" i="7"/>
  <c r="H54" i="10"/>
  <c r="E101" i="11" l="1"/>
  <c r="T99" i="7"/>
  <c r="I54" i="10"/>
  <c r="F101" i="11"/>
  <c r="U99" i="7"/>
  <c r="J54" i="10"/>
  <c r="E102" i="11" l="1"/>
  <c r="T100" i="7"/>
  <c r="G55" i="10"/>
  <c r="F102" i="11"/>
  <c r="U100" i="7"/>
  <c r="H55" i="10"/>
  <c r="E103" i="11" l="1"/>
  <c r="T101" i="7"/>
  <c r="I55" i="10"/>
  <c r="F103" i="11"/>
  <c r="U101" i="7"/>
  <c r="J55" i="10"/>
  <c r="E104" i="11" l="1"/>
  <c r="T102" i="7"/>
  <c r="G56" i="10"/>
  <c r="F104" i="11"/>
  <c r="U102" i="7"/>
  <c r="H56" i="10"/>
  <c r="E105" i="11" l="1"/>
  <c r="T103" i="7"/>
  <c r="I56" i="10"/>
  <c r="F105" i="11"/>
  <c r="U103" i="7"/>
  <c r="J56" i="10"/>
  <c r="E106" i="11" l="1"/>
  <c r="T104" i="7"/>
  <c r="G57" i="10"/>
  <c r="F106" i="11"/>
  <c r="U104" i="7"/>
  <c r="H57" i="10"/>
  <c r="E107" i="11" l="1"/>
  <c r="T105" i="7"/>
  <c r="I57" i="10"/>
  <c r="F107" i="11"/>
  <c r="U105" i="7"/>
  <c r="J57" i="10"/>
  <c r="E108" i="11" l="1"/>
  <c r="T106" i="7"/>
  <c r="G58" i="10"/>
  <c r="F108" i="11"/>
  <c r="U106" i="7"/>
  <c r="H58" i="10"/>
  <c r="E109" i="11" l="1"/>
  <c r="T107" i="7"/>
  <c r="I58" i="10"/>
  <c r="F109" i="11"/>
  <c r="U107" i="7"/>
  <c r="J58" i="10"/>
  <c r="E110" i="11" l="1"/>
  <c r="T108" i="7"/>
  <c r="G59" i="10"/>
  <c r="F110" i="11"/>
  <c r="U108" i="7"/>
  <c r="H59" i="10"/>
  <c r="E111" i="11" l="1"/>
  <c r="T109" i="7"/>
  <c r="I59" i="10"/>
  <c r="F111" i="11"/>
  <c r="U109" i="7"/>
  <c r="J59" i="10"/>
  <c r="E112" i="11" l="1"/>
  <c r="T110" i="7"/>
  <c r="G60" i="10"/>
  <c r="F112" i="11"/>
  <c r="U110" i="7"/>
  <c r="H60" i="10"/>
  <c r="E113" i="11" l="1"/>
  <c r="T111" i="7"/>
  <c r="I60" i="10"/>
  <c r="F113" i="11"/>
  <c r="U111" i="7"/>
  <c r="J60" i="10"/>
  <c r="E114" i="11" l="1"/>
  <c r="T112" i="7"/>
  <c r="G61" i="10"/>
  <c r="F114" i="11"/>
  <c r="U112" i="7"/>
  <c r="H61" i="10"/>
  <c r="E115" i="11" l="1"/>
  <c r="T113" i="7"/>
  <c r="I61" i="10"/>
  <c r="F115" i="11"/>
  <c r="U113" i="7"/>
  <c r="J61" i="10"/>
  <c r="E116" i="11" l="1"/>
  <c r="T114" i="7"/>
  <c r="G62" i="10"/>
  <c r="F116" i="11"/>
  <c r="U114" i="7"/>
  <c r="H62" i="10"/>
  <c r="I62" i="10"/>
  <c r="J62" i="10"/>
  <c r="G63" i="10"/>
  <c r="H63" i="10"/>
  <c r="I63" i="10"/>
  <c r="J63" i="10"/>
  <c r="G64" i="10"/>
  <c r="H64" i="10"/>
  <c r="I64" i="10"/>
  <c r="J64" i="10"/>
  <c r="G65" i="10"/>
  <c r="H65" i="10"/>
  <c r="I65" i="10"/>
  <c r="J65" i="10"/>
  <c r="G66" i="10"/>
  <c r="H66" i="10"/>
  <c r="I66" i="10"/>
  <c r="J66" i="10"/>
  <c r="G67" i="10"/>
  <c r="H67" i="10"/>
  <c r="I67" i="10"/>
  <c r="J67" i="10"/>
  <c r="G68" i="10"/>
  <c r="H68" i="10"/>
  <c r="I68" i="10"/>
  <c r="J68" i="10"/>
  <c r="G69" i="10"/>
  <c r="H69" i="10"/>
  <c r="I69" i="10"/>
  <c r="J69" i="10"/>
  <c r="G70" i="10"/>
  <c r="H70" i="10"/>
  <c r="I70" i="10"/>
  <c r="J70" i="10"/>
  <c r="G71" i="10"/>
  <c r="H71" i="10"/>
  <c r="I71" i="10"/>
  <c r="J71" i="10"/>
  <c r="G72" i="10"/>
  <c r="H72" i="10"/>
  <c r="I72" i="10"/>
  <c r="J72" i="10"/>
  <c r="G73" i="10"/>
  <c r="H73" i="10"/>
  <c r="I73" i="10"/>
  <c r="J73" i="10"/>
  <c r="G74" i="10"/>
  <c r="H74" i="10"/>
  <c r="I74" i="10"/>
  <c r="J74" i="10"/>
  <c r="G75" i="10"/>
  <c r="H75" i="10"/>
  <c r="I75" i="10"/>
  <c r="J75" i="10"/>
  <c r="G76" i="10"/>
  <c r="H76" i="10"/>
  <c r="I76" i="10"/>
  <c r="J76" i="10"/>
  <c r="G77" i="10"/>
  <c r="H77" i="10"/>
  <c r="I77" i="10"/>
  <c r="J77" i="10"/>
  <c r="G78" i="10"/>
  <c r="H78" i="10"/>
  <c r="I78" i="10"/>
  <c r="J78" i="10"/>
  <c r="G79" i="10"/>
  <c r="H79" i="10"/>
  <c r="I79" i="10"/>
  <c r="J79" i="10"/>
  <c r="G80" i="10"/>
  <c r="H80" i="10"/>
  <c r="I80" i="10"/>
  <c r="J80" i="10"/>
  <c r="G81" i="10"/>
  <c r="H81" i="10"/>
  <c r="I81" i="10"/>
  <c r="J81" i="10"/>
  <c r="G82" i="10"/>
  <c r="H82" i="10"/>
  <c r="I82" i="10"/>
  <c r="J82" i="10"/>
  <c r="G83" i="10"/>
  <c r="H83" i="10"/>
  <c r="I83" i="10"/>
  <c r="J83" i="10"/>
  <c r="G84" i="10"/>
  <c r="H84" i="10"/>
  <c r="I84" i="10"/>
  <c r="J84" i="10"/>
  <c r="G85" i="10"/>
  <c r="H85" i="10"/>
  <c r="I85" i="10"/>
  <c r="J85" i="10"/>
  <c r="G86" i="10"/>
  <c r="H86" i="10"/>
  <c r="I86" i="10"/>
  <c r="J86" i="10"/>
  <c r="G87" i="10"/>
  <c r="H87" i="10"/>
  <c r="I87" i="10"/>
  <c r="J87" i="10"/>
  <c r="G88" i="10"/>
  <c r="H88" i="10"/>
  <c r="I88" i="10"/>
  <c r="J88" i="10"/>
  <c r="G89" i="10"/>
  <c r="H89" i="10"/>
  <c r="I89" i="10"/>
  <c r="J89" i="10"/>
  <c r="G90" i="10"/>
  <c r="H90" i="10"/>
  <c r="I90" i="10"/>
  <c r="J90" i="10"/>
  <c r="G91" i="10"/>
  <c r="H91" i="10"/>
  <c r="I91" i="10"/>
  <c r="J91" i="10"/>
  <c r="G92" i="10"/>
  <c r="H92" i="10"/>
  <c r="I92" i="10"/>
  <c r="J92" i="10"/>
  <c r="G93" i="10"/>
  <c r="H93" i="10"/>
  <c r="I93" i="10"/>
  <c r="J93" i="10"/>
  <c r="G94" i="10"/>
  <c r="H94" i="10"/>
  <c r="I94" i="10"/>
  <c r="J94" i="10"/>
  <c r="G95" i="10"/>
  <c r="H95" i="10"/>
  <c r="I95" i="10"/>
  <c r="J95" i="10"/>
  <c r="G96" i="10"/>
  <c r="H96" i="10"/>
  <c r="I96" i="10"/>
  <c r="J96" i="10"/>
  <c r="G97" i="10"/>
  <c r="H97" i="10"/>
  <c r="I97" i="10"/>
  <c r="J97" i="10"/>
  <c r="G98" i="10"/>
  <c r="H98" i="10"/>
  <c r="I98" i="10"/>
  <c r="J98" i="10"/>
  <c r="G99" i="10"/>
  <c r="H99" i="10"/>
  <c r="I99" i="10"/>
  <c r="J99" i="10"/>
  <c r="G100" i="10"/>
  <c r="H100" i="10"/>
  <c r="I100" i="10"/>
  <c r="J100" i="10"/>
  <c r="G101" i="10"/>
  <c r="H101" i="10"/>
  <c r="I101" i="10"/>
  <c r="J101" i="10"/>
  <c r="G102" i="10"/>
  <c r="H102" i="10"/>
  <c r="I102" i="10"/>
  <c r="J102" i="10"/>
  <c r="G103" i="10"/>
  <c r="H103" i="10"/>
  <c r="I103" i="10"/>
  <c r="J103" i="10"/>
  <c r="G104" i="10"/>
  <c r="H104" i="10"/>
  <c r="I104" i="10"/>
  <c r="J104" i="10"/>
  <c r="G105" i="10"/>
  <c r="H105" i="10"/>
  <c r="I105" i="10"/>
  <c r="J105" i="10"/>
  <c r="G106" i="10"/>
  <c r="H106" i="10"/>
  <c r="I106" i="10"/>
  <c r="J106" i="10"/>
  <c r="G107" i="10"/>
  <c r="H107" i="10"/>
  <c r="I107" i="10"/>
  <c r="J107" i="10"/>
  <c r="G108" i="10"/>
  <c r="H108" i="10"/>
  <c r="I108" i="10"/>
  <c r="J108" i="10"/>
  <c r="G109" i="10"/>
  <c r="H109" i="10"/>
  <c r="I109" i="10"/>
  <c r="J109" i="10"/>
  <c r="G110" i="10"/>
  <c r="H110" i="10"/>
  <c r="I110" i="10"/>
  <c r="J110" i="10"/>
  <c r="G111" i="10"/>
  <c r="H111" i="10"/>
  <c r="I111" i="10"/>
  <c r="J111" i="10"/>
  <c r="G112" i="10"/>
  <c r="H112" i="10"/>
  <c r="I112" i="10"/>
  <c r="J112" i="10"/>
  <c r="G113" i="10"/>
  <c r="H113" i="10"/>
  <c r="I113" i="10"/>
  <c r="J113" i="10"/>
  <c r="G114" i="10"/>
  <c r="I114" i="10"/>
  <c r="K4" i="1"/>
  <c r="H5" i="1"/>
  <c r="C6" i="1"/>
  <c r="D6" i="1" s="1"/>
  <c r="E6" i="1" s="1"/>
  <c r="H6" i="1"/>
  <c r="P7" i="1"/>
  <c r="G18" i="1"/>
  <c r="G7" i="1" s="1"/>
  <c r="B28" i="10"/>
  <c r="A3" i="1"/>
  <c r="L5" i="1"/>
  <c r="L8" i="1"/>
  <c r="L12" i="1"/>
  <c r="L14" i="1"/>
  <c r="L16" i="1"/>
  <c r="L6" i="1"/>
  <c r="L7" i="1"/>
  <c r="L9" i="1"/>
  <c r="L11" i="1"/>
  <c r="L13" i="1"/>
  <c r="L15" i="1"/>
  <c r="L10" i="1"/>
  <c r="C7" i="1" l="1"/>
  <c r="D7" i="1" s="1"/>
  <c r="E7" i="1" s="1"/>
  <c r="I7" i="1" s="1"/>
  <c r="H7" i="1"/>
  <c r="G8" i="1"/>
  <c r="E3" i="1"/>
  <c r="I6" i="1"/>
  <c r="P18" i="1"/>
  <c r="P19" i="1"/>
  <c r="I19" i="1"/>
  <c r="G19" i="1"/>
  <c r="K19" i="1"/>
  <c r="D20" i="1"/>
  <c r="C8" i="1" l="1"/>
  <c r="D8" i="1" s="1"/>
  <c r="E8" i="1" s="1"/>
  <c r="C9" i="1"/>
  <c r="P9" i="1"/>
  <c r="P15" i="1"/>
  <c r="P8" i="1"/>
  <c r="P10" i="1"/>
  <c r="P12" i="1"/>
  <c r="P14" i="1"/>
  <c r="P16" i="1"/>
  <c r="P11" i="1"/>
  <c r="P13" i="1"/>
  <c r="P17" i="1"/>
  <c r="H8" i="1"/>
  <c r="G9" i="1"/>
  <c r="P20" i="1"/>
  <c r="E20" i="1"/>
  <c r="H9" i="1" l="1"/>
  <c r="G10" i="1"/>
  <c r="D9" i="1"/>
  <c r="E9" i="1" s="1"/>
  <c r="C10" i="1"/>
  <c r="I8" i="1"/>
  <c r="P21" i="1"/>
  <c r="P24" i="1"/>
  <c r="P25" i="1"/>
  <c r="P26" i="1"/>
  <c r="P27" i="1"/>
  <c r="P28" i="1"/>
  <c r="P29" i="1"/>
  <c r="P30" i="1"/>
  <c r="P31" i="1"/>
  <c r="P32" i="1"/>
  <c r="P33" i="1"/>
  <c r="P34" i="1"/>
  <c r="P37" i="1"/>
  <c r="O38" i="1"/>
  <c r="P41" i="1"/>
  <c r="P43" i="1"/>
  <c r="P42" i="1" s="1"/>
  <c r="P44" i="1"/>
  <c r="P45" i="1"/>
  <c r="P46" i="1"/>
  <c r="P47" i="1"/>
  <c r="P48" i="1"/>
  <c r="P49" i="1"/>
  <c r="P50" i="1"/>
  <c r="P51" i="1"/>
  <c r="P52" i="1"/>
  <c r="P53" i="1" s="1"/>
  <c r="E22" i="1"/>
  <c r="E21" i="1"/>
  <c r="P38" i="1" l="1"/>
  <c r="D10" i="1"/>
  <c r="E10" i="1" s="1"/>
  <c r="C11" i="1"/>
  <c r="H10" i="1"/>
  <c r="G11" i="1"/>
  <c r="I9" i="1"/>
  <c r="I10" i="1" l="1"/>
  <c r="G12" i="1"/>
  <c r="H11" i="1"/>
  <c r="D11" i="1"/>
  <c r="E11" i="1" s="1"/>
  <c r="C12" i="1"/>
  <c r="D12" i="1" l="1"/>
  <c r="E12" i="1" s="1"/>
  <c r="C13" i="1"/>
  <c r="I11" i="1"/>
  <c r="H12" i="1"/>
  <c r="G13" i="1"/>
  <c r="G14" i="1" l="1"/>
  <c r="H13" i="1"/>
  <c r="I12" i="1"/>
  <c r="D13" i="1"/>
  <c r="E13" i="1" s="1"/>
  <c r="C14" i="1"/>
  <c r="D14" i="1" l="1"/>
  <c r="E14" i="1" s="1"/>
  <c r="C15" i="1"/>
  <c r="H14" i="1"/>
  <c r="G15" i="1"/>
  <c r="H15" i="1" s="1"/>
  <c r="I13" i="1"/>
  <c r="I14" i="1" l="1"/>
  <c r="D15" i="1"/>
  <c r="E15" i="1" s="1"/>
  <c r="K15" i="1" s="1"/>
  <c r="K16" i="1" s="1"/>
  <c r="D21" i="1"/>
  <c r="D22" i="1" l="1"/>
  <c r="E4" i="1"/>
  <c r="I15" i="1"/>
  <c r="K11" i="1"/>
  <c r="K9" i="1"/>
  <c r="K13" i="1"/>
  <c r="K10" i="1"/>
  <c r="K12" i="1"/>
  <c r="K14" i="1"/>
  <c r="K6" i="1"/>
  <c r="K5" i="1" s="1"/>
  <c r="K7" i="1"/>
  <c r="K8" i="1"/>
  <c r="I18" i="1"/>
  <c r="K18" i="1"/>
  <c r="D23" i="1"/>
</calcChain>
</file>

<file path=xl/sharedStrings.xml><?xml version="1.0" encoding="utf-8"?>
<sst xmlns="http://schemas.openxmlformats.org/spreadsheetml/2006/main" count="116" uniqueCount="72">
  <si>
    <t>X</t>
  </si>
  <si>
    <t>Mean</t>
  </si>
  <si>
    <t>Residuals</t>
  </si>
  <si>
    <t>f(x)</t>
  </si>
  <si>
    <t>F(x)</t>
  </si>
  <si>
    <t xml:space="preserve">James W. Richardson </t>
  </si>
  <si>
    <t>Res/Mean</t>
  </si>
  <si>
    <t>EMP Distribution</t>
  </si>
  <si>
    <t>S(Xis's)</t>
  </si>
  <si>
    <t>EMP 1</t>
  </si>
  <si>
    <t>EMP2</t>
  </si>
  <si>
    <t>Variable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</si>
  <si>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</si>
  <si>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</si>
  <si>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</si>
  <si>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</si>
  <si>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</si>
  <si>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</si>
  <si>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</si>
  <si>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</si>
  <si>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</si>
  <si>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</si>
  <si>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</si>
  <si>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</si>
  <si>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</si>
  <si>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</si>
  <si>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</si>
  <si>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CDFProb.</t>
  </si>
  <si>
    <t>Sorted Actual Data</t>
  </si>
  <si>
    <t>Middle</t>
  </si>
  <si>
    <t>Simetar Simulation Results for 500 Iterations. 7:38:40 AM 9/4/2012 (0 sec.).  © 2011.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</si>
  <si>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</si>
  <si>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</si>
  <si>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</si>
  <si>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</si>
  <si>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</si>
  <si>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</si>
  <si>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</si>
  <si>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</si>
  <si>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</si>
  <si>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</si>
  <si>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Triangle</t>
  </si>
  <si>
    <t>Stoch Dev from Mean</t>
  </si>
  <si>
    <t xml:space="preserve">Stoch Value </t>
  </si>
  <si>
    <t>USD</t>
  </si>
  <si>
    <t>First EMP</t>
  </si>
  <si>
    <t>Correct EMP</t>
  </si>
  <si>
    <t>Unsorted Deviations from Mean</t>
  </si>
  <si>
    <t>Obs.</t>
  </si>
  <si>
    <t>St.Dev.</t>
  </si>
  <si>
    <t>C.V.</t>
  </si>
  <si>
    <t>Autocorrelation Coefficient</t>
  </si>
  <si>
    <t>Unsorted Deviations from Mean as a Percent of Mean</t>
  </si>
  <si>
    <t>Correlation Matrix</t>
  </si>
  <si>
    <t>Sorted Deviations from Mean as a Percent of Mean</t>
  </si>
  <si>
    <t>Output for Empirical Distribution with 10 Observations as Percent Deviations from Mean</t>
  </si>
  <si>
    <t>Min=</t>
  </si>
  <si>
    <t>X Histrogram</t>
  </si>
  <si>
    <t>CDF Approximations</t>
  </si>
  <si>
    <t>Histogram</t>
  </si>
  <si>
    <t>Parzen</t>
  </si>
  <si>
    <t>Step 1 copy the X variable to column C</t>
  </si>
  <si>
    <t>Step 2 draw a CDF with Smooth Lines see fig below</t>
  </si>
  <si>
    <t xml:space="preserve">Step 3 change the yellow cells to zero and 1s and </t>
  </si>
  <si>
    <t>set the Kernal type to Parzen and Histogram</t>
  </si>
  <si>
    <t>Histogram shows the actual data as it is reported</t>
  </si>
  <si>
    <t>Parzen is the smoothed distribution.</t>
  </si>
  <si>
    <t>Simulate the smoothed Parzen distribution as EMP</t>
  </si>
  <si>
    <t>Use the Fx in column X and Si in column G</t>
  </si>
  <si>
    <t>X Stoch</t>
  </si>
  <si>
    <t>Simetar Simulation Results for 500 Iterations. 10:09:21 AM 9/15/2015 (10 sec.).  © 2011.</t>
  </si>
  <si>
    <t>CDF Approximation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</si>
</sst>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15" fontId="0" fillId="0" borderId="0" xfId="0" applyNumberFormat="1"/>
    <xf numFmtId="0" fontId="0" fillId="0" borderId="2" xfId="0" applyBorder="1"/>
    <xf numFmtId="167" fontId="0" fillId="0" borderId="0" xfId="0" applyNumberFormat="1"/>
    <xf numFmtId="164" fontId="0" fillId="0" borderId="0" xfId="0" applyNumberFormat="1" applyAlignment="1">
      <alignment shrinkToFit="1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166" fontId="1" fillId="0" borderId="0" xfId="0" applyNumberFormat="1" applyFont="1"/>
    <xf numFmtId="166" fontId="1" fillId="0" borderId="1" xfId="0" applyNumberFormat="1" applyFont="1" applyBorder="1"/>
    <xf numFmtId="165" fontId="1" fillId="0" borderId="0" xfId="0" applyNumberFormat="1" applyFont="1"/>
    <xf numFmtId="0" fontId="0" fillId="0" borderId="1" xfId="0" applyBorder="1"/>
    <xf numFmtId="0" fontId="0" fillId="0" borderId="0" xfId="0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SimDataKDE!$D$7</c:f>
          <c:strCache>
            <c:ptCount val="1"/>
            <c:pt idx="0">
              <c:v>CDF Approximation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SimDataKDE!$E$8</c:f>
              <c:strCache>
                <c:ptCount val="1"/>
                <c:pt idx="0">
                  <c:v>X Stoch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SimDataKDE!$E$17:$E$116</c:f>
              <c:numCache>
                <c:formatCode>0.000</c:formatCode>
                <c:ptCount val="100"/>
                <c:pt idx="0">
                  <c:v>20.008389951005551</c:v>
                </c:pt>
                <c:pt idx="1">
                  <c:v>21.523008734611007</c:v>
                </c:pt>
                <c:pt idx="2">
                  <c:v>23.037627518216464</c:v>
                </c:pt>
                <c:pt idx="3">
                  <c:v>24.552246301821921</c:v>
                </c:pt>
                <c:pt idx="4">
                  <c:v>26.066865085427377</c:v>
                </c:pt>
                <c:pt idx="5">
                  <c:v>27.581483869032834</c:v>
                </c:pt>
                <c:pt idx="6">
                  <c:v>29.09610265263829</c:v>
                </c:pt>
                <c:pt idx="7">
                  <c:v>30.610721436243747</c:v>
                </c:pt>
                <c:pt idx="8">
                  <c:v>32.125340219849207</c:v>
                </c:pt>
                <c:pt idx="9">
                  <c:v>33.639959003454663</c:v>
                </c:pt>
                <c:pt idx="10">
                  <c:v>35.15457778706012</c:v>
                </c:pt>
                <c:pt idx="11">
                  <c:v>36.669196570665576</c:v>
                </c:pt>
                <c:pt idx="12">
                  <c:v>38.183815354271033</c:v>
                </c:pt>
                <c:pt idx="13">
                  <c:v>39.69843413787649</c:v>
                </c:pt>
                <c:pt idx="14">
                  <c:v>41.213052921481946</c:v>
                </c:pt>
                <c:pt idx="15">
                  <c:v>42.727671705087403</c:v>
                </c:pt>
                <c:pt idx="16">
                  <c:v>44.242290488692859</c:v>
                </c:pt>
                <c:pt idx="17">
                  <c:v>45.756909272298316</c:v>
                </c:pt>
                <c:pt idx="18">
                  <c:v>47.271528055903772</c:v>
                </c:pt>
                <c:pt idx="19">
                  <c:v>48.786146839509229</c:v>
                </c:pt>
                <c:pt idx="20">
                  <c:v>50.300765623114685</c:v>
                </c:pt>
                <c:pt idx="21">
                  <c:v>51.815384406720142</c:v>
                </c:pt>
                <c:pt idx="22">
                  <c:v>53.330003190325598</c:v>
                </c:pt>
                <c:pt idx="23">
                  <c:v>54.844621973931055</c:v>
                </c:pt>
                <c:pt idx="24">
                  <c:v>56.359240757536512</c:v>
                </c:pt>
                <c:pt idx="25">
                  <c:v>57.873859541141968</c:v>
                </c:pt>
                <c:pt idx="26">
                  <c:v>59.388478324747425</c:v>
                </c:pt>
                <c:pt idx="27">
                  <c:v>60.903097108352881</c:v>
                </c:pt>
                <c:pt idx="28">
                  <c:v>62.417715891958338</c:v>
                </c:pt>
                <c:pt idx="29">
                  <c:v>63.932334675563794</c:v>
                </c:pt>
                <c:pt idx="30">
                  <c:v>65.446953459169251</c:v>
                </c:pt>
                <c:pt idx="31">
                  <c:v>66.961572242774707</c:v>
                </c:pt>
                <c:pt idx="32">
                  <c:v>68.476191026380164</c:v>
                </c:pt>
                <c:pt idx="33">
                  <c:v>69.99080980998562</c:v>
                </c:pt>
                <c:pt idx="34">
                  <c:v>71.505428593591077</c:v>
                </c:pt>
                <c:pt idx="35">
                  <c:v>73.020047377196533</c:v>
                </c:pt>
                <c:pt idx="36">
                  <c:v>74.53466616080199</c:v>
                </c:pt>
                <c:pt idx="37">
                  <c:v>76.049284944407447</c:v>
                </c:pt>
                <c:pt idx="38">
                  <c:v>77.563903728012903</c:v>
                </c:pt>
                <c:pt idx="39">
                  <c:v>79.07852251161836</c:v>
                </c:pt>
                <c:pt idx="40">
                  <c:v>80.593141295223816</c:v>
                </c:pt>
                <c:pt idx="41">
                  <c:v>82.107760078829273</c:v>
                </c:pt>
                <c:pt idx="42">
                  <c:v>83.622378862434729</c:v>
                </c:pt>
                <c:pt idx="43">
                  <c:v>85.136997646040186</c:v>
                </c:pt>
                <c:pt idx="44">
                  <c:v>86.651616429645642</c:v>
                </c:pt>
                <c:pt idx="45">
                  <c:v>88.166235213251099</c:v>
                </c:pt>
                <c:pt idx="46">
                  <c:v>89.680853996856555</c:v>
                </c:pt>
                <c:pt idx="47">
                  <c:v>91.195472780462012</c:v>
                </c:pt>
                <c:pt idx="48">
                  <c:v>92.710091564067469</c:v>
                </c:pt>
                <c:pt idx="49">
                  <c:v>94.224710347672925</c:v>
                </c:pt>
                <c:pt idx="50">
                  <c:v>95.739329131278382</c:v>
                </c:pt>
                <c:pt idx="51">
                  <c:v>97.253947914883838</c:v>
                </c:pt>
                <c:pt idx="52">
                  <c:v>98.768566698489295</c:v>
                </c:pt>
                <c:pt idx="53">
                  <c:v>100.28318548209475</c:v>
                </c:pt>
                <c:pt idx="54">
                  <c:v>101.79780426570021</c:v>
                </c:pt>
                <c:pt idx="55">
                  <c:v>103.31242304930566</c:v>
                </c:pt>
                <c:pt idx="56">
                  <c:v>104.82704183291112</c:v>
                </c:pt>
                <c:pt idx="57">
                  <c:v>106.34166061651658</c:v>
                </c:pt>
                <c:pt idx="58">
                  <c:v>107.85627940012203</c:v>
                </c:pt>
                <c:pt idx="59">
                  <c:v>109.37089818372749</c:v>
                </c:pt>
                <c:pt idx="60">
                  <c:v>110.88551696733295</c:v>
                </c:pt>
                <c:pt idx="61">
                  <c:v>112.4001357509384</c:v>
                </c:pt>
                <c:pt idx="62">
                  <c:v>113.91475453454386</c:v>
                </c:pt>
                <c:pt idx="63">
                  <c:v>115.42937331814932</c:v>
                </c:pt>
                <c:pt idx="64">
                  <c:v>116.94399210175477</c:v>
                </c:pt>
                <c:pt idx="65">
                  <c:v>118.45861088536023</c:v>
                </c:pt>
                <c:pt idx="66">
                  <c:v>119.97322966896569</c:v>
                </c:pt>
                <c:pt idx="67">
                  <c:v>121.48784845257114</c:v>
                </c:pt>
                <c:pt idx="68">
                  <c:v>123.0024672361766</c:v>
                </c:pt>
                <c:pt idx="69">
                  <c:v>124.51708601978206</c:v>
                </c:pt>
                <c:pt idx="70">
                  <c:v>126.03170480338751</c:v>
                </c:pt>
                <c:pt idx="71">
                  <c:v>127.54632358699297</c:v>
                </c:pt>
                <c:pt idx="72">
                  <c:v>129.06094237059841</c:v>
                </c:pt>
                <c:pt idx="73">
                  <c:v>130.57556115420385</c:v>
                </c:pt>
                <c:pt idx="74">
                  <c:v>132.0901799378093</c:v>
                </c:pt>
                <c:pt idx="75">
                  <c:v>133.60479872141474</c:v>
                </c:pt>
                <c:pt idx="76">
                  <c:v>135.11941750502018</c:v>
                </c:pt>
                <c:pt idx="77">
                  <c:v>136.63403628862562</c:v>
                </c:pt>
                <c:pt idx="78">
                  <c:v>138.14865507223107</c:v>
                </c:pt>
                <c:pt idx="79">
                  <c:v>139.66327385583651</c:v>
                </c:pt>
                <c:pt idx="80">
                  <c:v>141.17789263944195</c:v>
                </c:pt>
                <c:pt idx="81">
                  <c:v>142.69251142304739</c:v>
                </c:pt>
                <c:pt idx="82">
                  <c:v>144.20713020665283</c:v>
                </c:pt>
                <c:pt idx="83">
                  <c:v>145.72174899025828</c:v>
                </c:pt>
                <c:pt idx="84">
                  <c:v>147.23636777386372</c:v>
                </c:pt>
                <c:pt idx="85">
                  <c:v>148.75098655746916</c:v>
                </c:pt>
                <c:pt idx="86">
                  <c:v>150.2656053410746</c:v>
                </c:pt>
                <c:pt idx="87">
                  <c:v>151.78022412468005</c:v>
                </c:pt>
                <c:pt idx="88">
                  <c:v>153.29484290828549</c:v>
                </c:pt>
                <c:pt idx="89">
                  <c:v>154.80946169189093</c:v>
                </c:pt>
                <c:pt idx="90">
                  <c:v>156.32408047549637</c:v>
                </c:pt>
                <c:pt idx="91">
                  <c:v>157.83869925910182</c:v>
                </c:pt>
                <c:pt idx="92">
                  <c:v>159.35331804270726</c:v>
                </c:pt>
                <c:pt idx="93">
                  <c:v>160.8679368263127</c:v>
                </c:pt>
                <c:pt idx="94">
                  <c:v>162.38255560991814</c:v>
                </c:pt>
                <c:pt idx="95">
                  <c:v>163.89717439352358</c:v>
                </c:pt>
                <c:pt idx="96">
                  <c:v>165.41179317712903</c:v>
                </c:pt>
                <c:pt idx="97">
                  <c:v>166.92641196073447</c:v>
                </c:pt>
                <c:pt idx="98">
                  <c:v>168.44103074433991</c:v>
                </c:pt>
                <c:pt idx="99">
                  <c:v>169.95564952794535</c:v>
                </c:pt>
              </c:numCache>
            </c:numRef>
          </c:xVal>
          <c:yVal>
            <c:numRef>
              <c:f>SimDataKDE!$F$17:$F$116</c:f>
              <c:numCache>
                <c:formatCode>0.000</c:formatCode>
                <c:ptCount val="100"/>
                <c:pt idx="0">
                  <c:v>0.11124942384049871</c:v>
                </c:pt>
                <c:pt idx="1">
                  <c:v>0.12286617150339142</c:v>
                </c:pt>
                <c:pt idx="2">
                  <c:v>0.13497488537443367</c:v>
                </c:pt>
                <c:pt idx="3">
                  <c:v>0.14751760100045577</c:v>
                </c:pt>
                <c:pt idx="4">
                  <c:v>0.16043204502669031</c:v>
                </c:pt>
                <c:pt idx="5">
                  <c:v>0.17365316785006643</c:v>
                </c:pt>
                <c:pt idx="6">
                  <c:v>0.18711472514090549</c:v>
                </c:pt>
                <c:pt idx="7">
                  <c:v>0.20075082443530048</c:v>
                </c:pt>
                <c:pt idx="8">
                  <c:v>0.21449737486010889</c:v>
                </c:pt>
                <c:pt idx="9">
                  <c:v>0.22829338789221446</c:v>
                </c:pt>
                <c:pt idx="10">
                  <c:v>0.24208208454083721</c:v>
                </c:pt>
                <c:pt idx="11">
                  <c:v>0.25581177935745608</c:v>
                </c:pt>
                <c:pt idx="12">
                  <c:v>0.269436521569905</c:v>
                </c:pt>
                <c:pt idx="13">
                  <c:v>0.28291649182041378</c:v>
                </c:pt>
                <c:pt idx="14">
                  <c:v>0.29621815814691654</c:v>
                </c:pt>
                <c:pt idx="15">
                  <c:v>0.30931421407745224</c:v>
                </c:pt>
                <c:pt idx="16">
                  <c:v>0.32218332242866232</c:v>
                </c:pt>
                <c:pt idx="17">
                  <c:v>0.3348096989255811</c:v>
                </c:pt>
                <c:pt idx="18">
                  <c:v>0.3471825753383504</c:v>
                </c:pt>
                <c:pt idx="19">
                  <c:v>0.35929557536824724</c:v>
                </c:pt>
                <c:pt idx="20">
                  <c:v>0.37114604532598633</c:v>
                </c:pt>
                <c:pt idx="21">
                  <c:v>0.38273437218026357</c:v>
                </c:pt>
                <c:pt idx="22">
                  <c:v>0.39406331800786376</c:v>
                </c:pt>
                <c:pt idx="23">
                  <c:v>0.40513739810753779</c:v>
                </c:pt>
                <c:pt idx="24">
                  <c:v>0.41596232029103841</c:v>
                </c:pt>
                <c:pt idx="25">
                  <c:v>0.42654450159837842</c:v>
                </c:pt>
                <c:pt idx="26">
                  <c:v>0.43689066547648625</c:v>
                </c:pt>
                <c:pt idx="27">
                  <c:v>0.44700752839835994</c:v>
                </c:pt>
                <c:pt idx="28">
                  <c:v>0.45690156884164224</c:v>
                </c:pt>
                <c:pt idx="29">
                  <c:v>0.46657887591216057</c:v>
                </c:pt>
                <c:pt idx="30">
                  <c:v>0.47604506925814</c:v>
                </c:pt>
                <c:pt idx="31">
                  <c:v>0.48530527924217515</c:v>
                </c:pt>
                <c:pt idx="32">
                  <c:v>0.49436417631460772</c:v>
                </c:pt>
                <c:pt idx="33">
                  <c:v>0.50322603794139209</c:v>
                </c:pt>
                <c:pt idx="34">
                  <c:v>0.51189483993031115</c:v>
                </c:pt>
                <c:pt idx="35">
                  <c:v>0.52037436369782009</c:v>
                </c:pt>
                <c:pt idx="36">
                  <c:v>0.52866830777301999</c:v>
                </c:pt>
                <c:pt idx="37">
                  <c:v>0.53678039541882472</c:v>
                </c:pt>
                <c:pt idx="38">
                  <c:v>0.54471447306543963</c:v>
                </c:pt>
                <c:pt idx="39">
                  <c:v>0.55247459408391009</c:v>
                </c:pt>
                <c:pt idx="40">
                  <c:v>0.5600650856066608</c:v>
                </c:pt>
                <c:pt idx="41">
                  <c:v>0.56749059717533534</c:v>
                </c:pt>
                <c:pt idx="42">
                  <c:v>0.57475613163941552</c:v>
                </c:pt>
                <c:pt idx="43">
                  <c:v>0.58186706191382709</c:v>
                </c:pt>
                <c:pt idx="44">
                  <c:v>0.5888291328595292</c:v>
                </c:pt>
                <c:pt idx="45">
                  <c:v>0.59564845735144378</c:v>
                </c:pt>
                <c:pt idx="46">
                  <c:v>0.60233150366735499</c:v>
                </c:pt>
                <c:pt idx="47">
                  <c:v>0.60888508313364664</c:v>
                </c:pt>
                <c:pt idx="48">
                  <c:v>0.61531633830761412</c:v>
                </c:pt>
                <c:pt idx="49">
                  <c:v>0.62163273422858267</c:v>
                </c:pt>
                <c:pt idx="50">
                  <c:v>0.62784205451267439</c:v>
                </c:pt>
                <c:pt idx="51">
                  <c:v>0.63395240303700373</c:v>
                </c:pt>
                <c:pt idx="52">
                  <c:v>0.63997220879221617</c:v>
                </c:pt>
                <c:pt idx="53">
                  <c:v>0.64591023264777092</c:v>
                </c:pt>
                <c:pt idx="54">
                  <c:v>0.6517755748227847</c:v>
                </c:pt>
                <c:pt idx="55">
                  <c:v>0.65757767701739223</c:v>
                </c:pt>
                <c:pt idx="56">
                  <c:v>0.66332631868756731</c:v>
                </c:pt>
                <c:pt idx="57">
                  <c:v>0.66903160196963596</c:v>
                </c:pt>
                <c:pt idx="58">
                  <c:v>0.67470392266674628</c:v>
                </c:pt>
                <c:pt idx="59">
                  <c:v>0.68035392647536297</c:v>
                </c:pt>
                <c:pt idx="60">
                  <c:v>0.68599244612676313</c:v>
                </c:pt>
                <c:pt idx="61">
                  <c:v>0.6916304229970629</c:v>
                </c:pt>
                <c:pt idx="62">
                  <c:v>0.69727881156399374</c:v>
                </c:pt>
                <c:pt idx="63">
                  <c:v>0.70294846939213484</c:v>
                </c:pt>
                <c:pt idx="64">
                  <c:v>0.70865003694427353</c:v>
                </c:pt>
                <c:pt idx="65">
                  <c:v>0.71439381085172793</c:v>
                </c:pt>
                <c:pt idx="66">
                  <c:v>0.72018961529843617</c:v>
                </c:pt>
                <c:pt idx="67">
                  <c:v>0.7260466766541197</c:v>
                </c:pt>
                <c:pt idx="68">
                  <c:v>0.73197350574693487</c:v>
                </c:pt>
                <c:pt idx="69">
                  <c:v>0.73797779395178709</c:v>
                </c:pt>
                <c:pt idx="70">
                  <c:v>0.74406632216827362</c:v>
                </c:pt>
                <c:pt idx="71">
                  <c:v>0.75024488877164164</c:v>
                </c:pt>
                <c:pt idx="72">
                  <c:v>0.75651825516474458</c:v>
                </c:pt>
                <c:pt idx="73">
                  <c:v>0.76289010872642449</c:v>
                </c:pt>
                <c:pt idx="74">
                  <c:v>0.76936303722970845</c:v>
                </c:pt>
                <c:pt idx="75">
                  <c:v>0.77593851413141424</c:v>
                </c:pt>
                <c:pt idx="76">
                  <c:v>0.78261688855234923</c:v>
                </c:pt>
                <c:pt idx="77">
                  <c:v>0.7893973718008066</c:v>
                </c:pt>
                <c:pt idx="78">
                  <c:v>0.79627801785213204</c:v>
                </c:pt>
                <c:pt idx="79">
                  <c:v>0.80325568801903824</c:v>
                </c:pt>
                <c:pt idx="80">
                  <c:v>0.81032599888976864</c:v>
                </c:pt>
                <c:pt idx="81">
                  <c:v>0.81748324931653038</c:v>
                </c:pt>
                <c:pt idx="82">
                  <c:v>0.82472032730731348</c:v>
                </c:pt>
                <c:pt idx="83">
                  <c:v>0.83202859871831469</c:v>
                </c:pt>
                <c:pt idx="84">
                  <c:v>0.83939778379642593</c:v>
                </c:pt>
                <c:pt idx="85">
                  <c:v>0.8468158312523526</c:v>
                </c:pt>
                <c:pt idx="86">
                  <c:v>0.85426880125622873</c:v>
                </c:pt>
                <c:pt idx="87">
                  <c:v>0.86174077110419134</c:v>
                </c:pt>
                <c:pt idx="88">
                  <c:v>0.86921377823132162</c:v>
                </c:pt>
                <c:pt idx="89">
                  <c:v>0.87666781634017787</c:v>
                </c:pt>
                <c:pt idx="90">
                  <c:v>0.88408090061054467</c:v>
                </c:pt>
                <c:pt idx="91">
                  <c:v>0.89142920963226235</c:v>
                </c:pt>
                <c:pt idx="92">
                  <c:v>0.89868731717881589</c:v>
                </c:pt>
                <c:pt idx="93">
                  <c:v>0.90582851409079335</c:v>
                </c:pt>
                <c:pt idx="94">
                  <c:v>0.91282521924905036</c:v>
                </c:pt>
                <c:pt idx="95">
                  <c:v>0.91964947215691295</c:v>
                </c:pt>
                <c:pt idx="96">
                  <c:v>0.92627349265355807</c:v>
                </c:pt>
                <c:pt idx="97">
                  <c:v>0.93267028893476733</c:v>
                </c:pt>
                <c:pt idx="98">
                  <c:v>0.93881429145665662</c:v>
                </c:pt>
                <c:pt idx="99">
                  <c:v>0.9446819742770346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4737088"/>
        <c:axId val="-1438061664"/>
      </c:scatterChart>
      <c:valAx>
        <c:axId val="-149473708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1438061664"/>
        <c:crosses val="autoZero"/>
        <c:crossBetween val="midCat"/>
      </c:valAx>
      <c:valAx>
        <c:axId val="-143806166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crossAx val="-1494737088"/>
        <c:crosses val="autoZero"/>
        <c:crossBetween val="midCat"/>
      </c:valAx>
      <c:spPr>
        <a:noFill/>
      </c:spPr>
    </c:plotArea>
    <c:legend>
      <c:legendPos val="b"/>
      <c:layout/>
      <c:overlay val="0"/>
      <c:spPr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KDE!$F$5</c:f>
          <c:strCache>
            <c:ptCount val="1"/>
            <c:pt idx="0">
              <c:v>CDF Approximations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KDE!$G$6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KDE!$G$15:$G$114</c:f>
              <c:numCache>
                <c:formatCode>0.000</c:formatCode>
                <c:ptCount val="100"/>
                <c:pt idx="0">
                  <c:v>20</c:v>
                </c:pt>
                <c:pt idx="1">
                  <c:v>21.515151515151516</c:v>
                </c:pt>
                <c:pt idx="2">
                  <c:v>23.030303030303031</c:v>
                </c:pt>
                <c:pt idx="3">
                  <c:v>24.545454545454547</c:v>
                </c:pt>
                <c:pt idx="4">
                  <c:v>26.060606060606062</c:v>
                </c:pt>
                <c:pt idx="5">
                  <c:v>27.575757575757578</c:v>
                </c:pt>
                <c:pt idx="6">
                  <c:v>29.090909090909093</c:v>
                </c:pt>
                <c:pt idx="7">
                  <c:v>30.606060606060609</c:v>
                </c:pt>
                <c:pt idx="8">
                  <c:v>32.121212121212125</c:v>
                </c:pt>
                <c:pt idx="9">
                  <c:v>33.63636363636364</c:v>
                </c:pt>
                <c:pt idx="10">
                  <c:v>35.151515151515156</c:v>
                </c:pt>
                <c:pt idx="11">
                  <c:v>36.666666666666671</c:v>
                </c:pt>
                <c:pt idx="12">
                  <c:v>38.181818181818187</c:v>
                </c:pt>
                <c:pt idx="13">
                  <c:v>39.696969696969703</c:v>
                </c:pt>
                <c:pt idx="14">
                  <c:v>41.212121212121218</c:v>
                </c:pt>
                <c:pt idx="15">
                  <c:v>42.727272727272734</c:v>
                </c:pt>
                <c:pt idx="16">
                  <c:v>44.242424242424249</c:v>
                </c:pt>
                <c:pt idx="17">
                  <c:v>45.757575757575765</c:v>
                </c:pt>
                <c:pt idx="18">
                  <c:v>47.27272727272728</c:v>
                </c:pt>
                <c:pt idx="19">
                  <c:v>48.787878787878796</c:v>
                </c:pt>
                <c:pt idx="20">
                  <c:v>50.303030303030312</c:v>
                </c:pt>
                <c:pt idx="21">
                  <c:v>51.818181818181827</c:v>
                </c:pt>
                <c:pt idx="22">
                  <c:v>53.333333333333343</c:v>
                </c:pt>
                <c:pt idx="23">
                  <c:v>54.848484848484858</c:v>
                </c:pt>
                <c:pt idx="24">
                  <c:v>56.363636363636374</c:v>
                </c:pt>
                <c:pt idx="25">
                  <c:v>57.87878787878789</c:v>
                </c:pt>
                <c:pt idx="26">
                  <c:v>59.393939393939405</c:v>
                </c:pt>
                <c:pt idx="27">
                  <c:v>60.909090909090921</c:v>
                </c:pt>
                <c:pt idx="28">
                  <c:v>62.424242424242436</c:v>
                </c:pt>
                <c:pt idx="29">
                  <c:v>63.939393939393952</c:v>
                </c:pt>
                <c:pt idx="30">
                  <c:v>65.454545454545467</c:v>
                </c:pt>
                <c:pt idx="31">
                  <c:v>66.969696969696983</c:v>
                </c:pt>
                <c:pt idx="32">
                  <c:v>68.484848484848499</c:v>
                </c:pt>
                <c:pt idx="33">
                  <c:v>70.000000000000014</c:v>
                </c:pt>
                <c:pt idx="34">
                  <c:v>71.51515151515153</c:v>
                </c:pt>
                <c:pt idx="35">
                  <c:v>73.030303030303045</c:v>
                </c:pt>
                <c:pt idx="36">
                  <c:v>74.545454545454561</c:v>
                </c:pt>
                <c:pt idx="37">
                  <c:v>76.060606060606077</c:v>
                </c:pt>
                <c:pt idx="38">
                  <c:v>77.575757575757592</c:v>
                </c:pt>
                <c:pt idx="39">
                  <c:v>79.090909090909108</c:v>
                </c:pt>
                <c:pt idx="40">
                  <c:v>80.606060606060623</c:v>
                </c:pt>
                <c:pt idx="41">
                  <c:v>82.121212121212139</c:v>
                </c:pt>
                <c:pt idx="42">
                  <c:v>83.636363636363654</c:v>
                </c:pt>
                <c:pt idx="43">
                  <c:v>85.15151515151517</c:v>
                </c:pt>
                <c:pt idx="44">
                  <c:v>86.666666666666686</c:v>
                </c:pt>
                <c:pt idx="45">
                  <c:v>88.181818181818201</c:v>
                </c:pt>
                <c:pt idx="46">
                  <c:v>89.696969696969717</c:v>
                </c:pt>
                <c:pt idx="47">
                  <c:v>91.212121212121232</c:v>
                </c:pt>
                <c:pt idx="48">
                  <c:v>92.727272727272748</c:v>
                </c:pt>
                <c:pt idx="49">
                  <c:v>94.242424242424264</c:v>
                </c:pt>
                <c:pt idx="50">
                  <c:v>95.757575757575779</c:v>
                </c:pt>
                <c:pt idx="51">
                  <c:v>97.272727272727295</c:v>
                </c:pt>
                <c:pt idx="52">
                  <c:v>98.78787878787881</c:v>
                </c:pt>
                <c:pt idx="53">
                  <c:v>100.30303030303033</c:v>
                </c:pt>
                <c:pt idx="54">
                  <c:v>101.81818181818184</c:v>
                </c:pt>
                <c:pt idx="55">
                  <c:v>103.33333333333336</c:v>
                </c:pt>
                <c:pt idx="56">
                  <c:v>104.84848484848487</c:v>
                </c:pt>
                <c:pt idx="57">
                  <c:v>106.36363636363639</c:v>
                </c:pt>
                <c:pt idx="58">
                  <c:v>107.8787878787879</c:v>
                </c:pt>
                <c:pt idx="59">
                  <c:v>109.39393939393942</c:v>
                </c:pt>
                <c:pt idx="60">
                  <c:v>110.90909090909093</c:v>
                </c:pt>
                <c:pt idx="61">
                  <c:v>112.42424242424245</c:v>
                </c:pt>
                <c:pt idx="62">
                  <c:v>113.93939393939397</c:v>
                </c:pt>
                <c:pt idx="63">
                  <c:v>115.45454545454548</c:v>
                </c:pt>
                <c:pt idx="64">
                  <c:v>116.969696969697</c:v>
                </c:pt>
                <c:pt idx="65">
                  <c:v>118.48484848484851</c:v>
                </c:pt>
                <c:pt idx="66">
                  <c:v>120.00000000000003</c:v>
                </c:pt>
                <c:pt idx="67">
                  <c:v>121.51515151515154</c:v>
                </c:pt>
                <c:pt idx="68">
                  <c:v>123.03030303030306</c:v>
                </c:pt>
                <c:pt idx="69">
                  <c:v>124.54545454545458</c:v>
                </c:pt>
                <c:pt idx="70">
                  <c:v>126.06060606060609</c:v>
                </c:pt>
                <c:pt idx="71">
                  <c:v>127.57575757575761</c:v>
                </c:pt>
                <c:pt idx="72">
                  <c:v>129.09090909090912</c:v>
                </c:pt>
                <c:pt idx="73">
                  <c:v>130.60606060606062</c:v>
                </c:pt>
                <c:pt idx="74">
                  <c:v>132.12121212121212</c:v>
                </c:pt>
                <c:pt idx="75">
                  <c:v>133.63636363636363</c:v>
                </c:pt>
                <c:pt idx="76">
                  <c:v>135.15151515151513</c:v>
                </c:pt>
                <c:pt idx="77">
                  <c:v>136.66666666666663</c:v>
                </c:pt>
                <c:pt idx="78">
                  <c:v>138.18181818181813</c:v>
                </c:pt>
                <c:pt idx="79">
                  <c:v>139.69696969696963</c:v>
                </c:pt>
                <c:pt idx="80">
                  <c:v>141.21212121212113</c:v>
                </c:pt>
                <c:pt idx="81">
                  <c:v>142.72727272727263</c:v>
                </c:pt>
                <c:pt idx="82">
                  <c:v>144.24242424242414</c:v>
                </c:pt>
                <c:pt idx="83">
                  <c:v>145.75757575757564</c:v>
                </c:pt>
                <c:pt idx="84">
                  <c:v>147.27272727272714</c:v>
                </c:pt>
                <c:pt idx="85">
                  <c:v>148.78787878787864</c:v>
                </c:pt>
                <c:pt idx="86">
                  <c:v>150.30303030303014</c:v>
                </c:pt>
                <c:pt idx="87">
                  <c:v>151.81818181818164</c:v>
                </c:pt>
                <c:pt idx="88">
                  <c:v>153.33333333333314</c:v>
                </c:pt>
                <c:pt idx="89">
                  <c:v>154.84848484848465</c:v>
                </c:pt>
                <c:pt idx="90">
                  <c:v>156.36363636363615</c:v>
                </c:pt>
                <c:pt idx="91">
                  <c:v>157.87878787878765</c:v>
                </c:pt>
                <c:pt idx="92">
                  <c:v>159.39393939393915</c:v>
                </c:pt>
                <c:pt idx="93">
                  <c:v>160.90909090909065</c:v>
                </c:pt>
                <c:pt idx="94">
                  <c:v>162.42424242424215</c:v>
                </c:pt>
                <c:pt idx="95">
                  <c:v>163.93939393939365</c:v>
                </c:pt>
                <c:pt idx="96">
                  <c:v>165.45454545454515</c:v>
                </c:pt>
                <c:pt idx="97">
                  <c:v>166.96969696969666</c:v>
                </c:pt>
                <c:pt idx="98">
                  <c:v>168.48484848484816</c:v>
                </c:pt>
                <c:pt idx="99">
                  <c:v>169.99999999999966</c:v>
                </c:pt>
              </c:numCache>
            </c:numRef>
          </c:xVal>
          <c:yVal>
            <c:numRef>
              <c:f>KDE!$H$15:$H$114</c:f>
              <c:numCache>
                <c:formatCode>0.000</c:formatCode>
                <c:ptCount val="100"/>
                <c:pt idx="0">
                  <c:v>0</c:v>
                </c:pt>
                <c:pt idx="1">
                  <c:v>0.11575711545003819</c:v>
                </c:pt>
                <c:pt idx="2">
                  <c:v>0.131508370522428</c:v>
                </c:pt>
                <c:pt idx="3">
                  <c:v>0.14779077335884647</c:v>
                </c:pt>
                <c:pt idx="4">
                  <c:v>0.16441467005671129</c:v>
                </c:pt>
                <c:pt idx="5">
                  <c:v>0.18119373028919999</c:v>
                </c:pt>
                <c:pt idx="6">
                  <c:v>0.19795823425805156</c:v>
                </c:pt>
                <c:pt idx="7">
                  <c:v>0.21454699166472507</c:v>
                </c:pt>
                <c:pt idx="8">
                  <c:v>0.23080813994920152</c:v>
                </c:pt>
                <c:pt idx="9">
                  <c:v>0.24661616442756298</c:v>
                </c:pt>
                <c:pt idx="10">
                  <c:v>0.26187898235454315</c:v>
                </c:pt>
                <c:pt idx="11">
                  <c:v>0.27653809838520854</c:v>
                </c:pt>
                <c:pt idx="12">
                  <c:v>0.29056860457495876</c:v>
                </c:pt>
                <c:pt idx="13">
                  <c:v>0.30397848504337666</c:v>
                </c:pt>
                <c:pt idx="14">
                  <c:v>0.31680147394683195</c:v>
                </c:pt>
                <c:pt idx="15">
                  <c:v>0.32909071782543037</c:v>
                </c:pt>
                <c:pt idx="16">
                  <c:v>0.34091339452433439</c:v>
                </c:pt>
                <c:pt idx="17">
                  <c:v>0.35233388752118927</c:v>
                </c:pt>
                <c:pt idx="18">
                  <c:v>0.36340553891087224</c:v>
                </c:pt>
                <c:pt idx="19">
                  <c:v>0.37418550470939088</c:v>
                </c:pt>
                <c:pt idx="20">
                  <c:v>0.3847375915010221</c:v>
                </c:pt>
                <c:pt idx="21">
                  <c:v>0.39512099402549516</c:v>
                </c:pt>
                <c:pt idx="22">
                  <c:v>0.40538542515953868</c:v>
                </c:pt>
                <c:pt idx="23">
                  <c:v>0.41557100137978586</c:v>
                </c:pt>
                <c:pt idx="24">
                  <c:v>0.42570824276277514</c:v>
                </c:pt>
                <c:pt idx="25">
                  <c:v>0.4358180404920492</c:v>
                </c:pt>
                <c:pt idx="26">
                  <c:v>0.44590790721360252</c:v>
                </c:pt>
                <c:pt idx="27">
                  <c:v>0.45596345281858752</c:v>
                </c:pt>
                <c:pt idx="28">
                  <c:v>0.46595358118328944</c:v>
                </c:pt>
                <c:pt idx="29">
                  <c:v>0.4758488582550619</c:v>
                </c:pt>
                <c:pt idx="30">
                  <c:v>0.48562554452958961</c:v>
                </c:pt>
                <c:pt idx="31">
                  <c:v>0.49525741315791844</c:v>
                </c:pt>
                <c:pt idx="32">
                  <c:v>0.50471411388332599</c:v>
                </c:pt>
                <c:pt idx="33">
                  <c:v>0.51396401015310578</c:v>
                </c:pt>
                <c:pt idx="34">
                  <c:v>0.52297543384694345</c:v>
                </c:pt>
                <c:pt idx="35">
                  <c:v>0.53171671684452537</c:v>
                </c:pt>
                <c:pt idx="36">
                  <c:v>0.54015619102553747</c:v>
                </c:pt>
                <c:pt idx="37">
                  <c:v>0.54826247628162372</c:v>
                </c:pt>
                <c:pt idx="38">
                  <c:v>0.55601305921825106</c:v>
                </c:pt>
                <c:pt idx="39">
                  <c:v>0.56341073493011451</c:v>
                </c:pt>
                <c:pt idx="40">
                  <c:v>0.57048240737480405</c:v>
                </c:pt>
                <c:pt idx="41">
                  <c:v>0.57726769745731876</c:v>
                </c:pt>
                <c:pt idx="42">
                  <c:v>0.58381500302526002</c:v>
                </c:pt>
                <c:pt idx="43">
                  <c:v>0.59017379208116638</c:v>
                </c:pt>
                <c:pt idx="44">
                  <c:v>0.59638902199736565</c:v>
                </c:pt>
                <c:pt idx="45">
                  <c:v>0.60250085194613834</c:v>
                </c:pt>
                <c:pt idx="46">
                  <c:v>0.60854464289971677</c:v>
                </c:pt>
                <c:pt idx="47">
                  <c:v>0.61455095763028644</c:v>
                </c:pt>
                <c:pt idx="48">
                  <c:v>0.62054556070998468</c:v>
                </c:pt>
                <c:pt idx="49">
                  <c:v>0.62654924948640578</c:v>
                </c:pt>
                <c:pt idx="50">
                  <c:v>0.63257309234280101</c:v>
                </c:pt>
                <c:pt idx="51">
                  <c:v>0.63861021760293335</c:v>
                </c:pt>
                <c:pt idx="52">
                  <c:v>0.64463567698813118</c:v>
                </c:pt>
                <c:pt idx="53">
                  <c:v>0.65060932010381223</c:v>
                </c:pt>
                <c:pt idx="54">
                  <c:v>0.65647907480661805</c:v>
                </c:pt>
                <c:pt idx="55">
                  <c:v>0.66219663649986749</c:v>
                </c:pt>
                <c:pt idx="56">
                  <c:v>0.66772760385133756</c:v>
                </c:pt>
                <c:pt idx="57">
                  <c:v>0.67305197012894769</c:v>
                </c:pt>
                <c:pt idx="58">
                  <c:v>0.67816412320076014</c:v>
                </c:pt>
                <c:pt idx="59">
                  <c:v>0.68307284553497971</c:v>
                </c:pt>
                <c:pt idx="60">
                  <c:v>0.68780131419995438</c:v>
                </c:pt>
                <c:pt idx="61">
                  <c:v>0.69238711730077396</c:v>
                </c:pt>
                <c:pt idx="62">
                  <c:v>0.69688051841549536</c:v>
                </c:pt>
                <c:pt idx="63">
                  <c:v>0.70133629090747385</c:v>
                </c:pt>
                <c:pt idx="64">
                  <c:v>0.70581241743490186</c:v>
                </c:pt>
                <c:pt idx="65">
                  <c:v>0.7103716077772676</c:v>
                </c:pt>
                <c:pt idx="66">
                  <c:v>0.71507979773659247</c:v>
                </c:pt>
                <c:pt idx="67">
                  <c:v>0.71999579773997746</c:v>
                </c:pt>
                <c:pt idx="68">
                  <c:v>0.72516437675598422</c:v>
                </c:pt>
                <c:pt idx="69">
                  <c:v>0.73061590915303176</c:v>
                </c:pt>
                <c:pt idx="70">
                  <c:v>0.73636637469939625</c:v>
                </c:pt>
                <c:pt idx="71">
                  <c:v>0.74241735856321134</c:v>
                </c:pt>
                <c:pt idx="72">
                  <c:v>0.74875605131246781</c:v>
                </c:pt>
                <c:pt idx="73">
                  <c:v>0.75535527962349414</c:v>
                </c:pt>
                <c:pt idx="74">
                  <c:v>0.7621779592152762</c:v>
                </c:pt>
                <c:pt idx="75">
                  <c:v>0.76919242394909459</c:v>
                </c:pt>
                <c:pt idx="76">
                  <c:v>0.77636918104582187</c:v>
                </c:pt>
                <c:pt idx="77">
                  <c:v>0.78367673927496484</c:v>
                </c:pt>
                <c:pt idx="78">
                  <c:v>0.79108380418633995</c:v>
                </c:pt>
                <c:pt idx="79">
                  <c:v>0.79856201574063379</c:v>
                </c:pt>
                <c:pt idx="80">
                  <c:v>0.806087717049494</c:v>
                </c:pt>
                <c:pt idx="81">
                  <c:v>0.81364204942461593</c:v>
                </c:pt>
                <c:pt idx="82">
                  <c:v>0.82121095237774233</c:v>
                </c:pt>
                <c:pt idx="83">
                  <c:v>0.82878516362066323</c:v>
                </c:pt>
                <c:pt idx="84">
                  <c:v>0.83636021906521685</c:v>
                </c:pt>
                <c:pt idx="85">
                  <c:v>0.84393643528685447</c:v>
                </c:pt>
                <c:pt idx="86">
                  <c:v>0.85151605812040465</c:v>
                </c:pt>
                <c:pt idx="87">
                  <c:v>0.85909440306584361</c:v>
                </c:pt>
                <c:pt idx="88">
                  <c:v>0.86666981832027845</c:v>
                </c:pt>
                <c:pt idx="89">
                  <c:v>0.8742447646899556</c:v>
                </c:pt>
                <c:pt idx="90">
                  <c:v>0.88181765700674064</c:v>
                </c:pt>
                <c:pt idx="91">
                  <c:v>0.8893821119024532</c:v>
                </c:pt>
                <c:pt idx="92">
                  <c:v>0.89692694780886373</c:v>
                </c:pt>
                <c:pt idx="93">
                  <c:v>0.90443618495769695</c:v>
                </c:pt>
                <c:pt idx="94">
                  <c:v>0.91188904538062798</c:v>
                </c:pt>
                <c:pt idx="95">
                  <c:v>0.9192599529092863</c:v>
                </c:pt>
                <c:pt idx="96">
                  <c:v>0.92651853317525268</c:v>
                </c:pt>
                <c:pt idx="97">
                  <c:v>0.93362961734212269</c:v>
                </c:pt>
                <c:pt idx="98">
                  <c:v>0.94055392604383437</c:v>
                </c:pt>
                <c:pt idx="99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KDE!$I$6</c:f>
              <c:strCache>
                <c:ptCount val="1"/>
                <c:pt idx="0">
                  <c:v>X Histrogram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KDE!$I$15:$I$114</c:f>
              <c:numCache>
                <c:formatCode>0.000</c:formatCode>
                <c:ptCount val="100"/>
                <c:pt idx="0">
                  <c:v>20</c:v>
                </c:pt>
                <c:pt idx="1">
                  <c:v>21.515151515151516</c:v>
                </c:pt>
                <c:pt idx="2">
                  <c:v>23.030303030303031</c:v>
                </c:pt>
                <c:pt idx="3">
                  <c:v>24.545454545454547</c:v>
                </c:pt>
                <c:pt idx="4">
                  <c:v>26.060606060606062</c:v>
                </c:pt>
                <c:pt idx="5">
                  <c:v>27.575757575757578</c:v>
                </c:pt>
                <c:pt idx="6">
                  <c:v>29.090909090909093</c:v>
                </c:pt>
                <c:pt idx="7">
                  <c:v>30.606060606060609</c:v>
                </c:pt>
                <c:pt idx="8">
                  <c:v>32.121212121212125</c:v>
                </c:pt>
                <c:pt idx="9">
                  <c:v>33.63636363636364</c:v>
                </c:pt>
                <c:pt idx="10">
                  <c:v>35.151515151515156</c:v>
                </c:pt>
                <c:pt idx="11">
                  <c:v>36.666666666666671</c:v>
                </c:pt>
                <c:pt idx="12">
                  <c:v>38.181818181818187</c:v>
                </c:pt>
                <c:pt idx="13">
                  <c:v>39.696969696969703</c:v>
                </c:pt>
                <c:pt idx="14">
                  <c:v>41.212121212121218</c:v>
                </c:pt>
                <c:pt idx="15">
                  <c:v>42.727272727272734</c:v>
                </c:pt>
                <c:pt idx="16">
                  <c:v>44.242424242424249</c:v>
                </c:pt>
                <c:pt idx="17">
                  <c:v>45.757575757575765</c:v>
                </c:pt>
                <c:pt idx="18">
                  <c:v>47.27272727272728</c:v>
                </c:pt>
                <c:pt idx="19">
                  <c:v>48.787878787878796</c:v>
                </c:pt>
                <c:pt idx="20">
                  <c:v>50.303030303030312</c:v>
                </c:pt>
                <c:pt idx="21">
                  <c:v>51.818181818181827</c:v>
                </c:pt>
                <c:pt idx="22">
                  <c:v>53.333333333333343</c:v>
                </c:pt>
                <c:pt idx="23">
                  <c:v>54.848484848484858</c:v>
                </c:pt>
                <c:pt idx="24">
                  <c:v>56.363636363636374</c:v>
                </c:pt>
                <c:pt idx="25">
                  <c:v>57.87878787878789</c:v>
                </c:pt>
                <c:pt idx="26">
                  <c:v>59.393939393939405</c:v>
                </c:pt>
                <c:pt idx="27">
                  <c:v>60.909090909090921</c:v>
                </c:pt>
                <c:pt idx="28">
                  <c:v>62.424242424242436</c:v>
                </c:pt>
                <c:pt idx="29">
                  <c:v>63.939393939393952</c:v>
                </c:pt>
                <c:pt idx="30">
                  <c:v>65.454545454545467</c:v>
                </c:pt>
                <c:pt idx="31">
                  <c:v>66.969696969696983</c:v>
                </c:pt>
                <c:pt idx="32">
                  <c:v>68.484848484848499</c:v>
                </c:pt>
                <c:pt idx="33">
                  <c:v>70.000000000000014</c:v>
                </c:pt>
                <c:pt idx="34">
                  <c:v>71.51515151515153</c:v>
                </c:pt>
                <c:pt idx="35">
                  <c:v>73.030303030303045</c:v>
                </c:pt>
                <c:pt idx="36">
                  <c:v>74.545454545454561</c:v>
                </c:pt>
                <c:pt idx="37">
                  <c:v>76.060606060606077</c:v>
                </c:pt>
                <c:pt idx="38">
                  <c:v>77.575757575757592</c:v>
                </c:pt>
                <c:pt idx="39">
                  <c:v>79.090909090909108</c:v>
                </c:pt>
                <c:pt idx="40">
                  <c:v>80.606060606060623</c:v>
                </c:pt>
                <c:pt idx="41">
                  <c:v>82.121212121212139</c:v>
                </c:pt>
                <c:pt idx="42">
                  <c:v>83.636363636363654</c:v>
                </c:pt>
                <c:pt idx="43">
                  <c:v>85.15151515151517</c:v>
                </c:pt>
                <c:pt idx="44">
                  <c:v>86.666666666666686</c:v>
                </c:pt>
                <c:pt idx="45">
                  <c:v>88.181818181818201</c:v>
                </c:pt>
                <c:pt idx="46">
                  <c:v>89.696969696969717</c:v>
                </c:pt>
                <c:pt idx="47">
                  <c:v>91.212121212121232</c:v>
                </c:pt>
                <c:pt idx="48">
                  <c:v>92.727272727272748</c:v>
                </c:pt>
                <c:pt idx="49">
                  <c:v>94.242424242424264</c:v>
                </c:pt>
                <c:pt idx="50">
                  <c:v>95.757575757575779</c:v>
                </c:pt>
                <c:pt idx="51">
                  <c:v>97.272727272727295</c:v>
                </c:pt>
                <c:pt idx="52">
                  <c:v>98.78787878787881</c:v>
                </c:pt>
                <c:pt idx="53">
                  <c:v>100.30303030303033</c:v>
                </c:pt>
                <c:pt idx="54">
                  <c:v>101.81818181818184</c:v>
                </c:pt>
                <c:pt idx="55">
                  <c:v>103.33333333333336</c:v>
                </c:pt>
                <c:pt idx="56">
                  <c:v>104.84848484848487</c:v>
                </c:pt>
                <c:pt idx="57">
                  <c:v>106.36363636363639</c:v>
                </c:pt>
                <c:pt idx="58">
                  <c:v>107.8787878787879</c:v>
                </c:pt>
                <c:pt idx="59">
                  <c:v>109.39393939393942</c:v>
                </c:pt>
                <c:pt idx="60">
                  <c:v>110.90909090909093</c:v>
                </c:pt>
                <c:pt idx="61">
                  <c:v>112.42424242424245</c:v>
                </c:pt>
                <c:pt idx="62">
                  <c:v>113.93939393939397</c:v>
                </c:pt>
                <c:pt idx="63">
                  <c:v>115.45454545454548</c:v>
                </c:pt>
                <c:pt idx="64">
                  <c:v>116.969696969697</c:v>
                </c:pt>
                <c:pt idx="65">
                  <c:v>118.48484848484851</c:v>
                </c:pt>
                <c:pt idx="66">
                  <c:v>120.00000000000003</c:v>
                </c:pt>
                <c:pt idx="67">
                  <c:v>121.51515151515154</c:v>
                </c:pt>
                <c:pt idx="68">
                  <c:v>123.03030303030306</c:v>
                </c:pt>
                <c:pt idx="69">
                  <c:v>124.54545454545458</c:v>
                </c:pt>
                <c:pt idx="70">
                  <c:v>126.06060606060609</c:v>
                </c:pt>
                <c:pt idx="71">
                  <c:v>127.57575757575761</c:v>
                </c:pt>
                <c:pt idx="72">
                  <c:v>129.09090909090912</c:v>
                </c:pt>
                <c:pt idx="73">
                  <c:v>130.60606060606062</c:v>
                </c:pt>
                <c:pt idx="74">
                  <c:v>132.12121212121212</c:v>
                </c:pt>
                <c:pt idx="75">
                  <c:v>133.63636363636363</c:v>
                </c:pt>
                <c:pt idx="76">
                  <c:v>135.15151515151513</c:v>
                </c:pt>
                <c:pt idx="77">
                  <c:v>136.66666666666663</c:v>
                </c:pt>
                <c:pt idx="78">
                  <c:v>138.18181818181813</c:v>
                </c:pt>
                <c:pt idx="79">
                  <c:v>139.69696969696963</c:v>
                </c:pt>
                <c:pt idx="80">
                  <c:v>141.21212121212113</c:v>
                </c:pt>
                <c:pt idx="81">
                  <c:v>142.72727272727263</c:v>
                </c:pt>
                <c:pt idx="82">
                  <c:v>144.24242424242414</c:v>
                </c:pt>
                <c:pt idx="83">
                  <c:v>145.75757575757564</c:v>
                </c:pt>
                <c:pt idx="84">
                  <c:v>147.27272727272714</c:v>
                </c:pt>
                <c:pt idx="85">
                  <c:v>148.78787878787864</c:v>
                </c:pt>
                <c:pt idx="86">
                  <c:v>150.30303030303014</c:v>
                </c:pt>
                <c:pt idx="87">
                  <c:v>151.81818181818164</c:v>
                </c:pt>
                <c:pt idx="88">
                  <c:v>153.33333333333314</c:v>
                </c:pt>
                <c:pt idx="89">
                  <c:v>154.84848484848465</c:v>
                </c:pt>
                <c:pt idx="90">
                  <c:v>156.36363636363615</c:v>
                </c:pt>
                <c:pt idx="91">
                  <c:v>157.87878787878765</c:v>
                </c:pt>
                <c:pt idx="92">
                  <c:v>159.39393939393915</c:v>
                </c:pt>
                <c:pt idx="93">
                  <c:v>160.90909090909065</c:v>
                </c:pt>
                <c:pt idx="94">
                  <c:v>162.42424242424215</c:v>
                </c:pt>
                <c:pt idx="95">
                  <c:v>163.93939393939365</c:v>
                </c:pt>
                <c:pt idx="96">
                  <c:v>165.45454545454515</c:v>
                </c:pt>
                <c:pt idx="97">
                  <c:v>166.96969696969666</c:v>
                </c:pt>
                <c:pt idx="98">
                  <c:v>168.48484848484816</c:v>
                </c:pt>
                <c:pt idx="99">
                  <c:v>169.99999999999966</c:v>
                </c:pt>
              </c:numCache>
            </c:numRef>
          </c:xVal>
          <c:yVal>
            <c:numRef>
              <c:f>KDE!$J$15:$J$114</c:f>
              <c:numCache>
                <c:formatCode>0.000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0.7</c:v>
                </c:pt>
                <c:pt idx="66">
                  <c:v>0.7</c:v>
                </c:pt>
                <c:pt idx="67">
                  <c:v>0.7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0.7</c:v>
                </c:pt>
                <c:pt idx="72">
                  <c:v>0.7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</c:v>
                </c:pt>
                <c:pt idx="9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2728192"/>
        <c:axId val="-1022721664"/>
      </c:scatterChart>
      <c:valAx>
        <c:axId val="-102272819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1022721664"/>
        <c:crosses val="autoZero"/>
        <c:crossBetween val="midCat"/>
      </c:valAx>
      <c:valAx>
        <c:axId val="-102272166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crossAx val="-1022728192"/>
        <c:crosses val="autoZero"/>
        <c:crossBetween val="midCat"/>
      </c:valAx>
      <c:spPr>
        <a:noFill/>
      </c:spPr>
    </c:plotArea>
    <c:legend>
      <c:legendPos val="b"/>
      <c:layout/>
      <c:overlay val="0"/>
      <c:spPr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SimDataTRI!$I$11</c:f>
              <c:strCache>
                <c:ptCount val="1"/>
                <c:pt idx="0">
                  <c:v>Triangle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SimDataTRI!$I$12:$I$511</c:f>
              <c:numCache>
                <c:formatCode>General</c:formatCode>
                <c:ptCount val="500"/>
                <c:pt idx="0">
                  <c:v>22.483232478087228</c:v>
                </c:pt>
                <c:pt idx="1">
                  <c:v>24.117869513023177</c:v>
                </c:pt>
                <c:pt idx="2">
                  <c:v>25.495316091712915</c:v>
                </c:pt>
                <c:pt idx="3">
                  <c:v>27.277365155048102</c:v>
                </c:pt>
                <c:pt idx="4">
                  <c:v>28.135354511710386</c:v>
                </c:pt>
                <c:pt idx="5">
                  <c:v>28.490961217177762</c:v>
                </c:pt>
                <c:pt idx="6">
                  <c:v>29.149575758179608</c:v>
                </c:pt>
                <c:pt idx="7">
                  <c:v>29.997495500860261</c:v>
                </c:pt>
                <c:pt idx="8">
                  <c:v>30.543675549338289</c:v>
                </c:pt>
                <c:pt idx="9">
                  <c:v>31.185895962077701</c:v>
                </c:pt>
                <c:pt idx="10">
                  <c:v>31.953256529182759</c:v>
                </c:pt>
                <c:pt idx="11">
                  <c:v>32.455906002452167</c:v>
                </c:pt>
                <c:pt idx="12">
                  <c:v>32.934101006562351</c:v>
                </c:pt>
                <c:pt idx="13">
                  <c:v>33.499437388768271</c:v>
                </c:pt>
                <c:pt idx="14">
                  <c:v>34.224356584236403</c:v>
                </c:pt>
                <c:pt idx="15">
                  <c:v>34.649304705830808</c:v>
                </c:pt>
                <c:pt idx="16">
                  <c:v>35.007547893664793</c:v>
                </c:pt>
                <c:pt idx="17">
                  <c:v>35.644597773686378</c:v>
                </c:pt>
                <c:pt idx="18">
                  <c:v>35.928257670624447</c:v>
                </c:pt>
                <c:pt idx="19">
                  <c:v>36.371280378646993</c:v>
                </c:pt>
                <c:pt idx="20">
                  <c:v>36.672948582129237</c:v>
                </c:pt>
                <c:pt idx="21">
                  <c:v>37.068667291969206</c:v>
                </c:pt>
                <c:pt idx="22">
                  <c:v>37.775857879339782</c:v>
                </c:pt>
                <c:pt idx="23">
                  <c:v>38.078997039836956</c:v>
                </c:pt>
                <c:pt idx="24">
                  <c:v>38.359694109862389</c:v>
                </c:pt>
                <c:pt idx="25">
                  <c:v>38.761529531408144</c:v>
                </c:pt>
                <c:pt idx="26">
                  <c:v>39.109167553257024</c:v>
                </c:pt>
                <c:pt idx="27">
                  <c:v>39.353956335583675</c:v>
                </c:pt>
                <c:pt idx="28">
                  <c:v>39.966783699399087</c:v>
                </c:pt>
                <c:pt idx="29">
                  <c:v>40.132182166024776</c:v>
                </c:pt>
                <c:pt idx="30">
                  <c:v>40.397200014296608</c:v>
                </c:pt>
                <c:pt idx="31">
                  <c:v>40.799610239906869</c:v>
                </c:pt>
                <c:pt idx="32">
                  <c:v>41.316586323236436</c:v>
                </c:pt>
                <c:pt idx="33">
                  <c:v>41.633782862351588</c:v>
                </c:pt>
                <c:pt idx="34">
                  <c:v>41.917282294477332</c:v>
                </c:pt>
                <c:pt idx="35">
                  <c:v>42.245256094341819</c:v>
                </c:pt>
                <c:pt idx="36">
                  <c:v>42.421001138928574</c:v>
                </c:pt>
                <c:pt idx="37">
                  <c:v>42.677686587940414</c:v>
                </c:pt>
                <c:pt idx="38">
                  <c:v>42.942900902905528</c:v>
                </c:pt>
                <c:pt idx="39">
                  <c:v>43.361511253860741</c:v>
                </c:pt>
                <c:pt idx="40">
                  <c:v>43.72539757622566</c:v>
                </c:pt>
                <c:pt idx="41">
                  <c:v>43.859805186614452</c:v>
                </c:pt>
                <c:pt idx="42">
                  <c:v>44.333499165117885</c:v>
                </c:pt>
                <c:pt idx="43">
                  <c:v>44.615435526389625</c:v>
                </c:pt>
                <c:pt idx="44">
                  <c:v>44.663802762248906</c:v>
                </c:pt>
                <c:pt idx="45">
                  <c:v>45.001863124949367</c:v>
                </c:pt>
                <c:pt idx="46">
                  <c:v>45.285904433394236</c:v>
                </c:pt>
                <c:pt idx="47">
                  <c:v>45.673954682985787</c:v>
                </c:pt>
                <c:pt idx="48">
                  <c:v>45.944284244429902</c:v>
                </c:pt>
                <c:pt idx="49">
                  <c:v>46.140557724297253</c:v>
                </c:pt>
                <c:pt idx="50">
                  <c:v>46.366507957221714</c:v>
                </c:pt>
                <c:pt idx="51">
                  <c:v>46.740039725643577</c:v>
                </c:pt>
                <c:pt idx="52">
                  <c:v>46.896750190891865</c:v>
                </c:pt>
                <c:pt idx="53">
                  <c:v>47.275071817995602</c:v>
                </c:pt>
                <c:pt idx="54">
                  <c:v>47.393094732265197</c:v>
                </c:pt>
                <c:pt idx="55">
                  <c:v>47.715545868933731</c:v>
                </c:pt>
                <c:pt idx="56">
                  <c:v>47.779210827890822</c:v>
                </c:pt>
                <c:pt idx="57">
                  <c:v>48.095308897786239</c:v>
                </c:pt>
                <c:pt idx="58">
                  <c:v>48.303633621728352</c:v>
                </c:pt>
                <c:pt idx="59">
                  <c:v>48.686958969556429</c:v>
                </c:pt>
                <c:pt idx="60">
                  <c:v>48.82079653720735</c:v>
                </c:pt>
                <c:pt idx="61">
                  <c:v>49.003043627599425</c:v>
                </c:pt>
                <c:pt idx="62">
                  <c:v>49.313872180402768</c:v>
                </c:pt>
                <c:pt idx="63">
                  <c:v>49.617655659779757</c:v>
                </c:pt>
                <c:pt idx="64">
                  <c:v>49.915109913425326</c:v>
                </c:pt>
                <c:pt idx="65">
                  <c:v>49.956613417729955</c:v>
                </c:pt>
                <c:pt idx="66">
                  <c:v>50.277382348978037</c:v>
                </c:pt>
                <c:pt idx="67">
                  <c:v>50.529342873812716</c:v>
                </c:pt>
                <c:pt idx="68">
                  <c:v>50.715816325876936</c:v>
                </c:pt>
                <c:pt idx="69">
                  <c:v>50.965957892400766</c:v>
                </c:pt>
                <c:pt idx="70">
                  <c:v>51.160578640014656</c:v>
                </c:pt>
                <c:pt idx="71">
                  <c:v>51.425968394850365</c:v>
                </c:pt>
                <c:pt idx="72">
                  <c:v>51.593027263687404</c:v>
                </c:pt>
                <c:pt idx="73">
                  <c:v>51.736586130719573</c:v>
                </c:pt>
                <c:pt idx="74">
                  <c:v>52.035559928284009</c:v>
                </c:pt>
                <c:pt idx="75">
                  <c:v>52.269018569735039</c:v>
                </c:pt>
                <c:pt idx="76">
                  <c:v>52.526080944675833</c:v>
                </c:pt>
                <c:pt idx="77">
                  <c:v>52.599829225520786</c:v>
                </c:pt>
                <c:pt idx="78">
                  <c:v>52.940911936868467</c:v>
                </c:pt>
                <c:pt idx="79">
                  <c:v>53.016221883491333</c:v>
                </c:pt>
                <c:pt idx="80">
                  <c:v>53.232156046498829</c:v>
                </c:pt>
                <c:pt idx="81">
                  <c:v>53.567572920921421</c:v>
                </c:pt>
                <c:pt idx="82">
                  <c:v>53.617765996983302</c:v>
                </c:pt>
                <c:pt idx="83">
                  <c:v>53.836371623984</c:v>
                </c:pt>
                <c:pt idx="84">
                  <c:v>54.060136279745883</c:v>
                </c:pt>
                <c:pt idx="85">
                  <c:v>54.256026015544336</c:v>
                </c:pt>
                <c:pt idx="86">
                  <c:v>54.439042635840771</c:v>
                </c:pt>
                <c:pt idx="87">
                  <c:v>54.704833283130839</c:v>
                </c:pt>
                <c:pt idx="88">
                  <c:v>54.915672545275513</c:v>
                </c:pt>
                <c:pt idx="89">
                  <c:v>55.051811847324316</c:v>
                </c:pt>
                <c:pt idx="90">
                  <c:v>55.251335873343912</c:v>
                </c:pt>
                <c:pt idx="91">
                  <c:v>55.595469948324009</c:v>
                </c:pt>
                <c:pt idx="92">
                  <c:v>55.760881126823932</c:v>
                </c:pt>
                <c:pt idx="93">
                  <c:v>55.936741262439185</c:v>
                </c:pt>
                <c:pt idx="94">
                  <c:v>56.067360803606213</c:v>
                </c:pt>
                <c:pt idx="95">
                  <c:v>56.276641227664854</c:v>
                </c:pt>
                <c:pt idx="96">
                  <c:v>56.453198736592391</c:v>
                </c:pt>
                <c:pt idx="97">
                  <c:v>56.643117648571952</c:v>
                </c:pt>
                <c:pt idx="98">
                  <c:v>56.804538939706951</c:v>
                </c:pt>
                <c:pt idx="99">
                  <c:v>56.961065569133766</c:v>
                </c:pt>
                <c:pt idx="100">
                  <c:v>57.137339463798369</c:v>
                </c:pt>
                <c:pt idx="101">
                  <c:v>57.37699806673654</c:v>
                </c:pt>
                <c:pt idx="102">
                  <c:v>57.574175354271297</c:v>
                </c:pt>
                <c:pt idx="103">
                  <c:v>57.740783850460907</c:v>
                </c:pt>
                <c:pt idx="104">
                  <c:v>57.947288492159991</c:v>
                </c:pt>
                <c:pt idx="105">
                  <c:v>58.067171099886806</c:v>
                </c:pt>
                <c:pt idx="106">
                  <c:v>58.379817084089382</c:v>
                </c:pt>
                <c:pt idx="107">
                  <c:v>58.416348767588538</c:v>
                </c:pt>
                <c:pt idx="108">
                  <c:v>58.707665673597887</c:v>
                </c:pt>
                <c:pt idx="109">
                  <c:v>58.841294482105518</c:v>
                </c:pt>
                <c:pt idx="110">
                  <c:v>58.964070648377273</c:v>
                </c:pt>
                <c:pt idx="111">
                  <c:v>59.150901590712905</c:v>
                </c:pt>
                <c:pt idx="112">
                  <c:v>59.369957824788926</c:v>
                </c:pt>
                <c:pt idx="113">
                  <c:v>59.464135642369548</c:v>
                </c:pt>
                <c:pt idx="114">
                  <c:v>59.721351347509156</c:v>
                </c:pt>
                <c:pt idx="115">
                  <c:v>59.823339642196139</c:v>
                </c:pt>
                <c:pt idx="116">
                  <c:v>60.064732476632422</c:v>
                </c:pt>
                <c:pt idx="117">
                  <c:v>60.316541445851271</c:v>
                </c:pt>
                <c:pt idx="118">
                  <c:v>60.437630743321961</c:v>
                </c:pt>
                <c:pt idx="119">
                  <c:v>60.663090310690926</c:v>
                </c:pt>
                <c:pt idx="120">
                  <c:v>60.817799125622351</c:v>
                </c:pt>
                <c:pt idx="121">
                  <c:v>60.878091215757607</c:v>
                </c:pt>
                <c:pt idx="122">
                  <c:v>61.16652639509855</c:v>
                </c:pt>
                <c:pt idx="123">
                  <c:v>61.290194131765837</c:v>
                </c:pt>
                <c:pt idx="124">
                  <c:v>61.345479908258589</c:v>
                </c:pt>
                <c:pt idx="125">
                  <c:v>61.601076906136363</c:v>
                </c:pt>
                <c:pt idx="126">
                  <c:v>61.736160914649346</c:v>
                </c:pt>
                <c:pt idx="127">
                  <c:v>61.935548496547483</c:v>
                </c:pt>
                <c:pt idx="128">
                  <c:v>62.12004159890801</c:v>
                </c:pt>
                <c:pt idx="129">
                  <c:v>62.20795825761963</c:v>
                </c:pt>
                <c:pt idx="130">
                  <c:v>62.411732026104346</c:v>
                </c:pt>
                <c:pt idx="131">
                  <c:v>62.567798209043076</c:v>
                </c:pt>
                <c:pt idx="132">
                  <c:v>62.709713346831506</c:v>
                </c:pt>
                <c:pt idx="133">
                  <c:v>62.930154162867879</c:v>
                </c:pt>
                <c:pt idx="134">
                  <c:v>63.02254100118499</c:v>
                </c:pt>
                <c:pt idx="135">
                  <c:v>63.256263109905078</c:v>
                </c:pt>
                <c:pt idx="136">
                  <c:v>63.395320767691373</c:v>
                </c:pt>
                <c:pt idx="137">
                  <c:v>63.559873317198786</c:v>
                </c:pt>
                <c:pt idx="138">
                  <c:v>63.729310046065038</c:v>
                </c:pt>
                <c:pt idx="139">
                  <c:v>63.887686455700063</c:v>
                </c:pt>
                <c:pt idx="140">
                  <c:v>64.016913182694339</c:v>
                </c:pt>
                <c:pt idx="141">
                  <c:v>64.195165086084444</c:v>
                </c:pt>
                <c:pt idx="142">
                  <c:v>64.383466683837611</c:v>
                </c:pt>
                <c:pt idx="143">
                  <c:v>64.490188263750483</c:v>
                </c:pt>
                <c:pt idx="144">
                  <c:v>64.658174552972497</c:v>
                </c:pt>
                <c:pt idx="145">
                  <c:v>64.799751898129358</c:v>
                </c:pt>
                <c:pt idx="146">
                  <c:v>64.971985838041874</c:v>
                </c:pt>
                <c:pt idx="147">
                  <c:v>65.151719700223325</c:v>
                </c:pt>
                <c:pt idx="148">
                  <c:v>65.283875226390819</c:v>
                </c:pt>
                <c:pt idx="149">
                  <c:v>65.448030250802773</c:v>
                </c:pt>
                <c:pt idx="150">
                  <c:v>65.469317597748386</c:v>
                </c:pt>
                <c:pt idx="151">
                  <c:v>65.634298909682684</c:v>
                </c:pt>
                <c:pt idx="152">
                  <c:v>65.812586764598677</c:v>
                </c:pt>
                <c:pt idx="153">
                  <c:v>66.015307301305228</c:v>
                </c:pt>
                <c:pt idx="154">
                  <c:v>66.140466840111472</c:v>
                </c:pt>
                <c:pt idx="155">
                  <c:v>66.346581893052203</c:v>
                </c:pt>
                <c:pt idx="156">
                  <c:v>66.465043810997287</c:v>
                </c:pt>
                <c:pt idx="157">
                  <c:v>66.566015706401885</c:v>
                </c:pt>
                <c:pt idx="158">
                  <c:v>66.75400683200732</c:v>
                </c:pt>
                <c:pt idx="159">
                  <c:v>66.858052208627541</c:v>
                </c:pt>
                <c:pt idx="160">
                  <c:v>67.004233119402627</c:v>
                </c:pt>
                <c:pt idx="161">
                  <c:v>67.116198886453049</c:v>
                </c:pt>
                <c:pt idx="162">
                  <c:v>67.389313314028797</c:v>
                </c:pt>
                <c:pt idx="163">
                  <c:v>67.529234864591587</c:v>
                </c:pt>
                <c:pt idx="164">
                  <c:v>67.602155705540653</c:v>
                </c:pt>
                <c:pt idx="165">
                  <c:v>67.73562685550047</c:v>
                </c:pt>
                <c:pt idx="166">
                  <c:v>67.887534115269489</c:v>
                </c:pt>
                <c:pt idx="167">
                  <c:v>68.059582369272121</c:v>
                </c:pt>
                <c:pt idx="168">
                  <c:v>68.152323436143575</c:v>
                </c:pt>
                <c:pt idx="169">
                  <c:v>68.258716779006136</c:v>
                </c:pt>
                <c:pt idx="170">
                  <c:v>68.518209919111101</c:v>
                </c:pt>
                <c:pt idx="171">
                  <c:v>68.619169984900864</c:v>
                </c:pt>
                <c:pt idx="172">
                  <c:v>68.734989377334216</c:v>
                </c:pt>
                <c:pt idx="173">
                  <c:v>68.933052326728486</c:v>
                </c:pt>
                <c:pt idx="174">
                  <c:v>69.037678830566279</c:v>
                </c:pt>
                <c:pt idx="175">
                  <c:v>69.114106355275936</c:v>
                </c:pt>
                <c:pt idx="176">
                  <c:v>69.275561205978292</c:v>
                </c:pt>
                <c:pt idx="177">
                  <c:v>69.524802792372554</c:v>
                </c:pt>
                <c:pt idx="178">
                  <c:v>69.661217515538652</c:v>
                </c:pt>
                <c:pt idx="179">
                  <c:v>69.67839517748935</c:v>
                </c:pt>
                <c:pt idx="180">
                  <c:v>69.870825584498988</c:v>
                </c:pt>
                <c:pt idx="181">
                  <c:v>70.021714992157456</c:v>
                </c:pt>
                <c:pt idx="182">
                  <c:v>70.162581157235394</c:v>
                </c:pt>
                <c:pt idx="183">
                  <c:v>70.250591922008965</c:v>
                </c:pt>
                <c:pt idx="184">
                  <c:v>70.429820242195021</c:v>
                </c:pt>
                <c:pt idx="185">
                  <c:v>70.546098538223944</c:v>
                </c:pt>
                <c:pt idx="186">
                  <c:v>70.635347150037518</c:v>
                </c:pt>
                <c:pt idx="187">
                  <c:v>70.874511127919405</c:v>
                </c:pt>
                <c:pt idx="188">
                  <c:v>70.971189360888189</c:v>
                </c:pt>
                <c:pt idx="189">
                  <c:v>71.066559751862428</c:v>
                </c:pt>
                <c:pt idx="190">
                  <c:v>71.221421310494875</c:v>
                </c:pt>
                <c:pt idx="191">
                  <c:v>71.347552754226911</c:v>
                </c:pt>
                <c:pt idx="192">
                  <c:v>71.503455878728658</c:v>
                </c:pt>
                <c:pt idx="193">
                  <c:v>71.60812717262084</c:v>
                </c:pt>
                <c:pt idx="194">
                  <c:v>71.732326430643383</c:v>
                </c:pt>
                <c:pt idx="195">
                  <c:v>71.864190639199791</c:v>
                </c:pt>
                <c:pt idx="196">
                  <c:v>72.057811836644987</c:v>
                </c:pt>
                <c:pt idx="197">
                  <c:v>72.224909154013403</c:v>
                </c:pt>
                <c:pt idx="198">
                  <c:v>72.280384927123777</c:v>
                </c:pt>
                <c:pt idx="199">
                  <c:v>72.466872138947238</c:v>
                </c:pt>
                <c:pt idx="200">
                  <c:v>72.502708712780361</c:v>
                </c:pt>
                <c:pt idx="201">
                  <c:v>72.707071303805563</c:v>
                </c:pt>
                <c:pt idx="202">
                  <c:v>72.808173601546386</c:v>
                </c:pt>
                <c:pt idx="203">
                  <c:v>72.960832266488353</c:v>
                </c:pt>
                <c:pt idx="204">
                  <c:v>73.117362215114966</c:v>
                </c:pt>
                <c:pt idx="205">
                  <c:v>73.154146232395604</c:v>
                </c:pt>
                <c:pt idx="206">
                  <c:v>73.316797023709242</c:v>
                </c:pt>
                <c:pt idx="207">
                  <c:v>73.490883371226161</c:v>
                </c:pt>
                <c:pt idx="208">
                  <c:v>73.5733211757384</c:v>
                </c:pt>
                <c:pt idx="209">
                  <c:v>73.786939651003451</c:v>
                </c:pt>
                <c:pt idx="210">
                  <c:v>73.804442514636207</c:v>
                </c:pt>
                <c:pt idx="211">
                  <c:v>73.987191785414112</c:v>
                </c:pt>
                <c:pt idx="212">
                  <c:v>74.164159416136499</c:v>
                </c:pt>
                <c:pt idx="213">
                  <c:v>74.220674991491052</c:v>
                </c:pt>
                <c:pt idx="214">
                  <c:v>74.33806271684854</c:v>
                </c:pt>
                <c:pt idx="215">
                  <c:v>74.539497253735647</c:v>
                </c:pt>
                <c:pt idx="216">
                  <c:v>74.727947431041812</c:v>
                </c:pt>
                <c:pt idx="217">
                  <c:v>74.831757373055936</c:v>
                </c:pt>
                <c:pt idx="218">
                  <c:v>74.86569596019531</c:v>
                </c:pt>
                <c:pt idx="219">
                  <c:v>75.077941016315407</c:v>
                </c:pt>
                <c:pt idx="220">
                  <c:v>75.164758251549046</c:v>
                </c:pt>
                <c:pt idx="221">
                  <c:v>75.332403817834702</c:v>
                </c:pt>
                <c:pt idx="222">
                  <c:v>75.464750909667345</c:v>
                </c:pt>
                <c:pt idx="223">
                  <c:v>75.661599999649681</c:v>
                </c:pt>
                <c:pt idx="224">
                  <c:v>75.765735326142092</c:v>
                </c:pt>
                <c:pt idx="225">
                  <c:v>75.807501814247843</c:v>
                </c:pt>
                <c:pt idx="226">
                  <c:v>76.070454102619138</c:v>
                </c:pt>
                <c:pt idx="227">
                  <c:v>76.09397332050527</c:v>
                </c:pt>
                <c:pt idx="228">
                  <c:v>76.225891773325486</c:v>
                </c:pt>
                <c:pt idx="229">
                  <c:v>76.383300823175915</c:v>
                </c:pt>
                <c:pt idx="230">
                  <c:v>76.579046343803881</c:v>
                </c:pt>
                <c:pt idx="231">
                  <c:v>76.66999126012503</c:v>
                </c:pt>
                <c:pt idx="232">
                  <c:v>76.768808166778697</c:v>
                </c:pt>
                <c:pt idx="233">
                  <c:v>76.933528310501117</c:v>
                </c:pt>
                <c:pt idx="234">
                  <c:v>77.10025952116996</c:v>
                </c:pt>
                <c:pt idx="235">
                  <c:v>77.182310145745873</c:v>
                </c:pt>
                <c:pt idx="236">
                  <c:v>77.415941967421162</c:v>
                </c:pt>
                <c:pt idx="237">
                  <c:v>77.552018614447263</c:v>
                </c:pt>
                <c:pt idx="238">
                  <c:v>77.594944825935769</c:v>
                </c:pt>
                <c:pt idx="239">
                  <c:v>77.756476844165874</c:v>
                </c:pt>
                <c:pt idx="240">
                  <c:v>77.955838265495444</c:v>
                </c:pt>
                <c:pt idx="241">
                  <c:v>78.034942451484895</c:v>
                </c:pt>
                <c:pt idx="242">
                  <c:v>78.245225830397331</c:v>
                </c:pt>
                <c:pt idx="243">
                  <c:v>78.310489739340895</c:v>
                </c:pt>
                <c:pt idx="244">
                  <c:v>78.429308027740888</c:v>
                </c:pt>
                <c:pt idx="245">
                  <c:v>78.580868549306132</c:v>
                </c:pt>
                <c:pt idx="246">
                  <c:v>78.720814699799149</c:v>
                </c:pt>
                <c:pt idx="247">
                  <c:v>78.906426111296128</c:v>
                </c:pt>
                <c:pt idx="248">
                  <c:v>79.000321846093556</c:v>
                </c:pt>
                <c:pt idx="249">
                  <c:v>79.169353566653612</c:v>
                </c:pt>
                <c:pt idx="250">
                  <c:v>79.296796922889129</c:v>
                </c:pt>
                <c:pt idx="251">
                  <c:v>79.400147287185575</c:v>
                </c:pt>
                <c:pt idx="252">
                  <c:v>79.652510855533407</c:v>
                </c:pt>
                <c:pt idx="253">
                  <c:v>79.77982934806532</c:v>
                </c:pt>
                <c:pt idx="254">
                  <c:v>79.926184808599075</c:v>
                </c:pt>
                <c:pt idx="255">
                  <c:v>80.0821748448259</c:v>
                </c:pt>
                <c:pt idx="256">
                  <c:v>80.164863973022378</c:v>
                </c:pt>
                <c:pt idx="257">
                  <c:v>80.2558231273063</c:v>
                </c:pt>
                <c:pt idx="258">
                  <c:v>80.528434109568977</c:v>
                </c:pt>
                <c:pt idx="259">
                  <c:v>80.597357459448617</c:v>
                </c:pt>
                <c:pt idx="260">
                  <c:v>80.720844134362906</c:v>
                </c:pt>
                <c:pt idx="261">
                  <c:v>80.83881303103702</c:v>
                </c:pt>
                <c:pt idx="262">
                  <c:v>81.094229250741364</c:v>
                </c:pt>
                <c:pt idx="263">
                  <c:v>81.255998704263448</c:v>
                </c:pt>
                <c:pt idx="264">
                  <c:v>81.339466764887405</c:v>
                </c:pt>
                <c:pt idx="265">
                  <c:v>81.484565307085447</c:v>
                </c:pt>
                <c:pt idx="266">
                  <c:v>81.653470855946779</c:v>
                </c:pt>
                <c:pt idx="267">
                  <c:v>81.781314311275167</c:v>
                </c:pt>
                <c:pt idx="268">
                  <c:v>81.873860616805061</c:v>
                </c:pt>
                <c:pt idx="269">
                  <c:v>82.060696508354297</c:v>
                </c:pt>
                <c:pt idx="270">
                  <c:v>82.199169643103161</c:v>
                </c:pt>
                <c:pt idx="271">
                  <c:v>82.338264261646273</c:v>
                </c:pt>
                <c:pt idx="272">
                  <c:v>82.441276722712686</c:v>
                </c:pt>
                <c:pt idx="273">
                  <c:v>82.70593031029783</c:v>
                </c:pt>
                <c:pt idx="274">
                  <c:v>82.864028285896737</c:v>
                </c:pt>
                <c:pt idx="275">
                  <c:v>82.947988785761709</c:v>
                </c:pt>
                <c:pt idx="276">
                  <c:v>83.078206743376981</c:v>
                </c:pt>
                <c:pt idx="277">
                  <c:v>83.314723087581697</c:v>
                </c:pt>
                <c:pt idx="278">
                  <c:v>83.451086823502195</c:v>
                </c:pt>
                <c:pt idx="279">
                  <c:v>83.632594259764517</c:v>
                </c:pt>
                <c:pt idx="280">
                  <c:v>83.662696968277984</c:v>
                </c:pt>
                <c:pt idx="281">
                  <c:v>83.830450851399476</c:v>
                </c:pt>
                <c:pt idx="282">
                  <c:v>84.081936308841605</c:v>
                </c:pt>
                <c:pt idx="283">
                  <c:v>84.151120037992641</c:v>
                </c:pt>
                <c:pt idx="284">
                  <c:v>84.361372155973584</c:v>
                </c:pt>
                <c:pt idx="285">
                  <c:v>84.461482384232184</c:v>
                </c:pt>
                <c:pt idx="286">
                  <c:v>84.696799673055722</c:v>
                </c:pt>
                <c:pt idx="287">
                  <c:v>84.809739888493368</c:v>
                </c:pt>
                <c:pt idx="288">
                  <c:v>84.988489182514513</c:v>
                </c:pt>
                <c:pt idx="289">
                  <c:v>85.096264743612764</c:v>
                </c:pt>
                <c:pt idx="290">
                  <c:v>85.258810513166949</c:v>
                </c:pt>
                <c:pt idx="291">
                  <c:v>85.413235775854545</c:v>
                </c:pt>
                <c:pt idx="292">
                  <c:v>85.585425066811354</c:v>
                </c:pt>
                <c:pt idx="293">
                  <c:v>85.652044061575268</c:v>
                </c:pt>
                <c:pt idx="294">
                  <c:v>85.935976730728385</c:v>
                </c:pt>
                <c:pt idx="295">
                  <c:v>86.047024835241757</c:v>
                </c:pt>
                <c:pt idx="296">
                  <c:v>86.161990044712468</c:v>
                </c:pt>
                <c:pt idx="297">
                  <c:v>86.34807594263367</c:v>
                </c:pt>
                <c:pt idx="298">
                  <c:v>86.4595685336174</c:v>
                </c:pt>
                <c:pt idx="299">
                  <c:v>86.707210696372641</c:v>
                </c:pt>
                <c:pt idx="300">
                  <c:v>86.779018943739445</c:v>
                </c:pt>
                <c:pt idx="301">
                  <c:v>86.931747797598604</c:v>
                </c:pt>
                <c:pt idx="302">
                  <c:v>87.057880622243871</c:v>
                </c:pt>
                <c:pt idx="303">
                  <c:v>87.293874554302306</c:v>
                </c:pt>
                <c:pt idx="304">
                  <c:v>87.440024646442851</c:v>
                </c:pt>
                <c:pt idx="305">
                  <c:v>87.574622154703491</c:v>
                </c:pt>
                <c:pt idx="306">
                  <c:v>87.826687980917285</c:v>
                </c:pt>
                <c:pt idx="307">
                  <c:v>87.964639235399474</c:v>
                </c:pt>
                <c:pt idx="308">
                  <c:v>88.157623265363711</c:v>
                </c:pt>
                <c:pt idx="309">
                  <c:v>88.209995222510429</c:v>
                </c:pt>
                <c:pt idx="310">
                  <c:v>88.33903378405742</c:v>
                </c:pt>
                <c:pt idx="311">
                  <c:v>88.570388905606222</c:v>
                </c:pt>
                <c:pt idx="312">
                  <c:v>88.652973373930422</c:v>
                </c:pt>
                <c:pt idx="313">
                  <c:v>88.867279172324231</c:v>
                </c:pt>
                <c:pt idx="314">
                  <c:v>88.999005856705566</c:v>
                </c:pt>
                <c:pt idx="315">
                  <c:v>89.304503667029408</c:v>
                </c:pt>
                <c:pt idx="316">
                  <c:v>89.337479447425522</c:v>
                </c:pt>
                <c:pt idx="317">
                  <c:v>89.526586350076258</c:v>
                </c:pt>
                <c:pt idx="318">
                  <c:v>89.705891983124758</c:v>
                </c:pt>
                <c:pt idx="319">
                  <c:v>89.953388957068086</c:v>
                </c:pt>
                <c:pt idx="320">
                  <c:v>90.005505657432906</c:v>
                </c:pt>
                <c:pt idx="321">
                  <c:v>90.212372501894748</c:v>
                </c:pt>
                <c:pt idx="322">
                  <c:v>90.43841964317096</c:v>
                </c:pt>
                <c:pt idx="323">
                  <c:v>90.610315873776017</c:v>
                </c:pt>
                <c:pt idx="324">
                  <c:v>90.67573354189291</c:v>
                </c:pt>
                <c:pt idx="325">
                  <c:v>90.823844562462909</c:v>
                </c:pt>
                <c:pt idx="326">
                  <c:v>91.049189610362362</c:v>
                </c:pt>
                <c:pt idx="327">
                  <c:v>91.303588979299008</c:v>
                </c:pt>
                <c:pt idx="328">
                  <c:v>91.448506270277363</c:v>
                </c:pt>
                <c:pt idx="329">
                  <c:v>91.636691220105789</c:v>
                </c:pt>
                <c:pt idx="330">
                  <c:v>91.764267855176186</c:v>
                </c:pt>
                <c:pt idx="331">
                  <c:v>91.880565785805516</c:v>
                </c:pt>
                <c:pt idx="332">
                  <c:v>92.01115165664676</c:v>
                </c:pt>
                <c:pt idx="333">
                  <c:v>92.327477437446589</c:v>
                </c:pt>
                <c:pt idx="334">
                  <c:v>92.450389372650761</c:v>
                </c:pt>
                <c:pt idx="335">
                  <c:v>92.573240977368258</c:v>
                </c:pt>
                <c:pt idx="336">
                  <c:v>92.713065440040594</c:v>
                </c:pt>
                <c:pt idx="337">
                  <c:v>93.050206479365542</c:v>
                </c:pt>
                <c:pt idx="338">
                  <c:v>93.167026244408532</c:v>
                </c:pt>
                <c:pt idx="339">
                  <c:v>93.246671490875713</c:v>
                </c:pt>
                <c:pt idx="340">
                  <c:v>93.508523409406905</c:v>
                </c:pt>
                <c:pt idx="341">
                  <c:v>93.580535212419335</c:v>
                </c:pt>
                <c:pt idx="342">
                  <c:v>93.900221189465157</c:v>
                </c:pt>
                <c:pt idx="343">
                  <c:v>93.991850865329241</c:v>
                </c:pt>
                <c:pt idx="344">
                  <c:v>94.140520941956368</c:v>
                </c:pt>
                <c:pt idx="345">
                  <c:v>94.465301308918185</c:v>
                </c:pt>
                <c:pt idx="346">
                  <c:v>94.592119899463256</c:v>
                </c:pt>
                <c:pt idx="347">
                  <c:v>94.673974991383801</c:v>
                </c:pt>
                <c:pt idx="348">
                  <c:v>94.909763621953346</c:v>
                </c:pt>
                <c:pt idx="349">
                  <c:v>95.023273614214929</c:v>
                </c:pt>
                <c:pt idx="350">
                  <c:v>95.235928921891684</c:v>
                </c:pt>
                <c:pt idx="351">
                  <c:v>95.395940016647131</c:v>
                </c:pt>
                <c:pt idx="352">
                  <c:v>95.626209812724625</c:v>
                </c:pt>
                <c:pt idx="353">
                  <c:v>95.915009672740723</c:v>
                </c:pt>
                <c:pt idx="354">
                  <c:v>95.966190114605851</c:v>
                </c:pt>
                <c:pt idx="355">
                  <c:v>96.291859572572463</c:v>
                </c:pt>
                <c:pt idx="356">
                  <c:v>96.30770243737156</c:v>
                </c:pt>
                <c:pt idx="357">
                  <c:v>96.65727282940361</c:v>
                </c:pt>
                <c:pt idx="358">
                  <c:v>96.720919003526276</c:v>
                </c:pt>
                <c:pt idx="359">
                  <c:v>96.899974907046982</c:v>
                </c:pt>
                <c:pt idx="360">
                  <c:v>97.153884855810077</c:v>
                </c:pt>
                <c:pt idx="361">
                  <c:v>97.405355335323904</c:v>
                </c:pt>
                <c:pt idx="362">
                  <c:v>97.60535688713108</c:v>
                </c:pt>
                <c:pt idx="363">
                  <c:v>97.768763181655288</c:v>
                </c:pt>
                <c:pt idx="364">
                  <c:v>97.947782916829738</c:v>
                </c:pt>
                <c:pt idx="365">
                  <c:v>98.052988730639484</c:v>
                </c:pt>
                <c:pt idx="366">
                  <c:v>98.291332931611464</c:v>
                </c:pt>
                <c:pt idx="367">
                  <c:v>98.590610629092481</c:v>
                </c:pt>
                <c:pt idx="368">
                  <c:v>98.63747753842523</c:v>
                </c:pt>
                <c:pt idx="369">
                  <c:v>98.900751794193155</c:v>
                </c:pt>
                <c:pt idx="370">
                  <c:v>99.097226743442945</c:v>
                </c:pt>
                <c:pt idx="371">
                  <c:v>99.368462742649399</c:v>
                </c:pt>
                <c:pt idx="372">
                  <c:v>99.490377561655521</c:v>
                </c:pt>
                <c:pt idx="373">
                  <c:v>99.605215045459289</c:v>
                </c:pt>
                <c:pt idx="374">
                  <c:v>99.864850538510041</c:v>
                </c:pt>
                <c:pt idx="375">
                  <c:v>100.15492303121496</c:v>
                </c:pt>
                <c:pt idx="376">
                  <c:v>100.20953330876857</c:v>
                </c:pt>
                <c:pt idx="377">
                  <c:v>100.54779800673765</c:v>
                </c:pt>
                <c:pt idx="378">
                  <c:v>100.66710207701789</c:v>
                </c:pt>
                <c:pt idx="379">
                  <c:v>100.87060681590057</c:v>
                </c:pt>
                <c:pt idx="380">
                  <c:v>100.99933401421893</c:v>
                </c:pt>
                <c:pt idx="381">
                  <c:v>101.22538390825962</c:v>
                </c:pt>
                <c:pt idx="382">
                  <c:v>101.48661127910489</c:v>
                </c:pt>
                <c:pt idx="383">
                  <c:v>101.74112221653925</c:v>
                </c:pt>
                <c:pt idx="384">
                  <c:v>101.95955933082502</c:v>
                </c:pt>
                <c:pt idx="385">
                  <c:v>102.11098294083223</c:v>
                </c:pt>
                <c:pt idx="386">
                  <c:v>102.40594806048662</c:v>
                </c:pt>
                <c:pt idx="387">
                  <c:v>102.48153600829077</c:v>
                </c:pt>
                <c:pt idx="388">
                  <c:v>102.67095397576713</c:v>
                </c:pt>
                <c:pt idx="389">
                  <c:v>102.9582095798506</c:v>
                </c:pt>
                <c:pt idx="390">
                  <c:v>103.09339336851662</c:v>
                </c:pt>
                <c:pt idx="391">
                  <c:v>103.32152177663752</c:v>
                </c:pt>
                <c:pt idx="392">
                  <c:v>103.50471408574433</c:v>
                </c:pt>
                <c:pt idx="393">
                  <c:v>103.87864233839136</c:v>
                </c:pt>
                <c:pt idx="394">
                  <c:v>104.06041376805827</c:v>
                </c:pt>
                <c:pt idx="395">
                  <c:v>104.15984408149828</c:v>
                </c:pt>
                <c:pt idx="396">
                  <c:v>104.52877647070348</c:v>
                </c:pt>
                <c:pt idx="397">
                  <c:v>104.69686832263554</c:v>
                </c:pt>
                <c:pt idx="398">
                  <c:v>105.02845456732146</c:v>
                </c:pt>
                <c:pt idx="399">
                  <c:v>105.20368999613085</c:v>
                </c:pt>
                <c:pt idx="400">
                  <c:v>105.29921512529042</c:v>
                </c:pt>
                <c:pt idx="401">
                  <c:v>105.53366306135285</c:v>
                </c:pt>
                <c:pt idx="402">
                  <c:v>105.7376347087795</c:v>
                </c:pt>
                <c:pt idx="403">
                  <c:v>106.12033273283289</c:v>
                </c:pt>
                <c:pt idx="404">
                  <c:v>106.2411660569696</c:v>
                </c:pt>
                <c:pt idx="405">
                  <c:v>106.56362717202941</c:v>
                </c:pt>
                <c:pt idx="406">
                  <c:v>106.71802979781248</c:v>
                </c:pt>
                <c:pt idx="407">
                  <c:v>106.95309961124971</c:v>
                </c:pt>
                <c:pt idx="408">
                  <c:v>107.2773150145462</c:v>
                </c:pt>
                <c:pt idx="409">
                  <c:v>107.40164744976174</c:v>
                </c:pt>
                <c:pt idx="410">
                  <c:v>107.75847215675478</c:v>
                </c:pt>
                <c:pt idx="411">
                  <c:v>108.02002312130469</c:v>
                </c:pt>
                <c:pt idx="412">
                  <c:v>108.14559984038084</c:v>
                </c:pt>
                <c:pt idx="413">
                  <c:v>108.30424185410678</c:v>
                </c:pt>
                <c:pt idx="414">
                  <c:v>108.73931572307437</c:v>
                </c:pt>
                <c:pt idx="415">
                  <c:v>108.80533510382782</c:v>
                </c:pt>
                <c:pt idx="416">
                  <c:v>109.01230342228116</c:v>
                </c:pt>
                <c:pt idx="417">
                  <c:v>109.36915050664743</c:v>
                </c:pt>
                <c:pt idx="418">
                  <c:v>109.52246108453187</c:v>
                </c:pt>
                <c:pt idx="419">
                  <c:v>109.86609411877942</c:v>
                </c:pt>
                <c:pt idx="420">
                  <c:v>110.11800862114724</c:v>
                </c:pt>
                <c:pt idx="421">
                  <c:v>110.23095224061726</c:v>
                </c:pt>
                <c:pt idx="422">
                  <c:v>110.70377256498297</c:v>
                </c:pt>
                <c:pt idx="423">
                  <c:v>110.75998356275574</c:v>
                </c:pt>
                <c:pt idx="424">
                  <c:v>111.05774778664031</c:v>
                </c:pt>
                <c:pt idx="425">
                  <c:v>111.28605886431546</c:v>
                </c:pt>
                <c:pt idx="426">
                  <c:v>111.71712978750209</c:v>
                </c:pt>
                <c:pt idx="427">
                  <c:v>111.80423972274025</c:v>
                </c:pt>
                <c:pt idx="428">
                  <c:v>112.03837468606002</c:v>
                </c:pt>
                <c:pt idx="429">
                  <c:v>112.40639597068335</c:v>
                </c:pt>
                <c:pt idx="430">
                  <c:v>112.79722106251343</c:v>
                </c:pt>
                <c:pt idx="431">
                  <c:v>113.10266450485491</c:v>
                </c:pt>
                <c:pt idx="432">
                  <c:v>113.34575085097407</c:v>
                </c:pt>
                <c:pt idx="433">
                  <c:v>113.63809398238375</c:v>
                </c:pt>
                <c:pt idx="434">
                  <c:v>113.88020333919022</c:v>
                </c:pt>
                <c:pt idx="435">
                  <c:v>114.0747625657703</c:v>
                </c:pt>
                <c:pt idx="436">
                  <c:v>114.34717091258875</c:v>
                </c:pt>
                <c:pt idx="437">
                  <c:v>114.7674192019642</c:v>
                </c:pt>
                <c:pt idx="438">
                  <c:v>114.9672226433938</c:v>
                </c:pt>
                <c:pt idx="439">
                  <c:v>115.2714392104495</c:v>
                </c:pt>
                <c:pt idx="440">
                  <c:v>115.5442062770292</c:v>
                </c:pt>
                <c:pt idx="441">
                  <c:v>115.72695136444986</c:v>
                </c:pt>
                <c:pt idx="442">
                  <c:v>115.94991987041863</c:v>
                </c:pt>
                <c:pt idx="443">
                  <c:v>116.36617209041016</c:v>
                </c:pt>
                <c:pt idx="444">
                  <c:v>116.52348071988609</c:v>
                </c:pt>
                <c:pt idx="445">
                  <c:v>116.88558185023744</c:v>
                </c:pt>
                <c:pt idx="446">
                  <c:v>117.17015767606682</c:v>
                </c:pt>
                <c:pt idx="447">
                  <c:v>117.52700585082309</c:v>
                </c:pt>
                <c:pt idx="448">
                  <c:v>117.78609807460552</c:v>
                </c:pt>
                <c:pt idx="449">
                  <c:v>118.26043382592195</c:v>
                </c:pt>
                <c:pt idx="450">
                  <c:v>118.409897643085</c:v>
                </c:pt>
                <c:pt idx="451">
                  <c:v>118.79373980000183</c:v>
                </c:pt>
                <c:pt idx="452">
                  <c:v>119.23337227885892</c:v>
                </c:pt>
                <c:pt idx="453">
                  <c:v>119.60332981595009</c:v>
                </c:pt>
                <c:pt idx="454">
                  <c:v>119.77538241919615</c:v>
                </c:pt>
                <c:pt idx="455">
                  <c:v>120.20434580979057</c:v>
                </c:pt>
                <c:pt idx="456">
                  <c:v>120.59573136147347</c:v>
                </c:pt>
                <c:pt idx="457">
                  <c:v>120.8793984067438</c:v>
                </c:pt>
                <c:pt idx="458">
                  <c:v>121.07195222761922</c:v>
                </c:pt>
                <c:pt idx="459">
                  <c:v>121.6250911892665</c:v>
                </c:pt>
                <c:pt idx="460">
                  <c:v>121.9292699459679</c:v>
                </c:pt>
                <c:pt idx="461">
                  <c:v>122.39305786681163</c:v>
                </c:pt>
                <c:pt idx="462">
                  <c:v>122.59880109156191</c:v>
                </c:pt>
                <c:pt idx="463">
                  <c:v>123.1456102278338</c:v>
                </c:pt>
                <c:pt idx="464">
                  <c:v>123.48259614520428</c:v>
                </c:pt>
                <c:pt idx="465">
                  <c:v>123.62635380650801</c:v>
                </c:pt>
                <c:pt idx="466">
                  <c:v>124.08293584522487</c:v>
                </c:pt>
                <c:pt idx="467">
                  <c:v>124.43885398880882</c:v>
                </c:pt>
                <c:pt idx="468">
                  <c:v>125.07065871479222</c:v>
                </c:pt>
                <c:pt idx="469">
                  <c:v>125.46028959246928</c:v>
                </c:pt>
                <c:pt idx="470">
                  <c:v>125.51733381473107</c:v>
                </c:pt>
                <c:pt idx="471">
                  <c:v>125.92342106755093</c:v>
                </c:pt>
                <c:pt idx="472">
                  <c:v>126.60785509009729</c:v>
                </c:pt>
                <c:pt idx="473">
                  <c:v>126.78297954479092</c:v>
                </c:pt>
                <c:pt idx="474">
                  <c:v>127.2509390335581</c:v>
                </c:pt>
                <c:pt idx="475">
                  <c:v>127.90549034460997</c:v>
                </c:pt>
                <c:pt idx="476">
                  <c:v>128.46120543711623</c:v>
                </c:pt>
                <c:pt idx="477">
                  <c:v>128.91048657597679</c:v>
                </c:pt>
                <c:pt idx="478">
                  <c:v>129.13400043274905</c:v>
                </c:pt>
                <c:pt idx="479">
                  <c:v>129.72644985306346</c:v>
                </c:pt>
                <c:pt idx="480">
                  <c:v>130.18533861715068</c:v>
                </c:pt>
                <c:pt idx="481">
                  <c:v>130.67065228112125</c:v>
                </c:pt>
                <c:pt idx="482">
                  <c:v>131.23868643545381</c:v>
                </c:pt>
                <c:pt idx="483">
                  <c:v>131.60164896123155</c:v>
                </c:pt>
                <c:pt idx="484">
                  <c:v>132.20382423654121</c:v>
                </c:pt>
                <c:pt idx="485">
                  <c:v>133.16285962735768</c:v>
                </c:pt>
                <c:pt idx="486">
                  <c:v>133.62092182846868</c:v>
                </c:pt>
                <c:pt idx="487">
                  <c:v>134.24804260010842</c:v>
                </c:pt>
                <c:pt idx="488">
                  <c:v>135.02279677613788</c:v>
                </c:pt>
                <c:pt idx="489">
                  <c:v>135.56207198686349</c:v>
                </c:pt>
                <c:pt idx="490">
                  <c:v>136.51597010549534</c:v>
                </c:pt>
                <c:pt idx="491">
                  <c:v>136.82001313027706</c:v>
                </c:pt>
                <c:pt idx="492">
                  <c:v>137.78151257295482</c:v>
                </c:pt>
                <c:pt idx="493">
                  <c:v>138.9190706350887</c:v>
                </c:pt>
                <c:pt idx="494">
                  <c:v>139.83223547422705</c:v>
                </c:pt>
                <c:pt idx="495">
                  <c:v>140.47484522478973</c:v>
                </c:pt>
                <c:pt idx="496">
                  <c:v>141.60755943465458</c:v>
                </c:pt>
                <c:pt idx="497">
                  <c:v>143.13120851378105</c:v>
                </c:pt>
                <c:pt idx="498">
                  <c:v>144.54080405042794</c:v>
                </c:pt>
                <c:pt idx="499">
                  <c:v>147.10946663564982</c:v>
                </c:pt>
              </c:numCache>
            </c:numRef>
          </c:xVal>
          <c:yVal>
            <c:numRef>
              <c:f>SimDataTRI!$J$12:$J$511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62068416"/>
        <c:axId val="-1162059712"/>
      </c:scatterChart>
      <c:valAx>
        <c:axId val="-11620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62059712"/>
        <c:crosses val="autoZero"/>
        <c:crossBetween val="midCat"/>
      </c:valAx>
      <c:valAx>
        <c:axId val="-116205971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162068416"/>
        <c:crosses val="autoZero"/>
        <c:crossBetween val="midCat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SimDataTRI!$S$5</c:f>
          <c:strCache>
            <c:ptCount val="1"/>
            <c:pt idx="0">
              <c:v>PDF Approximation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SimDataTRI!$T$6</c:f>
              <c:strCache>
                <c:ptCount val="1"/>
                <c:pt idx="0">
                  <c:v>Triangle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SimDataTRI!$T$15:$T$114</c:f>
              <c:numCache>
                <c:formatCode>0.000</c:formatCode>
                <c:ptCount val="100"/>
                <c:pt idx="0">
                  <c:v>22.483232478087228</c:v>
                </c:pt>
                <c:pt idx="1">
                  <c:v>23.742083328163616</c:v>
                </c:pt>
                <c:pt idx="2">
                  <c:v>25.000934178240005</c:v>
                </c:pt>
                <c:pt idx="3">
                  <c:v>26.259785028316394</c:v>
                </c:pt>
                <c:pt idx="4">
                  <c:v>27.518635878392782</c:v>
                </c:pt>
                <c:pt idx="5">
                  <c:v>28.777486728469171</c:v>
                </c:pt>
                <c:pt idx="6">
                  <c:v>30.03633757854556</c:v>
                </c:pt>
                <c:pt idx="7">
                  <c:v>31.295188428621948</c:v>
                </c:pt>
                <c:pt idx="8">
                  <c:v>32.55403927869834</c:v>
                </c:pt>
                <c:pt idx="9">
                  <c:v>33.812890128774733</c:v>
                </c:pt>
                <c:pt idx="10">
                  <c:v>35.071740978851125</c:v>
                </c:pt>
                <c:pt idx="11">
                  <c:v>36.330591828927517</c:v>
                </c:pt>
                <c:pt idx="12">
                  <c:v>37.589442679003909</c:v>
                </c:pt>
                <c:pt idx="13">
                  <c:v>38.848293529080301</c:v>
                </c:pt>
                <c:pt idx="14">
                  <c:v>40.107144379156694</c:v>
                </c:pt>
                <c:pt idx="15">
                  <c:v>41.365995229233086</c:v>
                </c:pt>
                <c:pt idx="16">
                  <c:v>42.624846079309478</c:v>
                </c:pt>
                <c:pt idx="17">
                  <c:v>43.88369692938587</c:v>
                </c:pt>
                <c:pt idx="18">
                  <c:v>45.142547779462262</c:v>
                </c:pt>
                <c:pt idx="19">
                  <c:v>46.401398629538654</c:v>
                </c:pt>
                <c:pt idx="20">
                  <c:v>47.660249479615047</c:v>
                </c:pt>
                <c:pt idx="21">
                  <c:v>48.919100329691439</c:v>
                </c:pt>
                <c:pt idx="22">
                  <c:v>50.177951179767831</c:v>
                </c:pt>
                <c:pt idx="23">
                  <c:v>51.436802029844223</c:v>
                </c:pt>
                <c:pt idx="24">
                  <c:v>52.695652879920615</c:v>
                </c:pt>
                <c:pt idx="25">
                  <c:v>53.954503729997008</c:v>
                </c:pt>
                <c:pt idx="26">
                  <c:v>55.2133545800734</c:v>
                </c:pt>
                <c:pt idx="27">
                  <c:v>56.472205430149792</c:v>
                </c:pt>
                <c:pt idx="28">
                  <c:v>57.731056280226184</c:v>
                </c:pt>
                <c:pt idx="29">
                  <c:v>58.989907130302576</c:v>
                </c:pt>
                <c:pt idx="30">
                  <c:v>60.248757980378969</c:v>
                </c:pt>
                <c:pt idx="31">
                  <c:v>61.507608830455361</c:v>
                </c:pt>
                <c:pt idx="32">
                  <c:v>62.766459680531753</c:v>
                </c:pt>
                <c:pt idx="33">
                  <c:v>64.025310530608138</c:v>
                </c:pt>
                <c:pt idx="34">
                  <c:v>65.284161380684523</c:v>
                </c:pt>
                <c:pt idx="35">
                  <c:v>66.543012230760908</c:v>
                </c:pt>
                <c:pt idx="36">
                  <c:v>67.801863080837293</c:v>
                </c:pt>
                <c:pt idx="37">
                  <c:v>69.060713930913678</c:v>
                </c:pt>
                <c:pt idx="38">
                  <c:v>70.319564780990063</c:v>
                </c:pt>
                <c:pt idx="39">
                  <c:v>71.578415631066449</c:v>
                </c:pt>
                <c:pt idx="40">
                  <c:v>72.837266481142834</c:v>
                </c:pt>
                <c:pt idx="41">
                  <c:v>74.096117331219219</c:v>
                </c:pt>
                <c:pt idx="42">
                  <c:v>75.354968181295604</c:v>
                </c:pt>
                <c:pt idx="43">
                  <c:v>76.613819031371989</c:v>
                </c:pt>
                <c:pt idx="44">
                  <c:v>77.872669881448374</c:v>
                </c:pt>
                <c:pt idx="45">
                  <c:v>79.131520731524759</c:v>
                </c:pt>
                <c:pt idx="46">
                  <c:v>80.390371581601144</c:v>
                </c:pt>
                <c:pt idx="47">
                  <c:v>81.649222431677529</c:v>
                </c:pt>
                <c:pt idx="48">
                  <c:v>82.908073281753914</c:v>
                </c:pt>
                <c:pt idx="49">
                  <c:v>84.166924131830299</c:v>
                </c:pt>
                <c:pt idx="50">
                  <c:v>85.425774981906685</c:v>
                </c:pt>
                <c:pt idx="51">
                  <c:v>86.68462583198307</c:v>
                </c:pt>
                <c:pt idx="52">
                  <c:v>87.943476682059455</c:v>
                </c:pt>
                <c:pt idx="53">
                  <c:v>89.20232753213584</c:v>
                </c:pt>
                <c:pt idx="54">
                  <c:v>90.461178382212225</c:v>
                </c:pt>
                <c:pt idx="55">
                  <c:v>91.72002923228861</c:v>
                </c:pt>
                <c:pt idx="56">
                  <c:v>92.978880082364995</c:v>
                </c:pt>
                <c:pt idx="57">
                  <c:v>94.23773093244138</c:v>
                </c:pt>
                <c:pt idx="58">
                  <c:v>95.496581782517765</c:v>
                </c:pt>
                <c:pt idx="59">
                  <c:v>96.75543263259415</c:v>
                </c:pt>
                <c:pt idx="60">
                  <c:v>98.014283482670535</c:v>
                </c:pt>
                <c:pt idx="61">
                  <c:v>99.27313433274692</c:v>
                </c:pt>
                <c:pt idx="62">
                  <c:v>100.53198518282331</c:v>
                </c:pt>
                <c:pt idx="63">
                  <c:v>101.79083603289969</c:v>
                </c:pt>
                <c:pt idx="64">
                  <c:v>103.04968688297608</c:v>
                </c:pt>
                <c:pt idx="65">
                  <c:v>104.30853773305246</c:v>
                </c:pt>
                <c:pt idx="66">
                  <c:v>105.56738858312885</c:v>
                </c:pt>
                <c:pt idx="67">
                  <c:v>106.82623943320523</c:v>
                </c:pt>
                <c:pt idx="68">
                  <c:v>108.08509028328162</c:v>
                </c:pt>
                <c:pt idx="69">
                  <c:v>109.343941133358</c:v>
                </c:pt>
                <c:pt idx="70">
                  <c:v>110.60279198343439</c:v>
                </c:pt>
                <c:pt idx="71">
                  <c:v>111.86164283351077</c:v>
                </c:pt>
                <c:pt idx="72">
                  <c:v>113.12049368358716</c:v>
                </c:pt>
                <c:pt idx="73">
                  <c:v>114.37934453366354</c:v>
                </c:pt>
                <c:pt idx="74">
                  <c:v>115.63819538373993</c:v>
                </c:pt>
                <c:pt idx="75">
                  <c:v>116.89704623381631</c:v>
                </c:pt>
                <c:pt idx="76">
                  <c:v>118.1558970838927</c:v>
                </c:pt>
                <c:pt idx="77">
                  <c:v>119.41474793396908</c:v>
                </c:pt>
                <c:pt idx="78">
                  <c:v>120.67359878404547</c:v>
                </c:pt>
                <c:pt idx="79">
                  <c:v>121.93244963412185</c:v>
                </c:pt>
                <c:pt idx="80">
                  <c:v>123.19130048419824</c:v>
                </c:pt>
                <c:pt idx="81">
                  <c:v>124.45015133427462</c:v>
                </c:pt>
                <c:pt idx="82">
                  <c:v>125.70900218435101</c:v>
                </c:pt>
                <c:pt idx="83">
                  <c:v>126.96785303442739</c:v>
                </c:pt>
                <c:pt idx="84">
                  <c:v>128.22670388450379</c:v>
                </c:pt>
                <c:pt idx="85">
                  <c:v>129.48555473458018</c:v>
                </c:pt>
                <c:pt idx="86">
                  <c:v>130.74440558465656</c:v>
                </c:pt>
                <c:pt idx="87">
                  <c:v>132.00325643473295</c:v>
                </c:pt>
                <c:pt idx="88">
                  <c:v>133.26210728480933</c:v>
                </c:pt>
                <c:pt idx="89">
                  <c:v>134.52095813488572</c:v>
                </c:pt>
                <c:pt idx="90">
                  <c:v>135.7798089849621</c:v>
                </c:pt>
                <c:pt idx="91">
                  <c:v>137.03865983503849</c:v>
                </c:pt>
                <c:pt idx="92">
                  <c:v>138.29751068511487</c:v>
                </c:pt>
                <c:pt idx="93">
                  <c:v>139.55636153519126</c:v>
                </c:pt>
                <c:pt idx="94">
                  <c:v>140.81521238526764</c:v>
                </c:pt>
                <c:pt idx="95">
                  <c:v>142.07406323534403</c:v>
                </c:pt>
                <c:pt idx="96">
                  <c:v>143.33291408542041</c:v>
                </c:pt>
                <c:pt idx="97">
                  <c:v>144.5917649354968</c:v>
                </c:pt>
                <c:pt idx="98">
                  <c:v>145.85061578557318</c:v>
                </c:pt>
                <c:pt idx="99">
                  <c:v>147.10946663564957</c:v>
                </c:pt>
              </c:numCache>
            </c:numRef>
          </c:xVal>
          <c:yVal>
            <c:numRef>
              <c:f>SimDataTRI!$U$15:$U$114</c:f>
              <c:numCache>
                <c:formatCode>0.000</c:formatCode>
                <c:ptCount val="100"/>
                <c:pt idx="0">
                  <c:v>1.3610904562493199E-3</c:v>
                </c:pt>
                <c:pt idx="1">
                  <c:v>1.5968217570998344E-3</c:v>
                </c:pt>
                <c:pt idx="2">
                  <c:v>1.8521289601058557E-3</c:v>
                </c:pt>
                <c:pt idx="3">
                  <c:v>2.1254650454682316E-3</c:v>
                </c:pt>
                <c:pt idx="4">
                  <c:v>2.4150639528717076E-3</c:v>
                </c:pt>
                <c:pt idx="5">
                  <c:v>2.7190479947518148E-3</c:v>
                </c:pt>
                <c:pt idx="6">
                  <c:v>3.0355274231342751E-3</c:v>
                </c:pt>
                <c:pt idx="7">
                  <c:v>3.362683199360659E-3</c:v>
                </c:pt>
                <c:pt idx="8">
                  <c:v>3.6988272932212698E-3</c:v>
                </c:pt>
                <c:pt idx="9">
                  <c:v>4.0424385824701431E-3</c:v>
                </c:pt>
                <c:pt idx="10">
                  <c:v>4.3921759681156969E-3</c:v>
                </c:pt>
                <c:pt idx="11">
                  <c:v>4.7468731024894245E-3</c:v>
                </c:pt>
                <c:pt idx="12">
                  <c:v>5.1055207847849624E-3</c:v>
                </c:pt>
                <c:pt idx="13">
                  <c:v>5.4672434961068536E-3</c:v>
                </c:pt>
                <c:pt idx="14">
                  <c:v>5.8312758373199941E-3</c:v>
                </c:pt>
                <c:pt idx="15">
                  <c:v>6.1969430837896869E-3</c:v>
                </c:pt>
                <c:pt idx="16">
                  <c:v>6.5636480553387744E-3</c:v>
                </c:pt>
                <c:pt idx="17">
                  <c:v>6.9308643963666176E-3</c:v>
                </c:pt>
                <c:pt idx="18">
                  <c:v>7.2981344901261406E-3</c:v>
                </c:pt>
                <c:pt idx="19">
                  <c:v>7.6650688193369938E-3</c:v>
                </c:pt>
                <c:pt idx="20">
                  <c:v>8.0313427609766692E-3</c:v>
                </c:pt>
                <c:pt idx="21">
                  <c:v>8.3966866125388274E-3</c:v>
                </c:pt>
                <c:pt idx="22">
                  <c:v>8.7608650797940217E-3</c:v>
                </c:pt>
                <c:pt idx="23">
                  <c:v>9.1236434670965202E-3</c:v>
                </c:pt>
                <c:pt idx="24">
                  <c:v>9.4847393320791687E-3</c:v>
                </c:pt>
                <c:pt idx="25">
                  <c:v>9.8437603028146449E-3</c:v>
                </c:pt>
                <c:pt idx="26">
                  <c:v>1.0200130974253518E-2</c:v>
                </c:pt>
                <c:pt idx="27">
                  <c:v>1.0553014114970234E-2</c:v>
                </c:pt>
                <c:pt idx="28">
                  <c:v>1.0901233575037004E-2</c:v>
                </c:pt>
                <c:pt idx="29">
                  <c:v>1.1243207984886809E-2</c:v>
                </c:pt>
                <c:pt idx="30">
                  <c:v>1.1576905238047101E-2</c:v>
                </c:pt>
                <c:pt idx="31">
                  <c:v>1.189982754240153E-2</c:v>
                </c:pt>
                <c:pt idx="32">
                  <c:v>1.2209035275200302E-2</c:v>
                </c:pt>
                <c:pt idx="33">
                  <c:v>1.2501214911729348E-2</c:v>
                </c:pt>
                <c:pt idx="34">
                  <c:v>1.2772792056069791E-2</c:v>
                </c:pt>
                <c:pt idx="35">
                  <c:v>1.302008546903723E-2</c:v>
                </c:pt>
                <c:pt idx="36">
                  <c:v>1.3239492578066957E-2</c:v>
                </c:pt>
                <c:pt idx="37">
                  <c:v>1.3427692044982115E-2</c:v>
                </c:pt>
                <c:pt idx="38">
                  <c:v>1.358184538508085E-2</c:v>
                </c:pt>
                <c:pt idx="39">
                  <c:v>1.3699778094681441E-2</c:v>
                </c:pt>
                <c:pt idx="40">
                  <c:v>1.3780121712649852E-2</c:v>
                </c:pt>
                <c:pt idx="41">
                  <c:v>1.3822401786404715E-2</c:v>
                </c:pt>
                <c:pt idx="42">
                  <c:v>1.3827062461121531E-2</c:v>
                </c:pt>
                <c:pt idx="43">
                  <c:v>1.3795425575293762E-2</c:v>
                </c:pt>
                <c:pt idx="44">
                  <c:v>1.3729589650687001E-2</c:v>
                </c:pt>
                <c:pt idx="45">
                  <c:v>1.3632280843128421E-2</c:v>
                </c:pt>
                <c:pt idx="46">
                  <c:v>1.3506672742413819E-2</c:v>
                </c:pt>
                <c:pt idx="47">
                  <c:v>1.3356194186777692E-2</c:v>
                </c:pt>
                <c:pt idx="48">
                  <c:v>1.3184343776033143E-2</c:v>
                </c:pt>
                <c:pt idx="49">
                  <c:v>1.2994526815076565E-2</c:v>
                </c:pt>
                <c:pt idx="50">
                  <c:v>1.2789925701054994E-2</c:v>
                </c:pt>
                <c:pt idx="51">
                  <c:v>1.2573409235081526E-2</c:v>
                </c:pt>
                <c:pt idx="52">
                  <c:v>1.2347480979118834E-2</c:v>
                </c:pt>
                <c:pt idx="53">
                  <c:v>1.2114262409911297E-2</c:v>
                </c:pt>
                <c:pt idx="54">
                  <c:v>1.1875503754843869E-2</c:v>
                </c:pt>
                <c:pt idx="55">
                  <c:v>1.1632614174414208E-2</c:v>
                </c:pt>
                <c:pt idx="56">
                  <c:v>1.1386703195760028E-2</c:v>
                </c:pt>
                <c:pt idx="57">
                  <c:v>1.1138626584646639E-2</c:v>
                </c:pt>
                <c:pt idx="58">
                  <c:v>1.0889031658479591E-2</c:v>
                </c:pt>
                <c:pt idx="59">
                  <c:v>1.0638398915401937E-2</c:v>
                </c:pt>
                <c:pt idx="60">
                  <c:v>1.0387078439651377E-2</c:v>
                </c:pt>
                <c:pt idx="61">
                  <c:v>1.0135320667713034E-2</c:v>
                </c:pt>
                <c:pt idx="62">
                  <c:v>9.8833017503553618E-3</c:v>
                </c:pt>
                <c:pt idx="63">
                  <c:v>9.6311440209610414E-3</c:v>
                </c:pt>
                <c:pt idx="64">
                  <c:v>9.3789321266330456E-3</c:v>
                </c:pt>
                <c:pt idx="65">
                  <c:v>9.1267253308767761E-3</c:v>
                </c:pt>
                <c:pt idx="66">
                  <c:v>8.8745664444069231E-3</c:v>
                </c:pt>
                <c:pt idx="67">
                  <c:v>8.6224878182214922E-3</c:v>
                </c:pt>
                <c:pt idx="68">
                  <c:v>8.3705148347527451E-3</c:v>
                </c:pt>
                <c:pt idx="69">
                  <c:v>8.1186673386554331E-3</c:v>
                </c:pt>
                <c:pt idx="70">
                  <c:v>7.8669594481723098E-3</c:v>
                </c:pt>
                <c:pt idx="71">
                  <c:v>7.6153981909323747E-3</c:v>
                </c:pt>
                <c:pt idx="72">
                  <c:v>7.3639814387350738E-3</c:v>
                </c:pt>
                <c:pt idx="73">
                  <c:v>7.1126956940400256E-3</c:v>
                </c:pt>
                <c:pt idx="74">
                  <c:v>6.8615144000601066E-3</c:v>
                </c:pt>
                <c:pt idx="75">
                  <c:v>6.6103975618827145E-3</c:v>
                </c:pt>
                <c:pt idx="76">
                  <c:v>6.3592935014321009E-3</c:v>
                </c:pt>
                <c:pt idx="77">
                  <c:v>6.1081434422079715E-3</c:v>
                </c:pt>
                <c:pt idx="78">
                  <c:v>5.8568892809104274E-3</c:v>
                </c:pt>
                <c:pt idx="79">
                  <c:v>5.605484370039898E-3</c:v>
                </c:pt>
                <c:pt idx="80">
                  <c:v>5.3539065088321321E-3</c:v>
                </c:pt>
                <c:pt idx="81">
                  <c:v>5.1021717871001029E-3</c:v>
                </c:pt>
                <c:pt idx="82">
                  <c:v>4.8503476358644701E-3</c:v>
                </c:pt>
                <c:pt idx="83">
                  <c:v>4.5985635535913472E-3</c:v>
                </c:pt>
                <c:pt idx="84">
                  <c:v>4.3470185346772966E-3</c:v>
                </c:pt>
                <c:pt idx="85">
                  <c:v>4.0959851241538711E-3</c:v>
                </c:pt>
                <c:pt idx="86">
                  <c:v>3.8458110249770159E-3</c:v>
                </c:pt>
                <c:pt idx="87">
                  <c:v>3.5969199821208821E-3</c:v>
                </c:pt>
                <c:pt idx="88">
                  <c:v>3.3498139648564487E-3</c:v>
                </c:pt>
                <c:pt idx="89">
                  <c:v>3.1050782775655355E-3</c:v>
                </c:pt>
                <c:pt idx="90">
                  <c:v>2.8633901431619471E-3</c:v>
                </c:pt>
                <c:pt idx="91">
                  <c:v>2.6255297192731065E-3</c:v>
                </c:pt>
                <c:pt idx="92">
                  <c:v>2.3923907943712644E-3</c:v>
                </c:pt>
                <c:pt idx="93">
                  <c:v>2.164987023797321E-3</c:v>
                </c:pt>
                <c:pt idx="94">
                  <c:v>1.9444489308239113E-3</c:v>
                </c:pt>
                <c:pt idx="95">
                  <c:v>1.7320073008757503E-3</c:v>
                </c:pt>
                <c:pt idx="96">
                  <c:v>1.5289600991308656E-3</c:v>
                </c:pt>
                <c:pt idx="97">
                  <c:v>1.3366224504803427E-3</c:v>
                </c:pt>
                <c:pt idx="98">
                  <c:v>1.156262120823717E-3</c:v>
                </c:pt>
                <c:pt idx="99">
                  <c:v>9.8902577643710269E-4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SimDataTRI!$T$6</c:f>
              <c:strCache>
                <c:ptCount val="1"/>
                <c:pt idx="0">
                  <c:v>Triangle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SimDataTRI!$T$13</c:f>
              <c:numCache>
                <c:formatCode>0.000</c:formatCode>
                <c:ptCount val="1"/>
                <c:pt idx="0">
                  <c:v>80.99827133966123</c:v>
                </c:pt>
              </c:numCache>
            </c:numRef>
          </c:xVal>
          <c:yVal>
            <c:numRef>
              <c:f>SimDataTRI!$U$13</c:f>
              <c:numCache>
                <c:formatCode>0.000</c:formatCode>
                <c:ptCount val="1"/>
                <c:pt idx="0">
                  <c:v>1.3436895416050556E-2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SimDataTRI!$T$6</c:f>
              <c:strCache>
                <c:ptCount val="1"/>
                <c:pt idx="0">
                  <c:v>Triangle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SimDataTRI!$T$14</c:f>
              <c:numCache>
                <c:formatCode>0.000</c:formatCode>
                <c:ptCount val="1"/>
                <c:pt idx="0">
                  <c:v>134.24804260010842</c:v>
                </c:pt>
              </c:numCache>
            </c:numRef>
          </c:xVal>
          <c:yVal>
            <c:numRef>
              <c:f>SimDataTRI!$U$14</c:f>
              <c:numCache>
                <c:formatCode>0.000</c:formatCode>
                <c:ptCount val="1"/>
                <c:pt idx="0">
                  <c:v>3.1579024166924277E-3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SimDataTRI!$T$6</c:f>
              <c:strCache>
                <c:ptCount val="1"/>
                <c:pt idx="0">
                  <c:v>Triangle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SimDataTRI!$T$12</c:f>
              <c:numCache>
                <c:formatCode>0.000</c:formatCode>
                <c:ptCount val="1"/>
                <c:pt idx="0">
                  <c:v>32.934101006562358</c:v>
                </c:pt>
              </c:numCache>
            </c:numRef>
          </c:xVal>
          <c:yVal>
            <c:numRef>
              <c:f>SimDataTRI!$U$12</c:f>
              <c:numCache>
                <c:formatCode>0.000</c:formatCode>
                <c:ptCount val="1"/>
                <c:pt idx="0">
                  <c:v>3.8018454875996914E-3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62064064"/>
        <c:axId val="-1162063520"/>
      </c:scatterChart>
      <c:valAx>
        <c:axId val="-1162064064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1162063520"/>
        <c:crosses val="autoZero"/>
        <c:crossBetween val="midCat"/>
      </c:valAx>
      <c:valAx>
        <c:axId val="-1162063520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-11620640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  <c:spPr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280988</xdr:colOff>
      <xdr:row>2</xdr:row>
      <xdr:rowOff>66675</xdr:rowOff>
    </xdr:from>
    <xdr:to>
      <xdr:col>14</xdr:col>
      <xdr:colOff>222250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</xdr:row>
      <xdr:rowOff>171450</xdr:rowOff>
    </xdr:from>
    <xdr:to>
      <xdr:col>18</xdr:col>
      <xdr:colOff>22225</xdr:colOff>
      <xdr:row>15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59844</xdr:colOff>
      <xdr:row>15</xdr:row>
      <xdr:rowOff>171449</xdr:rowOff>
    </xdr:from>
    <xdr:to>
      <xdr:col>13</xdr:col>
      <xdr:colOff>589523</xdr:colOff>
      <xdr:row>30</xdr:row>
      <xdr:rowOff>113197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0194" y="2905124"/>
          <a:ext cx="2472779" cy="2656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4761</xdr:rowOff>
    </xdr:from>
    <xdr:to>
      <xdr:col>16</xdr:col>
      <xdr:colOff>266700</xdr:colOff>
      <xdr:row>21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285750</xdr:colOff>
      <xdr:row>2</xdr:row>
      <xdr:rowOff>19050</xdr:rowOff>
    </xdr:from>
    <xdr:to>
      <xdr:col>24</xdr:col>
      <xdr:colOff>488950</xdr:colOff>
      <xdr:row>15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4" zoomScale="190" zoomScaleNormal="190" workbookViewId="0">
      <selection activeCell="A5" sqref="A5:B15"/>
    </sheetView>
  </sheetViews>
  <sheetFormatPr defaultRowHeight="14.25" x14ac:dyDescent="0.45"/>
  <sheetData>
    <row r="1" spans="1:16" x14ac:dyDescent="0.45">
      <c r="A1" t="s">
        <v>5</v>
      </c>
    </row>
    <row r="2" spans="1:16" x14ac:dyDescent="0.45">
      <c r="A2" s="3"/>
      <c r="D2" t="s">
        <v>1</v>
      </c>
      <c r="E2">
        <v>100</v>
      </c>
    </row>
    <row r="3" spans="1:16" x14ac:dyDescent="0.45">
      <c r="A3" t="str">
        <f>_xll.WBNAME()</f>
        <v>L 5 EMP 2015.xlsx</v>
      </c>
      <c r="D3" t="s">
        <v>56</v>
      </c>
      <c r="E3">
        <f>E2*(1+E6)</f>
        <v>26.845637583892611</v>
      </c>
      <c r="J3" s="8" t="s">
        <v>28</v>
      </c>
      <c r="K3" s="8"/>
    </row>
    <row r="4" spans="1:16" x14ac:dyDescent="0.45">
      <c r="D4" t="s">
        <v>15</v>
      </c>
      <c r="E4">
        <f>E2*(1+E15)</f>
        <v>201.34228187919464</v>
      </c>
      <c r="H4" t="s">
        <v>7</v>
      </c>
      <c r="J4" s="9" t="s">
        <v>4</v>
      </c>
      <c r="K4" s="9" t="str">
        <f>EMP!$E$5</f>
        <v>Res/Mean</v>
      </c>
    </row>
    <row r="5" spans="1:16" x14ac:dyDescent="0.45">
      <c r="B5" t="s">
        <v>0</v>
      </c>
      <c r="C5" t="s">
        <v>1</v>
      </c>
      <c r="D5" t="s">
        <v>2</v>
      </c>
      <c r="E5" t="s">
        <v>6</v>
      </c>
      <c r="F5" t="s">
        <v>3</v>
      </c>
      <c r="G5" t="s">
        <v>4</v>
      </c>
      <c r="H5" t="str">
        <f>G5</f>
        <v>F(x)</v>
      </c>
      <c r="I5" t="s">
        <v>8</v>
      </c>
      <c r="J5" s="10">
        <v>0</v>
      </c>
      <c r="K5" s="8">
        <f>1.0001*K6</f>
        <v>-0.73161677852348994</v>
      </c>
      <c r="L5" t="str">
        <f ca="1">_xll.VFORMULA(K5)</f>
        <v>=1.0001*K6</v>
      </c>
      <c r="O5" t="s">
        <v>55</v>
      </c>
    </row>
    <row r="6" spans="1:16" x14ac:dyDescent="0.45">
      <c r="A6">
        <v>1</v>
      </c>
      <c r="B6">
        <v>20</v>
      </c>
      <c r="C6">
        <f>AVERAGE(B6:B15)</f>
        <v>74.5</v>
      </c>
      <c r="D6">
        <f>B6-C6</f>
        <v>-54.5</v>
      </c>
      <c r="E6">
        <f>D6/C6</f>
        <v>-0.73154362416107388</v>
      </c>
      <c r="F6">
        <v>0.1</v>
      </c>
      <c r="G6" s="2">
        <v>0</v>
      </c>
      <c r="H6" s="2">
        <f>G6</f>
        <v>0</v>
      </c>
      <c r="I6">
        <f>E6</f>
        <v>-0.73154362416107388</v>
      </c>
      <c r="J6" s="10">
        <v>0.08</v>
      </c>
      <c r="K6" s="8">
        <f>SMALL(EMP!E$6:E$15,$A6)</f>
        <v>-0.73154362416107388</v>
      </c>
      <c r="L6" t="str">
        <f ca="1">_xll.VFORMULA(K6)</f>
        <v>=SMALL(EMP!E$6:E$15,$A6)</v>
      </c>
      <c r="O6" t="s">
        <v>47</v>
      </c>
    </row>
    <row r="7" spans="1:16" x14ac:dyDescent="0.45">
      <c r="A7">
        <v>2</v>
      </c>
      <c r="B7">
        <v>25</v>
      </c>
      <c r="C7">
        <f>C6</f>
        <v>74.5</v>
      </c>
      <c r="D7">
        <f t="shared" ref="D7:D15" si="0">B7-C7</f>
        <v>-49.5</v>
      </c>
      <c r="E7">
        <f t="shared" ref="E7:E15" si="1">D7/C7</f>
        <v>-0.66442953020134232</v>
      </c>
      <c r="F7">
        <v>0.1</v>
      </c>
      <c r="G7" s="2">
        <f t="shared" ref="G7:G15" si="2">G6+$G$18</f>
        <v>0.1111111111111111</v>
      </c>
      <c r="H7" s="2">
        <f t="shared" ref="H7:H15" si="3">G7</f>
        <v>0.1111111111111111</v>
      </c>
      <c r="I7">
        <f t="shared" ref="I7:I15" si="4">E7</f>
        <v>-0.66442953020134232</v>
      </c>
      <c r="J7" s="10">
        <v>0.15000000596046448</v>
      </c>
      <c r="K7" s="8">
        <f>SMALL(EMP!E$6:E$15,$A7)</f>
        <v>-0.66442953020134232</v>
      </c>
      <c r="L7" t="str">
        <f ca="1">_xll.VFORMULA(K7)</f>
        <v>=SMALL(EMP!E$6:E$15,$A7)</v>
      </c>
      <c r="O7" s="13" t="s">
        <v>48</v>
      </c>
      <c r="P7" s="13" t="str">
        <f>EMP!$B$5</f>
        <v>X</v>
      </c>
    </row>
    <row r="8" spans="1:16" x14ac:dyDescent="0.45">
      <c r="A8">
        <v>3</v>
      </c>
      <c r="B8">
        <v>30</v>
      </c>
      <c r="C8">
        <f t="shared" ref="C8:C15" si="5">C7</f>
        <v>74.5</v>
      </c>
      <c r="D8">
        <f t="shared" si="0"/>
        <v>-44.5</v>
      </c>
      <c r="E8">
        <f t="shared" si="1"/>
        <v>-0.59731543624161076</v>
      </c>
      <c r="F8">
        <v>0.1</v>
      </c>
      <c r="G8" s="2">
        <f t="shared" si="2"/>
        <v>0.22222222222222221</v>
      </c>
      <c r="H8" s="2">
        <f t="shared" si="3"/>
        <v>0.22222222222222221</v>
      </c>
      <c r="I8">
        <f t="shared" si="4"/>
        <v>-0.59731543624161076</v>
      </c>
      <c r="J8" s="10">
        <v>0.25</v>
      </c>
      <c r="K8" s="8">
        <f>SMALL(EMP!E$6:E$15,$A8)</f>
        <v>-0.59731543624161076</v>
      </c>
      <c r="L8" t="str">
        <f ca="1">_xll.VFORMULA(K8)</f>
        <v>=SMALL(EMP!E$6:E$15,$A8)</v>
      </c>
      <c r="O8">
        <v>1</v>
      </c>
      <c r="P8">
        <f>(EMP!B$6-P$18)</f>
        <v>-54.5</v>
      </c>
    </row>
    <row r="9" spans="1:16" x14ac:dyDescent="0.45">
      <c r="A9">
        <v>4</v>
      </c>
      <c r="B9">
        <v>50</v>
      </c>
      <c r="C9">
        <f t="shared" si="5"/>
        <v>74.5</v>
      </c>
      <c r="D9">
        <f t="shared" si="0"/>
        <v>-24.5</v>
      </c>
      <c r="E9">
        <f t="shared" si="1"/>
        <v>-0.32885906040268459</v>
      </c>
      <c r="F9">
        <v>0.1</v>
      </c>
      <c r="G9" s="2">
        <f t="shared" si="2"/>
        <v>0.33333333333333331</v>
      </c>
      <c r="H9" s="2">
        <f t="shared" si="3"/>
        <v>0.33333333333333331</v>
      </c>
      <c r="I9">
        <f t="shared" si="4"/>
        <v>-0.32885906040268459</v>
      </c>
      <c r="J9" s="10">
        <v>0.34999999403953552</v>
      </c>
      <c r="K9" s="8">
        <f>SMALL(EMP!E$6:E$15,$A9)</f>
        <v>-0.32885906040268459</v>
      </c>
      <c r="L9" t="str">
        <f ca="1">_xll.VFORMULA(K9)</f>
        <v>=SMALL(EMP!E$6:E$15,$A9)</v>
      </c>
      <c r="O9">
        <v>2</v>
      </c>
      <c r="P9">
        <f>(EMP!B$7-P$18)</f>
        <v>-49.5</v>
      </c>
    </row>
    <row r="10" spans="1:16" x14ac:dyDescent="0.45">
      <c r="A10">
        <v>5</v>
      </c>
      <c r="B10">
        <v>60</v>
      </c>
      <c r="C10">
        <f t="shared" si="5"/>
        <v>74.5</v>
      </c>
      <c r="D10">
        <f t="shared" si="0"/>
        <v>-14.5</v>
      </c>
      <c r="E10">
        <f t="shared" si="1"/>
        <v>-0.19463087248322147</v>
      </c>
      <c r="F10">
        <v>0.1</v>
      </c>
      <c r="G10" s="2">
        <f t="shared" si="2"/>
        <v>0.44444444444444442</v>
      </c>
      <c r="H10" s="2">
        <f t="shared" si="3"/>
        <v>0.44444444444444442</v>
      </c>
      <c r="I10">
        <f t="shared" si="4"/>
        <v>-0.19463087248322147</v>
      </c>
      <c r="J10" s="10">
        <v>0.44999998807907104</v>
      </c>
      <c r="K10" s="8">
        <f>SMALL(EMP!E$6:E$15,$A10)</f>
        <v>-0.19463087248322147</v>
      </c>
      <c r="L10" t="str">
        <f ca="1">_xll.VFORMULA(K10)</f>
        <v>=SMALL(EMP!E$6:E$15,$A10)</v>
      </c>
      <c r="O10">
        <v>3</v>
      </c>
      <c r="P10">
        <f>(EMP!B$8-P$18)</f>
        <v>-44.5</v>
      </c>
    </row>
    <row r="11" spans="1:16" x14ac:dyDescent="0.45">
      <c r="A11">
        <v>6</v>
      </c>
      <c r="B11">
        <v>80</v>
      </c>
      <c r="C11">
        <f t="shared" si="5"/>
        <v>74.5</v>
      </c>
      <c r="D11">
        <f t="shared" si="0"/>
        <v>5.5</v>
      </c>
      <c r="E11">
        <f t="shared" si="1"/>
        <v>7.3825503355704702E-2</v>
      </c>
      <c r="F11">
        <v>0.1</v>
      </c>
      <c r="G11" s="2">
        <f t="shared" si="2"/>
        <v>0.55555555555555558</v>
      </c>
      <c r="H11" s="2">
        <f t="shared" si="3"/>
        <v>0.55555555555555558</v>
      </c>
      <c r="I11">
        <f t="shared" si="4"/>
        <v>7.3825503355704702E-2</v>
      </c>
      <c r="J11" s="10">
        <v>0.55000001192092896</v>
      </c>
      <c r="K11" s="8">
        <f>SMALL(EMP!E$6:E$15,$A11)</f>
        <v>7.3825503355704702E-2</v>
      </c>
      <c r="L11" t="str">
        <f ca="1">_xll.VFORMULA(K11)</f>
        <v>=SMALL(EMP!E$6:E$15,$A11)</v>
      </c>
      <c r="O11">
        <v>4</v>
      </c>
      <c r="P11">
        <f>(EMP!B$9-P$18)</f>
        <v>-24.5</v>
      </c>
    </row>
    <row r="12" spans="1:16" x14ac:dyDescent="0.45">
      <c r="A12">
        <v>7</v>
      </c>
      <c r="B12">
        <v>90</v>
      </c>
      <c r="C12">
        <f t="shared" si="5"/>
        <v>74.5</v>
      </c>
      <c r="D12">
        <f t="shared" si="0"/>
        <v>15.5</v>
      </c>
      <c r="E12">
        <f t="shared" si="1"/>
        <v>0.20805369127516779</v>
      </c>
      <c r="F12">
        <v>0.1</v>
      </c>
      <c r="G12" s="2">
        <f t="shared" si="2"/>
        <v>0.66666666666666674</v>
      </c>
      <c r="H12" s="2">
        <f t="shared" si="3"/>
        <v>0.66666666666666674</v>
      </c>
      <c r="I12">
        <f t="shared" si="4"/>
        <v>0.20805369127516779</v>
      </c>
      <c r="J12" s="10">
        <v>0.65000003576278687</v>
      </c>
      <c r="K12" s="8">
        <f>SMALL(EMP!E$6:E$15,$A12)</f>
        <v>0.20805369127516779</v>
      </c>
      <c r="L12" t="str">
        <f ca="1">_xll.VFORMULA(K12)</f>
        <v>=SMALL(EMP!E$6:E$15,$A12)</v>
      </c>
      <c r="O12">
        <v>5</v>
      </c>
      <c r="P12">
        <f>(EMP!B$10-P$18)</f>
        <v>-14.5</v>
      </c>
    </row>
    <row r="13" spans="1:16" x14ac:dyDescent="0.45">
      <c r="A13">
        <v>8</v>
      </c>
      <c r="B13">
        <v>110</v>
      </c>
      <c r="C13">
        <f t="shared" si="5"/>
        <v>74.5</v>
      </c>
      <c r="D13">
        <f t="shared" si="0"/>
        <v>35.5</v>
      </c>
      <c r="E13">
        <f t="shared" si="1"/>
        <v>0.47651006711409394</v>
      </c>
      <c r="F13">
        <v>0.1</v>
      </c>
      <c r="G13" s="2">
        <f t="shared" si="2"/>
        <v>0.7777777777777779</v>
      </c>
      <c r="H13" s="2">
        <f t="shared" si="3"/>
        <v>0.7777777777777779</v>
      </c>
      <c r="I13">
        <f t="shared" si="4"/>
        <v>0.47651006711409394</v>
      </c>
      <c r="J13" s="10">
        <v>0.75000005960464478</v>
      </c>
      <c r="K13" s="8">
        <f>SMALL(EMP!E$6:E$15,$A13)</f>
        <v>0.47651006711409394</v>
      </c>
      <c r="L13" t="str">
        <f ca="1">_xll.VFORMULA(K13)</f>
        <v>=SMALL(EMP!E$6:E$15,$A13)</v>
      </c>
      <c r="O13">
        <v>6</v>
      </c>
      <c r="P13">
        <f>(EMP!B$11-P$18)</f>
        <v>5.5</v>
      </c>
    </row>
    <row r="14" spans="1:16" x14ac:dyDescent="0.45">
      <c r="A14">
        <v>9</v>
      </c>
      <c r="B14">
        <v>130</v>
      </c>
      <c r="C14">
        <f t="shared" si="5"/>
        <v>74.5</v>
      </c>
      <c r="D14">
        <f t="shared" si="0"/>
        <v>55.5</v>
      </c>
      <c r="E14">
        <f t="shared" si="1"/>
        <v>0.74496644295302017</v>
      </c>
      <c r="F14">
        <v>0.1</v>
      </c>
      <c r="G14" s="2">
        <f t="shared" si="2"/>
        <v>0.88888888888888906</v>
      </c>
      <c r="H14" s="2">
        <f t="shared" si="3"/>
        <v>0.88888888888888906</v>
      </c>
      <c r="I14">
        <f t="shared" si="4"/>
        <v>0.74496644295302017</v>
      </c>
      <c r="J14" s="10">
        <v>0.85000008344650269</v>
      </c>
      <c r="K14" s="8">
        <f>SMALL(EMP!E$6:E$15,$A14)</f>
        <v>0.74496644295302017</v>
      </c>
      <c r="L14" t="str">
        <f ca="1">_xll.VFORMULA(K14)</f>
        <v>=SMALL(EMP!E$6:E$15,$A14)</v>
      </c>
      <c r="O14">
        <v>7</v>
      </c>
      <c r="P14">
        <f>(EMP!B$12-P$18)</f>
        <v>15.5</v>
      </c>
    </row>
    <row r="15" spans="1:16" x14ac:dyDescent="0.45">
      <c r="A15">
        <v>10</v>
      </c>
      <c r="B15">
        <v>150</v>
      </c>
      <c r="C15">
        <f t="shared" si="5"/>
        <v>74.5</v>
      </c>
      <c r="D15">
        <f t="shared" si="0"/>
        <v>75.5</v>
      </c>
      <c r="E15">
        <f t="shared" si="1"/>
        <v>1.0134228187919463</v>
      </c>
      <c r="F15">
        <v>0.1</v>
      </c>
      <c r="G15" s="2">
        <f t="shared" si="2"/>
        <v>1.0000000000000002</v>
      </c>
      <c r="H15" s="2">
        <f t="shared" si="3"/>
        <v>1.0000000000000002</v>
      </c>
      <c r="I15">
        <f t="shared" si="4"/>
        <v>1.0134228187919463</v>
      </c>
      <c r="J15" s="10">
        <v>0.9500001072883606</v>
      </c>
      <c r="K15" s="8">
        <f>SMALL(EMP!E$6:E$15,$A15)</f>
        <v>1.0134228187919463</v>
      </c>
      <c r="L15" t="str">
        <f ca="1">_xll.VFORMULA(K15)</f>
        <v>=SMALL(EMP!E$6:E$15,$A15)</v>
      </c>
      <c r="O15">
        <v>8</v>
      </c>
      <c r="P15">
        <f>(EMP!B$13-P$18)</f>
        <v>35.5</v>
      </c>
    </row>
    <row r="16" spans="1:16" x14ac:dyDescent="0.45">
      <c r="J16" s="11">
        <v>1</v>
      </c>
      <c r="K16" s="9">
        <f>1.0001*K15</f>
        <v>1.0135241610738255</v>
      </c>
      <c r="L16" t="str">
        <f ca="1">_xll.VFORMULA(K16)</f>
        <v>=1.0001*K15</v>
      </c>
      <c r="O16">
        <v>9</v>
      </c>
      <c r="P16">
        <f>(EMP!B$14-P$18)</f>
        <v>55.5</v>
      </c>
    </row>
    <row r="17" spans="2:16" x14ac:dyDescent="0.45">
      <c r="J17" s="12"/>
      <c r="K17" s="8"/>
      <c r="O17" s="13">
        <v>10</v>
      </c>
      <c r="P17" s="13">
        <f>(EMP!B$15-P$18)</f>
        <v>75.5</v>
      </c>
    </row>
    <row r="18" spans="2:16" x14ac:dyDescent="0.45">
      <c r="G18">
        <f>1/9</f>
        <v>0.1111111111111111</v>
      </c>
      <c r="H18" t="s">
        <v>9</v>
      </c>
      <c r="I18">
        <f ca="1">_xll.EMP(I6:I15,H6:H15)</f>
        <v>-0.61742221909081374</v>
      </c>
      <c r="J18" s="8" t="s">
        <v>10</v>
      </c>
      <c r="K18" s="8">
        <f ca="1">_xll.EMP(K5:K16,J5:J16,D20)</f>
        <v>0.89279766266481708</v>
      </c>
      <c r="O18" t="s">
        <v>1</v>
      </c>
      <c r="P18">
        <f>AVERAGE(EMP!B$6:B$15)</f>
        <v>74.5</v>
      </c>
    </row>
    <row r="19" spans="2:16" x14ac:dyDescent="0.45">
      <c r="G19" t="str">
        <f ca="1">_xll.VFORMULA(G18)</f>
        <v>=1/9</v>
      </c>
      <c r="I19" t="str">
        <f ca="1">_xll.VFORMULA(I18)</f>
        <v>=EMP(I6:I15,H6:H15)</v>
      </c>
      <c r="K19" t="str">
        <f ca="1">_xll.VFORMULA(K18)</f>
        <v>=EMP(K5:K16,J5:J16,D20)</v>
      </c>
      <c r="O19" t="s">
        <v>49</v>
      </c>
      <c r="P19">
        <f>STDEVP(EMP!B$6:B$15)</f>
        <v>43.037774106010637</v>
      </c>
    </row>
    <row r="20" spans="2:16" x14ac:dyDescent="0.45">
      <c r="B20" t="s">
        <v>44</v>
      </c>
      <c r="D20">
        <f ca="1">_xll.UNIFORM()</f>
        <v>0.90506722591817379</v>
      </c>
      <c r="E20" t="str">
        <f ca="1">_xll.VFORMULA(D20)</f>
        <v>=UNIFORM()</v>
      </c>
      <c r="O20" t="s">
        <v>50</v>
      </c>
      <c r="P20">
        <f>100*P$19/P$18</f>
        <v>57.768824303369982</v>
      </c>
    </row>
    <row r="21" spans="2:16" x14ac:dyDescent="0.45">
      <c r="B21" t="s">
        <v>42</v>
      </c>
      <c r="D21">
        <f ca="1">_xll.EMP(E6:E15,G6:G15,D20)</f>
        <v>0.78405504248686242</v>
      </c>
      <c r="E21" t="str">
        <f ca="1">_xll.VFORMULA(D21)</f>
        <v>=EMP(E6:E15,G6:G15,D20)</v>
      </c>
      <c r="O21" t="s">
        <v>51</v>
      </c>
      <c r="P21">
        <f>CORREL(P$8:P$16,P$9:P$17)</f>
        <v>0.99251655065675803</v>
      </c>
    </row>
    <row r="22" spans="2:16" x14ac:dyDescent="0.45">
      <c r="B22" t="s">
        <v>43</v>
      </c>
      <c r="C22" t="s">
        <v>45</v>
      </c>
      <c r="D22">
        <f ca="1">C15*(1+D21)</f>
        <v>132.91210066527125</v>
      </c>
      <c r="E22" t="str">
        <f ca="1">_xll.VFORMULA(D22)</f>
        <v>=C15*(1+D21)</v>
      </c>
    </row>
    <row r="23" spans="2:16" x14ac:dyDescent="0.45">
      <c r="C23" t="s">
        <v>46</v>
      </c>
      <c r="D23">
        <f ca="1">C15*(1+K18)</f>
        <v>141.01342586852888</v>
      </c>
      <c r="O23" t="s">
        <v>52</v>
      </c>
    </row>
    <row r="24" spans="2:16" x14ac:dyDescent="0.45">
      <c r="O24" s="13" t="s">
        <v>48</v>
      </c>
      <c r="P24" s="13" t="str">
        <f>EMP!$B$5</f>
        <v>X</v>
      </c>
    </row>
    <row r="25" spans="2:16" x14ac:dyDescent="0.45">
      <c r="O25">
        <v>1</v>
      </c>
      <c r="P25">
        <f>EMP!P$8/P$18</f>
        <v>-0.73154362416107388</v>
      </c>
    </row>
    <row r="26" spans="2:16" x14ac:dyDescent="0.45">
      <c r="O26">
        <v>2</v>
      </c>
      <c r="P26">
        <f>EMP!P$9/P$18</f>
        <v>-0.66442953020134232</v>
      </c>
    </row>
    <row r="27" spans="2:16" x14ac:dyDescent="0.45">
      <c r="O27">
        <v>3</v>
      </c>
      <c r="P27">
        <f>EMP!P$10/P$18</f>
        <v>-0.59731543624161076</v>
      </c>
    </row>
    <row r="28" spans="2:16" x14ac:dyDescent="0.45">
      <c r="O28">
        <v>4</v>
      </c>
      <c r="P28">
        <f>EMP!P$11/P$18</f>
        <v>-0.32885906040268459</v>
      </c>
    </row>
    <row r="29" spans="2:16" x14ac:dyDescent="0.45">
      <c r="O29">
        <v>5</v>
      </c>
      <c r="P29">
        <f>EMP!P$12/P$18</f>
        <v>-0.19463087248322147</v>
      </c>
    </row>
    <row r="30" spans="2:16" x14ac:dyDescent="0.45">
      <c r="O30">
        <v>6</v>
      </c>
      <c r="P30">
        <f>EMP!P$13/P$18</f>
        <v>7.3825503355704702E-2</v>
      </c>
    </row>
    <row r="31" spans="2:16" x14ac:dyDescent="0.45">
      <c r="O31">
        <v>7</v>
      </c>
      <c r="P31">
        <f>EMP!P$14/P$18</f>
        <v>0.20805369127516779</v>
      </c>
    </row>
    <row r="32" spans="2:16" x14ac:dyDescent="0.45">
      <c r="O32">
        <v>8</v>
      </c>
      <c r="P32">
        <f>EMP!P$15/P$18</f>
        <v>0.47651006711409394</v>
      </c>
    </row>
    <row r="33" spans="15:16" x14ac:dyDescent="0.45">
      <c r="O33">
        <v>9</v>
      </c>
      <c r="P33">
        <f>EMP!P$16/P$18</f>
        <v>0.74496644295302017</v>
      </c>
    </row>
    <row r="34" spans="15:16" x14ac:dyDescent="0.45">
      <c r="O34" s="13">
        <v>10</v>
      </c>
      <c r="P34" s="13">
        <f>EMP!P$17/P$18</f>
        <v>1.0134228187919463</v>
      </c>
    </row>
    <row r="36" spans="15:16" x14ac:dyDescent="0.45">
      <c r="O36" t="s">
        <v>53</v>
      </c>
    </row>
    <row r="37" spans="15:16" x14ac:dyDescent="0.45">
      <c r="P37" t="str">
        <f>EMP!$B$5</f>
        <v>X</v>
      </c>
    </row>
    <row r="38" spans="15:16" x14ac:dyDescent="0.45">
      <c r="O38" t="str">
        <f>EMP!$B$5</f>
        <v>X</v>
      </c>
      <c r="P38">
        <f>CORREL(P$25:P$34,P$25:P$34)</f>
        <v>1</v>
      </c>
    </row>
    <row r="40" spans="15:16" x14ac:dyDescent="0.45">
      <c r="O40" t="s">
        <v>54</v>
      </c>
    </row>
    <row r="41" spans="15:16" x14ac:dyDescent="0.45">
      <c r="O41" s="13" t="s">
        <v>4</v>
      </c>
      <c r="P41" s="13" t="str">
        <f>EMP!$B$5</f>
        <v>X</v>
      </c>
    </row>
    <row r="42" spans="15:16" x14ac:dyDescent="0.45">
      <c r="O42">
        <v>0</v>
      </c>
      <c r="P42">
        <f>IF(P$43&lt;0,P$43* 1.0001,P$43*0.9999)</f>
        <v>-0.73161677852348994</v>
      </c>
    </row>
    <row r="43" spans="15:16" x14ac:dyDescent="0.45">
      <c r="O43">
        <v>5.000000074505806E-2</v>
      </c>
      <c r="P43">
        <f>IF(P$18&gt;0,(SMALL(EMP!B$6:B$15,$O$8)-P$18)/P$18,(LARGE(EMP!B$6:B$15,$O$8)-P$18)/P$18)</f>
        <v>-0.73154362416107388</v>
      </c>
    </row>
    <row r="44" spans="15:16" x14ac:dyDescent="0.45">
      <c r="O44">
        <v>0.15000000596046448</v>
      </c>
      <c r="P44">
        <f>IF(P$18&gt;0,(SMALL(EMP!B$6:B$15,$O$9)-P$18)/P$18,(LARGE(EMP!B$6:B$15,$O$9)-P$18)/P$18)</f>
        <v>-0.66442953020134232</v>
      </c>
    </row>
    <row r="45" spans="15:16" x14ac:dyDescent="0.45">
      <c r="O45">
        <v>0.25</v>
      </c>
      <c r="P45">
        <f>IF(P$18&gt;0,(SMALL(EMP!B$6:B$15,$O$10)-P$18)/P$18,(LARGE(EMP!B$6:B$15,$O$10)-P$18)/P$18)</f>
        <v>-0.59731543624161076</v>
      </c>
    </row>
    <row r="46" spans="15:16" x14ac:dyDescent="0.45">
      <c r="O46">
        <v>0.34999999403953552</v>
      </c>
      <c r="P46">
        <f>IF(P$18&gt;0,(SMALL(EMP!B$6:B$15,$O$11)-P$18)/P$18,(LARGE(EMP!B$6:B$15,$O$11)-P$18)/P$18)</f>
        <v>-0.32885906040268459</v>
      </c>
    </row>
    <row r="47" spans="15:16" x14ac:dyDescent="0.45">
      <c r="O47">
        <v>0.44999998807907104</v>
      </c>
      <c r="P47">
        <f>IF(P$18&gt;0,(SMALL(EMP!B$6:B$15,$O$12)-P$18)/P$18,(LARGE(EMP!B$6:B$15,$O$12)-P$18)/P$18)</f>
        <v>-0.19463087248322147</v>
      </c>
    </row>
    <row r="48" spans="15:16" x14ac:dyDescent="0.45">
      <c r="O48">
        <v>0.55000001192092896</v>
      </c>
      <c r="P48">
        <f>IF(P$18&gt;0,(SMALL(EMP!B$6:B$15,$O$13)-P$18)/P$18,(LARGE(EMP!B$6:B$15,$O$13)-P$18)/P$18)</f>
        <v>7.3825503355704702E-2</v>
      </c>
    </row>
    <row r="49" spans="15:16" x14ac:dyDescent="0.45">
      <c r="O49">
        <v>0.65000003576278687</v>
      </c>
      <c r="P49">
        <f>IF(P$18&gt;0,(SMALL(EMP!B$6:B$15,$O$14)-P$18)/P$18,(LARGE(EMP!B$6:B$15,$O$14)-P$18)/P$18)</f>
        <v>0.20805369127516779</v>
      </c>
    </row>
    <row r="50" spans="15:16" x14ac:dyDescent="0.45">
      <c r="O50">
        <v>0.75000005960464478</v>
      </c>
      <c r="P50">
        <f>IF(P$18&gt;0,(SMALL(EMP!B$6:B$15,$O$15)-P$18)/P$18,(LARGE(EMP!B$6:B$15,$O$15)-P$18)/P$18)</f>
        <v>0.47651006711409394</v>
      </c>
    </row>
    <row r="51" spans="15:16" x14ac:dyDescent="0.45">
      <c r="O51">
        <v>0.85000008344650269</v>
      </c>
      <c r="P51">
        <f>IF(P$18&gt;0,(SMALL(EMP!B$6:B$15,$O$16)-P$18)/P$18,(LARGE(EMP!B$6:B$15,$O$16)-P$18)/P$18)</f>
        <v>0.74496644295302017</v>
      </c>
    </row>
    <row r="52" spans="15:16" x14ac:dyDescent="0.45">
      <c r="O52">
        <v>0.9500001072883606</v>
      </c>
      <c r="P52">
        <f>IF(P$18&gt;0,(SMALL(EMP!B$6:B$15,$O$17)-P$18)/P$18,(LARGE(EMP!B$6:B$15,$O$17)-P$18)/P$18)</f>
        <v>1.0134228187919463</v>
      </c>
    </row>
    <row r="53" spans="15:16" x14ac:dyDescent="0.45">
      <c r="O53" s="13">
        <v>1</v>
      </c>
      <c r="P53" s="13">
        <f>IF(P$52&lt;0,P$52* 0.9999,P$52*1.0001)</f>
        <v>1.0135241610738255</v>
      </c>
    </row>
  </sheetData>
  <printOptions headings="1" gridLines="1"/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9"/>
  <sheetViews>
    <sheetView workbookViewId="0">
      <selection activeCell="C5" sqref="C5"/>
    </sheetView>
  </sheetViews>
  <sheetFormatPr defaultRowHeight="14.25" x14ac:dyDescent="0.45"/>
  <sheetData>
    <row r="1" spans="1:6" x14ac:dyDescent="0.45">
      <c r="A1" t="s">
        <v>70</v>
      </c>
    </row>
    <row r="2" spans="1:6" x14ac:dyDescent="0.45">
      <c r="A2" t="s">
        <v>11</v>
      </c>
      <c r="B2" t="str">
        <f ca="1">ADDRESS(ROW(KDE!$B$28),COLUMN(KDE!$B$28),4,,_xll.WSNAME(KDE!$B$28))</f>
        <v>KDE!B28</v>
      </c>
    </row>
    <row r="3" spans="1:6" x14ac:dyDescent="0.45">
      <c r="A3" t="s">
        <v>1</v>
      </c>
      <c r="B3">
        <f>AVERAGE(B9:B508)</f>
        <v>80.851896886319309</v>
      </c>
    </row>
    <row r="4" spans="1:6" x14ac:dyDescent="0.45">
      <c r="A4" t="s">
        <v>12</v>
      </c>
      <c r="B4">
        <f>STDEV(B9:B508)</f>
        <v>50.842906778653067</v>
      </c>
    </row>
    <row r="5" spans="1:6" x14ac:dyDescent="0.45">
      <c r="A5" t="s">
        <v>13</v>
      </c>
      <c r="B5">
        <f>100*B4/B3</f>
        <v>62.883999926606585</v>
      </c>
    </row>
    <row r="6" spans="1:6" x14ac:dyDescent="0.45">
      <c r="A6" t="s">
        <v>14</v>
      </c>
      <c r="B6">
        <f>MIN(B9:B508)</f>
        <v>20.008389951005551</v>
      </c>
    </row>
    <row r="7" spans="1:6" x14ac:dyDescent="0.45">
      <c r="A7" t="s">
        <v>15</v>
      </c>
      <c r="B7">
        <f>MAX(B9:B508)</f>
        <v>169.95564952794572</v>
      </c>
      <c r="D7" t="s">
        <v>71</v>
      </c>
    </row>
    <row r="8" spans="1:6" x14ac:dyDescent="0.45">
      <c r="A8" t="s">
        <v>16</v>
      </c>
      <c r="B8" t="str">
        <f>KDE!$A$28</f>
        <v>X Stoch</v>
      </c>
      <c r="E8" t="str">
        <f>SimDataKDE!$B$8</f>
        <v>X Stoch</v>
      </c>
    </row>
    <row r="9" spans="1:6" x14ac:dyDescent="0.45">
      <c r="A9">
        <v>1</v>
      </c>
      <c r="B9">
        <v>20.339268074801819</v>
      </c>
      <c r="D9" t="s">
        <v>32</v>
      </c>
      <c r="E9">
        <f>MIN(SimDataKDE!$B$9:$B$508)</f>
        <v>20.008389951005551</v>
      </c>
    </row>
    <row r="10" spans="1:6" x14ac:dyDescent="0.45">
      <c r="A10">
        <v>2</v>
      </c>
      <c r="B10">
        <v>23.538355795784469</v>
      </c>
      <c r="D10" t="s">
        <v>33</v>
      </c>
      <c r="E10">
        <f>MAX(SimDataKDE!$B$9:$B$508)</f>
        <v>169.95564952794572</v>
      </c>
    </row>
    <row r="11" spans="1:6" ht="14.65" thickBot="1" x14ac:dyDescent="0.5">
      <c r="A11">
        <v>3</v>
      </c>
      <c r="B11">
        <v>53.114656901324601</v>
      </c>
      <c r="D11" t="s">
        <v>34</v>
      </c>
      <c r="E11">
        <f>_xll.BANDWIDTH(SimDataKDE!$B$9:$B$508)</f>
        <v>15.550424047029745</v>
      </c>
    </row>
    <row r="12" spans="1:6" ht="15" thickTop="1" thickBot="1" x14ac:dyDescent="0.5">
      <c r="A12">
        <v>4</v>
      </c>
      <c r="B12">
        <v>47.148612885436322</v>
      </c>
      <c r="D12" t="s">
        <v>35</v>
      </c>
      <c r="E12" s="4" t="s">
        <v>40</v>
      </c>
    </row>
    <row r="13" spans="1:6" ht="14.65" thickTop="1" x14ac:dyDescent="0.45">
      <c r="A13">
        <v>5</v>
      </c>
      <c r="B13">
        <v>65.952596542971008</v>
      </c>
      <c r="D13" t="s">
        <v>36</v>
      </c>
      <c r="E13" s="5">
        <f>MIN(0.95, 1 - 1 / (COUNT(SimDataKDE!$B$9:$B$508) - 1))</f>
        <v>0.95</v>
      </c>
    </row>
    <row r="14" spans="1:6" x14ac:dyDescent="0.45">
      <c r="A14">
        <v>6</v>
      </c>
      <c r="B14">
        <v>21.105052364093826</v>
      </c>
      <c r="D14" t="s">
        <v>37</v>
      </c>
      <c r="E14" s="6">
        <f>_xll.QUANTILE(SimDataKDE!$B$9:$B$508,(1-$E$13)/2)</f>
        <v>20.339268074801819</v>
      </c>
      <c r="F14" s="1">
        <f>_xll.PDENSITY($E$14,SimDataKDE!$B$9:$B$508,$E$11,$E$12,1)</f>
        <v>0.11374242912217163</v>
      </c>
    </row>
    <row r="15" spans="1:6" x14ac:dyDescent="0.45">
      <c r="A15">
        <v>7</v>
      </c>
      <c r="B15">
        <v>90.368714192908556</v>
      </c>
      <c r="D15" t="s">
        <v>38</v>
      </c>
      <c r="E15" s="6">
        <f>AVERAGE(SimDataKDE!$B$9:$B$508)</f>
        <v>80.851896886319309</v>
      </c>
      <c r="F15" s="1">
        <f>_xll.PDENSITY($E$15,SimDataKDE!$B$9:$B$508,$E$11,$E$12,1)</f>
        <v>0.56134520203749594</v>
      </c>
    </row>
    <row r="16" spans="1:6" x14ac:dyDescent="0.45">
      <c r="A16">
        <v>8</v>
      </c>
      <c r="B16">
        <v>163.47667053554554</v>
      </c>
      <c r="D16" t="s">
        <v>39</v>
      </c>
      <c r="E16" s="1">
        <f>_xll.QUANTILE(SimDataKDE!$B$9:$B$508,1-(1-$E$13)/2)</f>
        <v>169.38564056239687</v>
      </c>
      <c r="F16" s="1">
        <f>_xll.PDENSITY($E$16,SimDataKDE!$B$9:$B$508,$E$11,$E$12,1)</f>
        <v>0.94250756029483174</v>
      </c>
    </row>
    <row r="17" spans="1:6" x14ac:dyDescent="0.45">
      <c r="A17">
        <v>9</v>
      </c>
      <c r="B17">
        <v>80.472232705734157</v>
      </c>
      <c r="D17">
        <v>1</v>
      </c>
      <c r="E17" s="1">
        <f>$E$9</f>
        <v>20.008389951005551</v>
      </c>
      <c r="F17" s="1">
        <f>_xll.PDENSITY($E$17,SimDataKDE!$B$9:$B$508,$E$11,$E$12,1)</f>
        <v>0.11124942384049871</v>
      </c>
    </row>
    <row r="18" spans="1:6" x14ac:dyDescent="0.45">
      <c r="A18">
        <v>10</v>
      </c>
      <c r="B18">
        <v>133.33039534189837</v>
      </c>
      <c r="D18">
        <v>2</v>
      </c>
      <c r="E18" s="6">
        <f>1/99*($E$10-$E$9)+E17</f>
        <v>21.523008734611007</v>
      </c>
      <c r="F18" s="1">
        <f>_xll.PDENSITY($E$18,SimDataKDE!$B$9:$B$508,$E$11,$E$12,1)</f>
        <v>0.12286617150339142</v>
      </c>
    </row>
    <row r="19" spans="1:6" x14ac:dyDescent="0.45">
      <c r="A19">
        <v>11</v>
      </c>
      <c r="B19">
        <v>61.201373209109825</v>
      </c>
      <c r="D19">
        <v>3</v>
      </c>
      <c r="E19" s="6">
        <f>1/99*($E$10-$E$9)+E18</f>
        <v>23.037627518216464</v>
      </c>
      <c r="F19" s="1">
        <f>_xll.PDENSITY($E$19,SimDataKDE!$B$9:$B$508,$E$11,$E$12,1)</f>
        <v>0.13497488537443367</v>
      </c>
    </row>
    <row r="20" spans="1:6" x14ac:dyDescent="0.45">
      <c r="A20">
        <v>12</v>
      </c>
      <c r="B20">
        <v>130.29152781465169</v>
      </c>
      <c r="D20">
        <v>4</v>
      </c>
      <c r="E20" s="6">
        <f>1/99*($E$10-$E$9)+E19</f>
        <v>24.552246301821921</v>
      </c>
      <c r="F20" s="1">
        <f>_xll.PDENSITY($E$20,SimDataKDE!$B$9:$B$508,$E$11,$E$12,1)</f>
        <v>0.14751760100045577</v>
      </c>
    </row>
    <row r="21" spans="1:6" x14ac:dyDescent="0.45">
      <c r="A21">
        <v>13</v>
      </c>
      <c r="B21">
        <v>145.46081376961243</v>
      </c>
      <c r="D21">
        <v>5</v>
      </c>
      <c r="E21" s="6">
        <f>1/99*($E$10-$E$9)+E20</f>
        <v>26.066865085427377</v>
      </c>
      <c r="F21" s="1">
        <f>_xll.PDENSITY($E$21,SimDataKDE!$B$9:$B$508,$E$11,$E$12,1)</f>
        <v>0.16043204502669031</v>
      </c>
    </row>
    <row r="22" spans="1:6" x14ac:dyDescent="0.45">
      <c r="A22">
        <v>14</v>
      </c>
      <c r="B22">
        <v>50.033941051854406</v>
      </c>
      <c r="D22">
        <v>6</v>
      </c>
      <c r="E22" s="6">
        <f>1/99*($E$10-$E$9)+E21</f>
        <v>27.581483869032834</v>
      </c>
      <c r="F22" s="1">
        <f>_xll.PDENSITY($E$22,SimDataKDE!$B$9:$B$508,$E$11,$E$12,1)</f>
        <v>0.17365316785006643</v>
      </c>
    </row>
    <row r="23" spans="1:6" x14ac:dyDescent="0.45">
      <c r="A23">
        <v>15</v>
      </c>
      <c r="B23">
        <v>101.05689530834537</v>
      </c>
      <c r="D23">
        <v>7</v>
      </c>
      <c r="E23" s="6">
        <f>1/99*($E$10-$E$9)+E22</f>
        <v>29.09610265263829</v>
      </c>
      <c r="F23" s="1">
        <f>_xll.PDENSITY($E$23,SimDataKDE!$B$9:$B$508,$E$11,$E$12,1)</f>
        <v>0.18711472514090549</v>
      </c>
    </row>
    <row r="24" spans="1:6" x14ac:dyDescent="0.45">
      <c r="A24">
        <v>16</v>
      </c>
      <c r="B24">
        <v>43.970405901953235</v>
      </c>
      <c r="D24">
        <v>8</v>
      </c>
      <c r="E24" s="6">
        <f>1/99*($E$10-$E$9)+E23</f>
        <v>30.610721436243747</v>
      </c>
      <c r="F24" s="1">
        <f>_xll.PDENSITY($E$24,SimDataKDE!$B$9:$B$508,$E$11,$E$12,1)</f>
        <v>0.20075082443530048</v>
      </c>
    </row>
    <row r="25" spans="1:6" x14ac:dyDescent="0.45">
      <c r="A25">
        <v>17</v>
      </c>
      <c r="B25">
        <v>78.749066345070773</v>
      </c>
      <c r="D25">
        <v>9</v>
      </c>
      <c r="E25" s="6">
        <f>1/99*($E$10-$E$9)+E24</f>
        <v>32.125340219849207</v>
      </c>
      <c r="F25" s="1">
        <f>_xll.PDENSITY($E$25,SimDataKDE!$B$9:$B$508,$E$11,$E$12,1)</f>
        <v>0.21449737486010889</v>
      </c>
    </row>
    <row r="26" spans="1:6" x14ac:dyDescent="0.45">
      <c r="A26">
        <v>18</v>
      </c>
      <c r="B26">
        <v>128.60266903824004</v>
      </c>
      <c r="D26">
        <v>10</v>
      </c>
      <c r="E26" s="6">
        <f>1/99*($E$10-$E$9)+E25</f>
        <v>33.639959003454663</v>
      </c>
      <c r="F26" s="1">
        <f>_xll.PDENSITY($E$26,SimDataKDE!$B$9:$B$508,$E$11,$E$12,1)</f>
        <v>0.22829338789221446</v>
      </c>
    </row>
    <row r="27" spans="1:6" x14ac:dyDescent="0.45">
      <c r="A27">
        <v>19</v>
      </c>
      <c r="B27">
        <v>45.701861082757127</v>
      </c>
      <c r="D27">
        <v>11</v>
      </c>
      <c r="E27" s="6">
        <f>1/99*($E$10-$E$9)+E26</f>
        <v>35.15457778706012</v>
      </c>
      <c r="F27" s="1">
        <f>_xll.PDENSITY($E$27,SimDataKDE!$B$9:$B$508,$E$11,$E$12,1)</f>
        <v>0.24208208454083721</v>
      </c>
    </row>
    <row r="28" spans="1:6" x14ac:dyDescent="0.45">
      <c r="A28">
        <v>20</v>
      </c>
      <c r="B28">
        <v>91.968228145659182</v>
      </c>
      <c r="D28">
        <v>12</v>
      </c>
      <c r="E28" s="6">
        <f>1/99*($E$10-$E$9)+E27</f>
        <v>36.669196570665576</v>
      </c>
      <c r="F28" s="1">
        <f>_xll.PDENSITY($E$28,SimDataKDE!$B$9:$B$508,$E$11,$E$12,1)</f>
        <v>0.25581177935745608</v>
      </c>
    </row>
    <row r="29" spans="1:6" x14ac:dyDescent="0.45">
      <c r="A29">
        <v>21</v>
      </c>
      <c r="B29">
        <v>64.308823541473004</v>
      </c>
      <c r="D29">
        <v>13</v>
      </c>
      <c r="E29" s="6">
        <f>1/99*($E$10-$E$9)+E28</f>
        <v>38.183815354271033</v>
      </c>
      <c r="F29" s="1">
        <f>_xll.PDENSITY($E$29,SimDataKDE!$B$9:$B$508,$E$11,$E$12,1)</f>
        <v>0.269436521569905</v>
      </c>
    </row>
    <row r="30" spans="1:6" x14ac:dyDescent="0.45">
      <c r="A30">
        <v>22</v>
      </c>
      <c r="B30">
        <v>71.902973242617719</v>
      </c>
      <c r="D30">
        <v>14</v>
      </c>
      <c r="E30" s="6">
        <f>1/99*($E$10-$E$9)+E29</f>
        <v>39.69843413787649</v>
      </c>
      <c r="F30" s="1">
        <f>_xll.PDENSITY($E$30,SimDataKDE!$B$9:$B$508,$E$11,$E$12,1)</f>
        <v>0.28291649182041378</v>
      </c>
    </row>
    <row r="31" spans="1:6" x14ac:dyDescent="0.45">
      <c r="A31">
        <v>23</v>
      </c>
      <c r="B31">
        <v>157.36186786947439</v>
      </c>
      <c r="D31">
        <v>15</v>
      </c>
      <c r="E31" s="6">
        <f>1/99*($E$10-$E$9)+E30</f>
        <v>41.213052921481946</v>
      </c>
      <c r="F31" s="1">
        <f>_xll.PDENSITY($E$31,SimDataKDE!$B$9:$B$508,$E$11,$E$12,1)</f>
        <v>0.29621815814691654</v>
      </c>
    </row>
    <row r="32" spans="1:6" x14ac:dyDescent="0.45">
      <c r="A32">
        <v>24</v>
      </c>
      <c r="B32">
        <v>20.211617214291177</v>
      </c>
      <c r="D32">
        <v>16</v>
      </c>
      <c r="E32" s="6">
        <f>1/99*($E$10-$E$9)+E31</f>
        <v>42.727671705087403</v>
      </c>
      <c r="F32" s="1">
        <f>_xll.PDENSITY($E$32,SimDataKDE!$B$9:$B$508,$E$11,$E$12,1)</f>
        <v>0.30931421407745224</v>
      </c>
    </row>
    <row r="33" spans="1:6" x14ac:dyDescent="0.45">
      <c r="A33">
        <v>25</v>
      </c>
      <c r="B33">
        <v>21.138298131227792</v>
      </c>
      <c r="D33">
        <v>17</v>
      </c>
      <c r="E33" s="6">
        <f>1/99*($E$10-$E$9)+E32</f>
        <v>44.242290488692859</v>
      </c>
      <c r="F33" s="1">
        <f>_xll.PDENSITY($E$33,SimDataKDE!$B$9:$B$508,$E$11,$E$12,1)</f>
        <v>0.32218332242866232</v>
      </c>
    </row>
    <row r="34" spans="1:6" x14ac:dyDescent="0.45">
      <c r="A34">
        <v>26</v>
      </c>
      <c r="B34">
        <v>151.19962763467768</v>
      </c>
      <c r="D34">
        <v>18</v>
      </c>
      <c r="E34" s="6">
        <f>1/99*($E$10-$E$9)+E33</f>
        <v>45.756909272298316</v>
      </c>
      <c r="F34" s="1">
        <f>_xll.PDENSITY($E$34,SimDataKDE!$B$9:$B$508,$E$11,$E$12,1)</f>
        <v>0.3348096989255811</v>
      </c>
    </row>
    <row r="35" spans="1:6" x14ac:dyDescent="0.45">
      <c r="A35">
        <v>27</v>
      </c>
      <c r="B35">
        <v>97.0709752236246</v>
      </c>
      <c r="D35">
        <v>19</v>
      </c>
      <c r="E35" s="6">
        <f>1/99*($E$10-$E$9)+E34</f>
        <v>47.271528055903772</v>
      </c>
      <c r="F35" s="1">
        <f>_xll.PDENSITY($E$35,SimDataKDE!$B$9:$B$508,$E$11,$E$12,1)</f>
        <v>0.3471825753383504</v>
      </c>
    </row>
    <row r="36" spans="1:6" x14ac:dyDescent="0.45">
      <c r="A36">
        <v>28</v>
      </c>
      <c r="B36">
        <v>22.442344135471863</v>
      </c>
      <c r="D36">
        <v>20</v>
      </c>
      <c r="E36" s="6">
        <f>1/99*($E$10-$E$9)+E35</f>
        <v>48.786146839509229</v>
      </c>
      <c r="F36" s="1">
        <f>_xll.PDENSITY($E$36,SimDataKDE!$B$9:$B$508,$E$11,$E$12,1)</f>
        <v>0.35929557536824724</v>
      </c>
    </row>
    <row r="37" spans="1:6" x14ac:dyDescent="0.45">
      <c r="A37">
        <v>29</v>
      </c>
      <c r="B37">
        <v>21.094178637332327</v>
      </c>
      <c r="D37">
        <v>21</v>
      </c>
      <c r="E37" s="6">
        <f>1/99*($E$10-$E$9)+E36</f>
        <v>50.300765623114685</v>
      </c>
      <c r="F37" s="1">
        <f>_xll.PDENSITY($E$37,SimDataKDE!$B$9:$B$508,$E$11,$E$12,1)</f>
        <v>0.37114604532598633</v>
      </c>
    </row>
    <row r="38" spans="1:6" x14ac:dyDescent="0.45">
      <c r="A38">
        <v>30</v>
      </c>
      <c r="B38">
        <v>71.357584451262156</v>
      </c>
      <c r="D38">
        <v>22</v>
      </c>
      <c r="E38" s="6">
        <f>1/99*($E$10-$E$9)+E37</f>
        <v>51.815384406720142</v>
      </c>
      <c r="F38" s="1">
        <f>_xll.PDENSITY($E$38,SimDataKDE!$B$9:$B$508,$E$11,$E$12,1)</f>
        <v>0.38273437218026357</v>
      </c>
    </row>
    <row r="39" spans="1:6" x14ac:dyDescent="0.45">
      <c r="A39">
        <v>31</v>
      </c>
      <c r="B39">
        <v>58.000285697723413</v>
      </c>
      <c r="D39">
        <v>23</v>
      </c>
      <c r="E39" s="6">
        <f>1/99*($E$10-$E$9)+E38</f>
        <v>53.330003190325598</v>
      </c>
      <c r="F39" s="1">
        <f>_xll.PDENSITY($E$39,SimDataKDE!$B$9:$B$508,$E$11,$E$12,1)</f>
        <v>0.39406331800786376</v>
      </c>
    </row>
    <row r="40" spans="1:6" x14ac:dyDescent="0.45">
      <c r="A40">
        <v>32</v>
      </c>
      <c r="B40">
        <v>26.254089984226479</v>
      </c>
      <c r="D40">
        <v>24</v>
      </c>
      <c r="E40" s="6">
        <f>1/99*($E$10-$E$9)+E39</f>
        <v>54.844621973931055</v>
      </c>
      <c r="F40" s="1">
        <f>_xll.PDENSITY($E$40,SimDataKDE!$B$9:$B$508,$E$11,$E$12,1)</f>
        <v>0.40513739810753779</v>
      </c>
    </row>
    <row r="41" spans="1:6" x14ac:dyDescent="0.45">
      <c r="A41">
        <v>33</v>
      </c>
      <c r="B41">
        <v>164.52582174074948</v>
      </c>
      <c r="D41">
        <v>25</v>
      </c>
      <c r="E41" s="6">
        <f>1/99*($E$10-$E$9)+E40</f>
        <v>56.359240757536512</v>
      </c>
      <c r="F41" s="1">
        <f>_xll.PDENSITY($E$41,SimDataKDE!$B$9:$B$508,$E$11,$E$12,1)</f>
        <v>0.41596232029103841</v>
      </c>
    </row>
    <row r="42" spans="1:6" x14ac:dyDescent="0.45">
      <c r="A42">
        <v>34</v>
      </c>
      <c r="B42">
        <v>20.680289852125693</v>
      </c>
      <c r="D42">
        <v>26</v>
      </c>
      <c r="E42" s="6">
        <f>1/99*($E$10-$E$9)+E41</f>
        <v>57.873859541141968</v>
      </c>
      <c r="F42" s="1">
        <f>_xll.PDENSITY($E$42,SimDataKDE!$B$9:$B$508,$E$11,$E$12,1)</f>
        <v>0.42654450159837842</v>
      </c>
    </row>
    <row r="43" spans="1:6" x14ac:dyDescent="0.45">
      <c r="A43">
        <v>35</v>
      </c>
      <c r="B43">
        <v>66.560057363530063</v>
      </c>
      <c r="D43">
        <v>27</v>
      </c>
      <c r="E43" s="6">
        <f>1/99*($E$10-$E$9)+E42</f>
        <v>59.388478324747425</v>
      </c>
      <c r="F43" s="1">
        <f>_xll.PDENSITY($E$43,SimDataKDE!$B$9:$B$508,$E$11,$E$12,1)</f>
        <v>0.43689066547648625</v>
      </c>
    </row>
    <row r="44" spans="1:6" x14ac:dyDescent="0.45">
      <c r="A44">
        <v>36</v>
      </c>
      <c r="B44">
        <v>47.378078597903965</v>
      </c>
      <c r="D44">
        <v>28</v>
      </c>
      <c r="E44" s="6">
        <f>1/99*($E$10-$E$9)+E43</f>
        <v>60.903097108352881</v>
      </c>
      <c r="F44" s="1">
        <f>_xll.PDENSITY($E$44,SimDataKDE!$B$9:$B$508,$E$11,$E$12,1)</f>
        <v>0.44700752839835994</v>
      </c>
    </row>
    <row r="45" spans="1:6" x14ac:dyDescent="0.45">
      <c r="A45">
        <v>37</v>
      </c>
      <c r="B45">
        <v>35.334134531596519</v>
      </c>
      <c r="D45">
        <v>29</v>
      </c>
      <c r="E45" s="6">
        <f>1/99*($E$10-$E$9)+E44</f>
        <v>62.417715891958338</v>
      </c>
      <c r="F45" s="1">
        <f>_xll.PDENSITY($E$45,SimDataKDE!$B$9:$B$508,$E$11,$E$12,1)</f>
        <v>0.45690156884164224</v>
      </c>
    </row>
    <row r="46" spans="1:6" x14ac:dyDescent="0.45">
      <c r="A46">
        <v>38</v>
      </c>
      <c r="B46">
        <v>54.415463036745436</v>
      </c>
      <c r="D46">
        <v>30</v>
      </c>
      <c r="E46" s="6">
        <f>1/99*($E$10-$E$9)+E45</f>
        <v>63.932334675563794</v>
      </c>
      <c r="F46" s="1">
        <f>_xll.PDENSITY($E$46,SimDataKDE!$B$9:$B$508,$E$11,$E$12,1)</f>
        <v>0.46657887591216057</v>
      </c>
    </row>
    <row r="47" spans="1:6" x14ac:dyDescent="0.45">
      <c r="A47">
        <v>39</v>
      </c>
      <c r="B47">
        <v>112.69054943372433</v>
      </c>
      <c r="D47">
        <v>31</v>
      </c>
      <c r="E47" s="6">
        <f>1/99*($E$10-$E$9)+E46</f>
        <v>65.446953459169251</v>
      </c>
      <c r="F47" s="1">
        <f>_xll.PDENSITY($E$47,SimDataKDE!$B$9:$B$508,$E$11,$E$12,1)</f>
        <v>0.47604506925814</v>
      </c>
    </row>
    <row r="48" spans="1:6" x14ac:dyDescent="0.45">
      <c r="A48">
        <v>40</v>
      </c>
      <c r="B48">
        <v>20.740955616582646</v>
      </c>
      <c r="D48">
        <v>32</v>
      </c>
      <c r="E48" s="6">
        <f>1/99*($E$10-$E$9)+E47</f>
        <v>66.961572242774707</v>
      </c>
      <c r="F48" s="1">
        <f>_xll.PDENSITY($E$48,SimDataKDE!$B$9:$B$508,$E$11,$E$12,1)</f>
        <v>0.48530527924217515</v>
      </c>
    </row>
    <row r="49" spans="1:6" x14ac:dyDescent="0.45">
      <c r="A49">
        <v>41</v>
      </c>
      <c r="B49">
        <v>20.869962464548195</v>
      </c>
      <c r="D49">
        <v>33</v>
      </c>
      <c r="E49" s="6">
        <f>1/99*($E$10-$E$9)+E48</f>
        <v>68.476191026380164</v>
      </c>
      <c r="F49" s="1">
        <f>_xll.PDENSITY($E$49,SimDataKDE!$B$9:$B$508,$E$11,$E$12,1)</f>
        <v>0.49436417631460772</v>
      </c>
    </row>
    <row r="50" spans="1:6" x14ac:dyDescent="0.45">
      <c r="A50">
        <v>42</v>
      </c>
      <c r="B50">
        <v>115.20312896301296</v>
      </c>
      <c r="D50">
        <v>34</v>
      </c>
      <c r="E50" s="6">
        <f>1/99*($E$10-$E$9)+E49</f>
        <v>69.99080980998562</v>
      </c>
      <c r="F50" s="1">
        <f>_xll.PDENSITY($E$50,SimDataKDE!$B$9:$B$508,$E$11,$E$12,1)</f>
        <v>0.50322603794139209</v>
      </c>
    </row>
    <row r="51" spans="1:6" x14ac:dyDescent="0.45">
      <c r="A51">
        <v>43</v>
      </c>
      <c r="B51">
        <v>66.82624996642501</v>
      </c>
      <c r="D51">
        <v>35</v>
      </c>
      <c r="E51" s="6">
        <f>1/99*($E$10-$E$9)+E50</f>
        <v>71.505428593591077</v>
      </c>
      <c r="F51" s="1">
        <f>_xll.PDENSITY($E$51,SimDataKDE!$B$9:$B$508,$E$11,$E$12,1)</f>
        <v>0.51189483993031115</v>
      </c>
    </row>
    <row r="52" spans="1:6" x14ac:dyDescent="0.45">
      <c r="A52">
        <v>44</v>
      </c>
      <c r="B52">
        <v>21.290928532941617</v>
      </c>
      <c r="D52">
        <v>36</v>
      </c>
      <c r="E52" s="6">
        <f>1/99*($E$10-$E$9)+E51</f>
        <v>73.020047377196533</v>
      </c>
      <c r="F52" s="1">
        <f>_xll.PDENSITY($E$52,SimDataKDE!$B$9:$B$508,$E$11,$E$12,1)</f>
        <v>0.52037436369782009</v>
      </c>
    </row>
    <row r="53" spans="1:6" x14ac:dyDescent="0.45">
      <c r="A53">
        <v>45</v>
      </c>
      <c r="B53">
        <v>125.13980813480147</v>
      </c>
      <c r="D53">
        <v>37</v>
      </c>
      <c r="E53" s="6">
        <f>1/99*($E$10-$E$9)+E52</f>
        <v>74.53466616080199</v>
      </c>
      <c r="F53" s="1">
        <f>_xll.PDENSITY($E$53,SimDataKDE!$B$9:$B$508,$E$11,$E$12,1)</f>
        <v>0.52866830777301999</v>
      </c>
    </row>
    <row r="54" spans="1:6" x14ac:dyDescent="0.45">
      <c r="A54">
        <v>46</v>
      </c>
      <c r="B54">
        <v>152.64947505406599</v>
      </c>
      <c r="D54">
        <v>38</v>
      </c>
      <c r="E54" s="6">
        <f>1/99*($E$10-$E$9)+E53</f>
        <v>76.049284944407447</v>
      </c>
      <c r="F54" s="1">
        <f>_xll.PDENSITY($E$54,SimDataKDE!$B$9:$B$508,$E$11,$E$12,1)</f>
        <v>0.53678039541882472</v>
      </c>
    </row>
    <row r="55" spans="1:6" x14ac:dyDescent="0.45">
      <c r="A55">
        <v>47</v>
      </c>
      <c r="B55">
        <v>20.423409528674359</v>
      </c>
      <c r="D55">
        <v>39</v>
      </c>
      <c r="E55" s="6">
        <f>1/99*($E$10-$E$9)+E54</f>
        <v>77.563903728012903</v>
      </c>
      <c r="F55" s="1">
        <f>_xll.PDENSITY($E$55,SimDataKDE!$B$9:$B$508,$E$11,$E$12,1)</f>
        <v>0.54471447306543963</v>
      </c>
    </row>
    <row r="56" spans="1:6" x14ac:dyDescent="0.45">
      <c r="A56">
        <v>48</v>
      </c>
      <c r="B56">
        <v>23.709214970324538</v>
      </c>
      <c r="D56">
        <v>40</v>
      </c>
      <c r="E56" s="6">
        <f>1/99*($E$10-$E$9)+E55</f>
        <v>79.07852251161836</v>
      </c>
      <c r="F56" s="1">
        <f>_xll.PDENSITY($E$56,SimDataKDE!$B$9:$B$508,$E$11,$E$12,1)</f>
        <v>0.55247459408391009</v>
      </c>
    </row>
    <row r="57" spans="1:6" x14ac:dyDescent="0.45">
      <c r="A57">
        <v>49</v>
      </c>
      <c r="B57">
        <v>151.94043454947479</v>
      </c>
      <c r="D57">
        <v>41</v>
      </c>
      <c r="E57" s="6">
        <f>1/99*($E$10-$E$9)+E56</f>
        <v>80.593141295223816</v>
      </c>
      <c r="F57" s="1">
        <f>_xll.PDENSITY($E$57,SimDataKDE!$B$9:$B$508,$E$11,$E$12,1)</f>
        <v>0.5600650856066608</v>
      </c>
    </row>
    <row r="58" spans="1:6" x14ac:dyDescent="0.45">
      <c r="A58">
        <v>50</v>
      </c>
      <c r="B58">
        <v>73.340515013832118</v>
      </c>
      <c r="D58">
        <v>42</v>
      </c>
      <c r="E58" s="6">
        <f>1/99*($E$10-$E$9)+E57</f>
        <v>82.107760078829273</v>
      </c>
      <c r="F58" s="1">
        <f>_xll.PDENSITY($E$58,SimDataKDE!$B$9:$B$508,$E$11,$E$12,1)</f>
        <v>0.56749059717533534</v>
      </c>
    </row>
    <row r="59" spans="1:6" x14ac:dyDescent="0.45">
      <c r="A59">
        <v>51</v>
      </c>
      <c r="B59">
        <v>28.085770400364257</v>
      </c>
      <c r="D59">
        <v>43</v>
      </c>
      <c r="E59" s="6">
        <f>1/99*($E$10-$E$9)+E58</f>
        <v>83.622378862434729</v>
      </c>
      <c r="F59" s="1">
        <f>_xll.PDENSITY($E$59,SimDataKDE!$B$9:$B$508,$E$11,$E$12,1)</f>
        <v>0.57475613163941552</v>
      </c>
    </row>
    <row r="60" spans="1:6" x14ac:dyDescent="0.45">
      <c r="A60">
        <v>52</v>
      </c>
      <c r="B60">
        <v>162.08045559372258</v>
      </c>
      <c r="D60">
        <v>44</v>
      </c>
      <c r="E60" s="6">
        <f>1/99*($E$10-$E$9)+E59</f>
        <v>85.136997646040186</v>
      </c>
      <c r="F60" s="1">
        <f>_xll.PDENSITY($E$60,SimDataKDE!$B$9:$B$508,$E$11,$E$12,1)</f>
        <v>0.58186706191382709</v>
      </c>
    </row>
    <row r="61" spans="1:6" x14ac:dyDescent="0.45">
      <c r="A61">
        <v>53</v>
      </c>
      <c r="B61">
        <v>21.218362388141855</v>
      </c>
      <c r="D61">
        <v>45</v>
      </c>
      <c r="E61" s="6">
        <f>1/99*($E$10-$E$9)+E60</f>
        <v>86.651616429645642</v>
      </c>
      <c r="F61" s="1">
        <f>_xll.PDENSITY($E$61,SimDataKDE!$B$9:$B$508,$E$11,$E$12,1)</f>
        <v>0.5888291328595292</v>
      </c>
    </row>
    <row r="62" spans="1:6" x14ac:dyDescent="0.45">
      <c r="A62">
        <v>54</v>
      </c>
      <c r="B62">
        <v>159.32330058905839</v>
      </c>
      <c r="D62">
        <v>46</v>
      </c>
      <c r="E62" s="6">
        <f>1/99*($E$10-$E$9)+E61</f>
        <v>88.166235213251099</v>
      </c>
      <c r="F62" s="1">
        <f>_xll.PDENSITY($E$62,SimDataKDE!$B$9:$B$508,$E$11,$E$12,1)</f>
        <v>0.59564845735144378</v>
      </c>
    </row>
    <row r="63" spans="1:6" x14ac:dyDescent="0.45">
      <c r="A63">
        <v>55</v>
      </c>
      <c r="B63">
        <v>101.52382876136949</v>
      </c>
      <c r="D63">
        <v>47</v>
      </c>
      <c r="E63" s="6">
        <f>1/99*($E$10-$E$9)+E62</f>
        <v>89.680853996856555</v>
      </c>
      <c r="F63" s="1">
        <f>_xll.PDENSITY($E$63,SimDataKDE!$B$9:$B$508,$E$11,$E$12,1)</f>
        <v>0.60233150366735499</v>
      </c>
    </row>
    <row r="64" spans="1:6" x14ac:dyDescent="0.45">
      <c r="A64">
        <v>56</v>
      </c>
      <c r="B64">
        <v>150.10202540390208</v>
      </c>
      <c r="D64">
        <v>48</v>
      </c>
      <c r="E64" s="6">
        <f>1/99*($E$10-$E$9)+E63</f>
        <v>91.195472780462012</v>
      </c>
      <c r="F64" s="1">
        <f>_xll.PDENSITY($E$64,SimDataKDE!$B$9:$B$508,$E$11,$E$12,1)</f>
        <v>0.60888508313364664</v>
      </c>
    </row>
    <row r="65" spans="1:6" x14ac:dyDescent="0.45">
      <c r="A65">
        <v>57</v>
      </c>
      <c r="B65">
        <v>89.442849992291713</v>
      </c>
      <c r="D65">
        <v>49</v>
      </c>
      <c r="E65" s="6">
        <f>1/99*($E$10-$E$9)+E64</f>
        <v>92.710091564067469</v>
      </c>
      <c r="F65" s="1">
        <f>_xll.PDENSITY($E$65,SimDataKDE!$B$9:$B$508,$E$11,$E$12,1)</f>
        <v>0.61531633830761412</v>
      </c>
    </row>
    <row r="66" spans="1:6" x14ac:dyDescent="0.45">
      <c r="A66">
        <v>58</v>
      </c>
      <c r="B66">
        <v>153.27133295916991</v>
      </c>
      <c r="D66">
        <v>50</v>
      </c>
      <c r="E66" s="6">
        <f>1/99*($E$10-$E$9)+E65</f>
        <v>94.224710347672925</v>
      </c>
      <c r="F66" s="1">
        <f>_xll.PDENSITY($E$66,SimDataKDE!$B$9:$B$508,$E$11,$E$12,1)</f>
        <v>0.62163273422858267</v>
      </c>
    </row>
    <row r="67" spans="1:6" x14ac:dyDescent="0.45">
      <c r="A67">
        <v>59</v>
      </c>
      <c r="B67">
        <v>20.481841659722221</v>
      </c>
      <c r="D67">
        <v>51</v>
      </c>
      <c r="E67" s="6">
        <f>1/99*($E$10-$E$9)+E66</f>
        <v>95.739329131278382</v>
      </c>
      <c r="F67" s="1">
        <f>_xll.PDENSITY($E$67,SimDataKDE!$B$9:$B$508,$E$11,$E$12,1)</f>
        <v>0.62784205451267439</v>
      </c>
    </row>
    <row r="68" spans="1:6" x14ac:dyDescent="0.45">
      <c r="A68">
        <v>60</v>
      </c>
      <c r="B68">
        <v>107.62229935866699</v>
      </c>
      <c r="D68">
        <v>52</v>
      </c>
      <c r="E68" s="6">
        <f>1/99*($E$10-$E$9)+E67</f>
        <v>97.253947914883838</v>
      </c>
      <c r="F68" s="1">
        <f>_xll.PDENSITY($E$68,SimDataKDE!$B$9:$B$508,$E$11,$E$12,1)</f>
        <v>0.63395240303700373</v>
      </c>
    </row>
    <row r="69" spans="1:6" x14ac:dyDescent="0.45">
      <c r="A69">
        <v>61</v>
      </c>
      <c r="B69">
        <v>33.193281678117756</v>
      </c>
      <c r="D69">
        <v>53</v>
      </c>
      <c r="E69" s="6">
        <f>1/99*($E$10-$E$9)+E68</f>
        <v>98.768566698489295</v>
      </c>
      <c r="F69" s="1">
        <f>_xll.PDENSITY($E$69,SimDataKDE!$B$9:$B$508,$E$11,$E$12,1)</f>
        <v>0.63997220879221617</v>
      </c>
    </row>
    <row r="70" spans="1:6" x14ac:dyDescent="0.45">
      <c r="A70">
        <v>62</v>
      </c>
      <c r="B70">
        <v>34.85775067032295</v>
      </c>
      <c r="D70">
        <v>54</v>
      </c>
      <c r="E70" s="6">
        <f>1/99*($E$10-$E$9)+E69</f>
        <v>100.28318548209475</v>
      </c>
      <c r="F70" s="1">
        <f>_xll.PDENSITY($E$70,SimDataKDE!$B$9:$B$508,$E$11,$E$12,1)</f>
        <v>0.64591023264777092</v>
      </c>
    </row>
    <row r="71" spans="1:6" x14ac:dyDescent="0.45">
      <c r="A71">
        <v>63</v>
      </c>
      <c r="B71">
        <v>168.56754174627747</v>
      </c>
      <c r="D71">
        <v>55</v>
      </c>
      <c r="E71" s="6">
        <f>1/99*($E$10-$E$9)+E70</f>
        <v>101.79780426570021</v>
      </c>
      <c r="F71" s="1">
        <f>_xll.PDENSITY($E$71,SimDataKDE!$B$9:$B$508,$E$11,$E$12,1)</f>
        <v>0.6517755748227847</v>
      </c>
    </row>
    <row r="72" spans="1:6" x14ac:dyDescent="0.45">
      <c r="A72">
        <v>64</v>
      </c>
      <c r="B72">
        <v>33.588181824785337</v>
      </c>
      <c r="D72">
        <v>56</v>
      </c>
      <c r="E72" s="6">
        <f>1/99*($E$10-$E$9)+E71</f>
        <v>103.31242304930566</v>
      </c>
      <c r="F72" s="1">
        <f>_xll.PDENSITY($E$72,SimDataKDE!$B$9:$B$508,$E$11,$E$12,1)</f>
        <v>0.65757767701739223</v>
      </c>
    </row>
    <row r="73" spans="1:6" x14ac:dyDescent="0.45">
      <c r="A73">
        <v>65</v>
      </c>
      <c r="B73">
        <v>36.297587320448997</v>
      </c>
      <c r="D73">
        <v>57</v>
      </c>
      <c r="E73" s="6">
        <f>1/99*($E$10-$E$9)+E72</f>
        <v>104.82704183291112</v>
      </c>
      <c r="F73" s="1">
        <f>_xll.PDENSITY($E$73,SimDataKDE!$B$9:$B$508,$E$11,$E$12,1)</f>
        <v>0.66332631868756731</v>
      </c>
    </row>
    <row r="74" spans="1:6" x14ac:dyDescent="0.45">
      <c r="A74">
        <v>66</v>
      </c>
      <c r="B74">
        <v>22.587499952944491</v>
      </c>
      <c r="D74">
        <v>58</v>
      </c>
      <c r="E74" s="6">
        <f>1/99*($E$10-$E$9)+E73</f>
        <v>106.34166061651658</v>
      </c>
      <c r="F74" s="1">
        <f>_xll.PDENSITY($E$74,SimDataKDE!$B$9:$B$508,$E$11,$E$12,1)</f>
        <v>0.66903160196963596</v>
      </c>
    </row>
    <row r="75" spans="1:6" x14ac:dyDescent="0.45">
      <c r="A75">
        <v>67</v>
      </c>
      <c r="B75">
        <v>147.74307922696229</v>
      </c>
      <c r="D75">
        <v>59</v>
      </c>
      <c r="E75" s="6">
        <f>1/99*($E$10-$E$9)+E74</f>
        <v>107.85627940012203</v>
      </c>
      <c r="F75" s="1">
        <f>_xll.PDENSITY($E$75,SimDataKDE!$B$9:$B$508,$E$11,$E$12,1)</f>
        <v>0.67470392266674628</v>
      </c>
    </row>
    <row r="76" spans="1:6" x14ac:dyDescent="0.45">
      <c r="A76">
        <v>68</v>
      </c>
      <c r="B76">
        <v>41.533044325870755</v>
      </c>
      <c r="D76">
        <v>60</v>
      </c>
      <c r="E76" s="6">
        <f>1/99*($E$10-$E$9)+E75</f>
        <v>109.37089818372749</v>
      </c>
      <c r="F76" s="1">
        <f>_xll.PDENSITY($E$76,SimDataKDE!$B$9:$B$508,$E$11,$E$12,1)</f>
        <v>0.68035392647536297</v>
      </c>
    </row>
    <row r="77" spans="1:6" x14ac:dyDescent="0.45">
      <c r="A77">
        <v>69</v>
      </c>
      <c r="B77">
        <v>24.068637617176663</v>
      </c>
      <c r="D77">
        <v>61</v>
      </c>
      <c r="E77" s="6">
        <f>1/99*($E$10-$E$9)+E76</f>
        <v>110.88551696733295</v>
      </c>
      <c r="F77" s="1">
        <f>_xll.PDENSITY($E$77,SimDataKDE!$B$9:$B$508,$E$11,$E$12,1)</f>
        <v>0.68599244612676313</v>
      </c>
    </row>
    <row r="78" spans="1:6" x14ac:dyDescent="0.45">
      <c r="A78">
        <v>70</v>
      </c>
      <c r="B78">
        <v>30.519521725545378</v>
      </c>
      <c r="D78">
        <v>62</v>
      </c>
      <c r="E78" s="6">
        <f>1/99*($E$10-$E$9)+E77</f>
        <v>112.4001357509384</v>
      </c>
      <c r="F78" s="1">
        <f>_xll.PDENSITY($E$78,SimDataKDE!$B$9:$B$508,$E$11,$E$12,1)</f>
        <v>0.6916304229970629</v>
      </c>
    </row>
    <row r="79" spans="1:6" x14ac:dyDescent="0.45">
      <c r="A79">
        <v>71</v>
      </c>
      <c r="B79">
        <v>61.674167255745346</v>
      </c>
      <c r="D79">
        <v>63</v>
      </c>
      <c r="E79" s="6">
        <f>1/99*($E$10-$E$9)+E78</f>
        <v>113.91475453454386</v>
      </c>
      <c r="F79" s="1">
        <f>_xll.PDENSITY($E$79,SimDataKDE!$B$9:$B$508,$E$11,$E$12,1)</f>
        <v>0.69727881156399374</v>
      </c>
    </row>
    <row r="80" spans="1:6" x14ac:dyDescent="0.45">
      <c r="A80">
        <v>72</v>
      </c>
      <c r="B80">
        <v>125.61326360593736</v>
      </c>
      <c r="D80">
        <v>64</v>
      </c>
      <c r="E80" s="6">
        <f>1/99*($E$10-$E$9)+E79</f>
        <v>115.42937331814932</v>
      </c>
      <c r="F80" s="1">
        <f>_xll.PDENSITY($E$80,SimDataKDE!$B$9:$B$508,$E$11,$E$12,1)</f>
        <v>0.70294846939213484</v>
      </c>
    </row>
    <row r="81" spans="1:6" x14ac:dyDescent="0.45">
      <c r="A81">
        <v>73</v>
      </c>
      <c r="B81">
        <v>24.324451221378549</v>
      </c>
      <c r="D81">
        <v>65</v>
      </c>
      <c r="E81" s="6">
        <f>1/99*($E$10-$E$9)+E80</f>
        <v>116.94399210175477</v>
      </c>
      <c r="F81" s="1">
        <f>_xll.PDENSITY($E$81,SimDataKDE!$B$9:$B$508,$E$11,$E$12,1)</f>
        <v>0.70865003694427353</v>
      </c>
    </row>
    <row r="82" spans="1:6" x14ac:dyDescent="0.45">
      <c r="A82">
        <v>74</v>
      </c>
      <c r="B82">
        <v>30.122034257150261</v>
      </c>
      <c r="D82">
        <v>66</v>
      </c>
      <c r="E82" s="6">
        <f>1/99*($E$10-$E$9)+E81</f>
        <v>118.45861088536023</v>
      </c>
      <c r="F82" s="1">
        <f>_xll.PDENSITY($E$82,SimDataKDE!$B$9:$B$508,$E$11,$E$12,1)</f>
        <v>0.71439381085172793</v>
      </c>
    </row>
    <row r="83" spans="1:6" x14ac:dyDescent="0.45">
      <c r="A83">
        <v>75</v>
      </c>
      <c r="B83">
        <v>57.319846049381539</v>
      </c>
      <c r="D83">
        <v>67</v>
      </c>
      <c r="E83" s="6">
        <f>1/99*($E$10-$E$9)+E82</f>
        <v>119.97322966896569</v>
      </c>
      <c r="F83" s="1">
        <f>_xll.PDENSITY($E$83,SimDataKDE!$B$9:$B$508,$E$11,$E$12,1)</f>
        <v>0.72018961529843617</v>
      </c>
    </row>
    <row r="84" spans="1:6" x14ac:dyDescent="0.45">
      <c r="A84">
        <v>76</v>
      </c>
      <c r="B84">
        <v>20.682789037662317</v>
      </c>
      <c r="D84">
        <v>68</v>
      </c>
      <c r="E84" s="6">
        <f>1/99*($E$10-$E$9)+E83</f>
        <v>121.48784845257114</v>
      </c>
      <c r="F84" s="1">
        <f>_xll.PDENSITY($E$84,SimDataKDE!$B$9:$B$508,$E$11,$E$12,1)</f>
        <v>0.7260466766541197</v>
      </c>
    </row>
    <row r="85" spans="1:6" x14ac:dyDescent="0.45">
      <c r="A85">
        <v>77</v>
      </c>
      <c r="B85">
        <v>62.520992897342069</v>
      </c>
      <c r="D85">
        <v>69</v>
      </c>
      <c r="E85" s="6">
        <f>1/99*($E$10-$E$9)+E84</f>
        <v>123.0024672361766</v>
      </c>
      <c r="F85" s="1">
        <f>_xll.PDENSITY($E$85,SimDataKDE!$B$9:$B$508,$E$11,$E$12,1)</f>
        <v>0.73197350574693487</v>
      </c>
    </row>
    <row r="86" spans="1:6" x14ac:dyDescent="0.45">
      <c r="A86">
        <v>78</v>
      </c>
      <c r="B86">
        <v>169.41457576953465</v>
      </c>
      <c r="D86">
        <v>70</v>
      </c>
      <c r="E86" s="6">
        <f>1/99*($E$10-$E$9)+E85</f>
        <v>124.51708601978206</v>
      </c>
      <c r="F86" s="1">
        <f>_xll.PDENSITY($E$86,SimDataKDE!$B$9:$B$508,$E$11,$E$12,1)</f>
        <v>0.73797779395178709</v>
      </c>
    </row>
    <row r="87" spans="1:6" x14ac:dyDescent="0.45">
      <c r="A87">
        <v>79</v>
      </c>
      <c r="B87">
        <v>156.47625027259528</v>
      </c>
      <c r="D87">
        <v>71</v>
      </c>
      <c r="E87" s="6">
        <f>1/99*($E$10-$E$9)+E86</f>
        <v>126.03170480338751</v>
      </c>
      <c r="F87" s="1">
        <f>_xll.PDENSITY($E$87,SimDataKDE!$B$9:$B$508,$E$11,$E$12,1)</f>
        <v>0.74406632216827362</v>
      </c>
    </row>
    <row r="88" spans="1:6" x14ac:dyDescent="0.45">
      <c r="A88">
        <v>80</v>
      </c>
      <c r="B88">
        <v>122.6089576764638</v>
      </c>
      <c r="D88">
        <v>72</v>
      </c>
      <c r="E88" s="6">
        <f>1/99*($E$10-$E$9)+E87</f>
        <v>127.54632358699297</v>
      </c>
      <c r="F88" s="1">
        <f>_xll.PDENSITY($E$88,SimDataKDE!$B$9:$B$508,$E$11,$E$12,1)</f>
        <v>0.75024488877164164</v>
      </c>
    </row>
    <row r="89" spans="1:6" x14ac:dyDescent="0.45">
      <c r="A89">
        <v>81</v>
      </c>
      <c r="B89">
        <v>94.620740430233155</v>
      </c>
      <c r="D89">
        <v>73</v>
      </c>
      <c r="E89" s="6">
        <f>1/99*($E$10-$E$9)+E88</f>
        <v>129.06094237059841</v>
      </c>
      <c r="F89" s="1">
        <f>_xll.PDENSITY($E$89,SimDataKDE!$B$9:$B$508,$E$11,$E$12,1)</f>
        <v>0.75651825516474458</v>
      </c>
    </row>
    <row r="90" spans="1:6" x14ac:dyDescent="0.45">
      <c r="A90">
        <v>82</v>
      </c>
      <c r="B90">
        <v>148.21580355799492</v>
      </c>
      <c r="D90">
        <v>74</v>
      </c>
      <c r="E90" s="6">
        <f>1/99*($E$10-$E$9)+E89</f>
        <v>130.57556115420385</v>
      </c>
      <c r="F90" s="1">
        <f>_xll.PDENSITY($E$90,SimDataKDE!$B$9:$B$508,$E$11,$E$12,1)</f>
        <v>0.76289010872642449</v>
      </c>
    </row>
    <row r="91" spans="1:6" x14ac:dyDescent="0.45">
      <c r="A91">
        <v>83</v>
      </c>
      <c r="B91">
        <v>152.16204706307258</v>
      </c>
      <c r="D91">
        <v>75</v>
      </c>
      <c r="E91" s="6">
        <f>1/99*($E$10-$E$9)+E90</f>
        <v>132.0901799378093</v>
      </c>
      <c r="F91" s="1">
        <f>_xll.PDENSITY($E$91,SimDataKDE!$B$9:$B$508,$E$11,$E$12,1)</f>
        <v>0.76936303722970845</v>
      </c>
    </row>
    <row r="92" spans="1:6" x14ac:dyDescent="0.45">
      <c r="A92">
        <v>84</v>
      </c>
      <c r="B92">
        <v>108.28178090303346</v>
      </c>
      <c r="D92">
        <v>76</v>
      </c>
      <c r="E92" s="6">
        <f>1/99*($E$10-$E$9)+E91</f>
        <v>133.60479872141474</v>
      </c>
      <c r="F92" s="1">
        <f>_xll.PDENSITY($E$92,SimDataKDE!$B$9:$B$508,$E$11,$E$12,1)</f>
        <v>0.77593851413141424</v>
      </c>
    </row>
    <row r="93" spans="1:6" x14ac:dyDescent="0.45">
      <c r="A93">
        <v>85</v>
      </c>
      <c r="B93">
        <v>79.756607385327086</v>
      </c>
      <c r="D93">
        <v>77</v>
      </c>
      <c r="E93" s="6">
        <f>1/99*($E$10-$E$9)+E92</f>
        <v>135.11941750502018</v>
      </c>
      <c r="F93" s="1">
        <f>_xll.PDENSITY($E$93,SimDataKDE!$B$9:$B$508,$E$11,$E$12,1)</f>
        <v>0.78261688855234923</v>
      </c>
    </row>
    <row r="94" spans="1:6" x14ac:dyDescent="0.45">
      <c r="A94">
        <v>86</v>
      </c>
      <c r="B94">
        <v>33.322178023419163</v>
      </c>
      <c r="D94">
        <v>78</v>
      </c>
      <c r="E94" s="6">
        <f>1/99*($E$10-$E$9)+E93</f>
        <v>136.63403628862562</v>
      </c>
      <c r="F94" s="1">
        <f>_xll.PDENSITY($E$94,SimDataKDE!$B$9:$B$508,$E$11,$E$12,1)</f>
        <v>0.7893973718008066</v>
      </c>
    </row>
    <row r="95" spans="1:6" x14ac:dyDescent="0.45">
      <c r="A95">
        <v>87</v>
      </c>
      <c r="B95">
        <v>37.054651645013074</v>
      </c>
      <c r="D95">
        <v>79</v>
      </c>
      <c r="E95" s="6">
        <f>1/99*($E$10-$E$9)+E94</f>
        <v>138.14865507223107</v>
      </c>
      <c r="F95" s="1">
        <f>_xll.PDENSITY($E$95,SimDataKDE!$B$9:$B$508,$E$11,$E$12,1)</f>
        <v>0.79627801785213204</v>
      </c>
    </row>
    <row r="96" spans="1:6" x14ac:dyDescent="0.45">
      <c r="A96">
        <v>88</v>
      </c>
      <c r="B96">
        <v>166.91755200912519</v>
      </c>
      <c r="D96">
        <v>80</v>
      </c>
      <c r="E96" s="6">
        <f>1/99*($E$10-$E$9)+E95</f>
        <v>139.66327385583651</v>
      </c>
      <c r="F96" s="1">
        <f>_xll.PDENSITY($E$96,SimDataKDE!$B$9:$B$508,$E$11,$E$12,1)</f>
        <v>0.80325568801903824</v>
      </c>
    </row>
    <row r="97" spans="1:6" x14ac:dyDescent="0.45">
      <c r="A97">
        <v>89</v>
      </c>
      <c r="B97">
        <v>40.598806859932914</v>
      </c>
      <c r="D97">
        <v>81</v>
      </c>
      <c r="E97" s="6">
        <f>1/99*($E$10-$E$9)+E96</f>
        <v>141.17789263944195</v>
      </c>
      <c r="F97" s="1">
        <f>_xll.PDENSITY($E$97,SimDataKDE!$B$9:$B$508,$E$11,$E$12,1)</f>
        <v>0.81032599888976864</v>
      </c>
    </row>
    <row r="98" spans="1:6" x14ac:dyDescent="0.45">
      <c r="A98">
        <v>90</v>
      </c>
      <c r="B98">
        <v>144.99979978330836</v>
      </c>
      <c r="D98">
        <v>82</v>
      </c>
      <c r="E98" s="6">
        <f>1/99*($E$10-$E$9)+E97</f>
        <v>142.69251142304739</v>
      </c>
      <c r="F98" s="1">
        <f>_xll.PDENSITY($E$98,SimDataKDE!$B$9:$B$508,$E$11,$E$12,1)</f>
        <v>0.81748324931653038</v>
      </c>
    </row>
    <row r="99" spans="1:6" x14ac:dyDescent="0.45">
      <c r="A99">
        <v>91</v>
      </c>
      <c r="B99">
        <v>36.806903959846736</v>
      </c>
      <c r="D99">
        <v>83</v>
      </c>
      <c r="E99" s="6">
        <f>1/99*($E$10-$E$9)+E98</f>
        <v>144.20713020665283</v>
      </c>
      <c r="F99" s="1">
        <f>_xll.PDENSITY($E$99,SimDataKDE!$B$9:$B$508,$E$11,$E$12,1)</f>
        <v>0.82472032730731348</v>
      </c>
    </row>
    <row r="100" spans="1:6" x14ac:dyDescent="0.45">
      <c r="A100">
        <v>92</v>
      </c>
      <c r="B100">
        <v>137.44173980400379</v>
      </c>
      <c r="D100">
        <v>84</v>
      </c>
      <c r="E100" s="6">
        <f>1/99*($E$10-$E$9)+E99</f>
        <v>145.72174899025828</v>
      </c>
      <c r="F100" s="1">
        <f>_xll.PDENSITY($E$100,SimDataKDE!$B$9:$B$508,$E$11,$E$12,1)</f>
        <v>0.83202859871831469</v>
      </c>
    </row>
    <row r="101" spans="1:6" x14ac:dyDescent="0.45">
      <c r="A101">
        <v>93</v>
      </c>
      <c r="B101">
        <v>165.94877493210006</v>
      </c>
      <c r="D101">
        <v>85</v>
      </c>
      <c r="E101" s="6">
        <f>1/99*($E$10-$E$9)+E100</f>
        <v>147.23636777386372</v>
      </c>
      <c r="F101" s="1">
        <f>_xll.PDENSITY($E$101,SimDataKDE!$B$9:$B$508,$E$11,$E$12,1)</f>
        <v>0.83939778379642593</v>
      </c>
    </row>
    <row r="102" spans="1:6" x14ac:dyDescent="0.45">
      <c r="A102">
        <v>94</v>
      </c>
      <c r="B102">
        <v>23.178050956918064</v>
      </c>
      <c r="D102">
        <v>86</v>
      </c>
      <c r="E102" s="6">
        <f>1/99*($E$10-$E$9)+E101</f>
        <v>148.75098655746916</v>
      </c>
      <c r="F102" s="1">
        <f>_xll.PDENSITY($E$102,SimDataKDE!$B$9:$B$508,$E$11,$E$12,1)</f>
        <v>0.8468158312523526</v>
      </c>
    </row>
    <row r="103" spans="1:6" x14ac:dyDescent="0.45">
      <c r="A103">
        <v>95</v>
      </c>
      <c r="B103">
        <v>168.89462745898194</v>
      </c>
      <c r="D103">
        <v>87</v>
      </c>
      <c r="E103" s="6">
        <f>1/99*($E$10-$E$9)+E102</f>
        <v>150.2656053410746</v>
      </c>
      <c r="F103" s="1">
        <f>_xll.PDENSITY($E$103,SimDataKDE!$B$9:$B$508,$E$11,$E$12,1)</f>
        <v>0.85426880125622873</v>
      </c>
    </row>
    <row r="104" spans="1:6" x14ac:dyDescent="0.45">
      <c r="A104">
        <v>96</v>
      </c>
      <c r="B104">
        <v>165.56802688455676</v>
      </c>
      <c r="D104">
        <v>88</v>
      </c>
      <c r="E104" s="6">
        <f>1/99*($E$10-$E$9)+E103</f>
        <v>151.78022412468005</v>
      </c>
      <c r="F104" s="1">
        <f>_xll.PDENSITY($E$104,SimDataKDE!$B$9:$B$508,$E$11,$E$12,1)</f>
        <v>0.86174077110419134</v>
      </c>
    </row>
    <row r="105" spans="1:6" x14ac:dyDescent="0.45">
      <c r="A105">
        <v>97</v>
      </c>
      <c r="B105">
        <v>20.416786132158276</v>
      </c>
      <c r="D105">
        <v>89</v>
      </c>
      <c r="E105" s="6">
        <f>1/99*($E$10-$E$9)+E104</f>
        <v>153.29484290828549</v>
      </c>
      <c r="F105" s="1">
        <f>_xll.PDENSITY($E$105,SimDataKDE!$B$9:$B$508,$E$11,$E$12,1)</f>
        <v>0.86921377823132162</v>
      </c>
    </row>
    <row r="106" spans="1:6" x14ac:dyDescent="0.45">
      <c r="A106">
        <v>98</v>
      </c>
      <c r="B106">
        <v>163.84386972142602</v>
      </c>
      <c r="D106">
        <v>90</v>
      </c>
      <c r="E106" s="6">
        <f>1/99*($E$10-$E$9)+E105</f>
        <v>154.80946169189093</v>
      </c>
      <c r="F106" s="1">
        <f>_xll.PDENSITY($E$106,SimDataKDE!$B$9:$B$508,$E$11,$E$12,1)</f>
        <v>0.87666781634017787</v>
      </c>
    </row>
    <row r="107" spans="1:6" x14ac:dyDescent="0.45">
      <c r="A107">
        <v>99</v>
      </c>
      <c r="B107">
        <v>130.73342122830624</v>
      </c>
      <c r="D107">
        <v>91</v>
      </c>
      <c r="E107" s="6">
        <f>1/99*($E$10-$E$9)+E106</f>
        <v>156.32408047549637</v>
      </c>
      <c r="F107" s="1">
        <f>_xll.PDENSITY($E$107,SimDataKDE!$B$9:$B$508,$E$11,$E$12,1)</f>
        <v>0.88408090061054467</v>
      </c>
    </row>
    <row r="108" spans="1:6" x14ac:dyDescent="0.45">
      <c r="A108">
        <v>100</v>
      </c>
      <c r="B108">
        <v>59.705388900938509</v>
      </c>
      <c r="D108">
        <v>92</v>
      </c>
      <c r="E108" s="6">
        <f>1/99*($E$10-$E$9)+E107</f>
        <v>157.83869925910182</v>
      </c>
      <c r="F108" s="1">
        <f>_xll.PDENSITY($E$108,SimDataKDE!$B$9:$B$508,$E$11,$E$12,1)</f>
        <v>0.89142920963226235</v>
      </c>
    </row>
    <row r="109" spans="1:6" x14ac:dyDescent="0.45">
      <c r="A109">
        <v>101</v>
      </c>
      <c r="B109">
        <v>73.625153181384192</v>
      </c>
      <c r="D109">
        <v>93</v>
      </c>
      <c r="E109" s="6">
        <f>1/99*($E$10-$E$9)+E108</f>
        <v>159.35331804270726</v>
      </c>
      <c r="F109" s="1">
        <f>_xll.PDENSITY($E$109,SimDataKDE!$B$9:$B$508,$E$11,$E$12,1)</f>
        <v>0.89868731717881589</v>
      </c>
    </row>
    <row r="110" spans="1:6" x14ac:dyDescent="0.45">
      <c r="A110">
        <v>102</v>
      </c>
      <c r="B110">
        <v>58.607642906636215</v>
      </c>
      <c r="D110">
        <v>94</v>
      </c>
      <c r="E110" s="6">
        <f>1/99*($E$10-$E$9)+E109</f>
        <v>160.8679368263127</v>
      </c>
      <c r="F110" s="1">
        <f>_xll.PDENSITY($E$110,SimDataKDE!$B$9:$B$508,$E$11,$E$12,1)</f>
        <v>0.90582851409079335</v>
      </c>
    </row>
    <row r="111" spans="1:6" x14ac:dyDescent="0.45">
      <c r="A111">
        <v>103</v>
      </c>
      <c r="B111">
        <v>42.713503397617892</v>
      </c>
      <c r="D111">
        <v>95</v>
      </c>
      <c r="E111" s="6">
        <f>1/99*($E$10-$E$9)+E110</f>
        <v>162.38255560991814</v>
      </c>
      <c r="F111" s="1">
        <f>_xll.PDENSITY($E$111,SimDataKDE!$B$9:$B$508,$E$11,$E$12,1)</f>
        <v>0.91282521924905036</v>
      </c>
    </row>
    <row r="112" spans="1:6" x14ac:dyDescent="0.45">
      <c r="A112">
        <v>104</v>
      </c>
      <c r="B112">
        <v>46.227711470624982</v>
      </c>
      <c r="D112">
        <v>96</v>
      </c>
      <c r="E112" s="6">
        <f>1/99*($E$10-$E$9)+E111</f>
        <v>163.89717439352358</v>
      </c>
      <c r="F112" s="1">
        <f>_xll.PDENSITY($E$112,SimDataKDE!$B$9:$B$508,$E$11,$E$12,1)</f>
        <v>0.91964947215691295</v>
      </c>
    </row>
    <row r="113" spans="1:6" x14ac:dyDescent="0.45">
      <c r="A113">
        <v>105</v>
      </c>
      <c r="B113">
        <v>110.53245336899523</v>
      </c>
      <c r="D113">
        <v>97</v>
      </c>
      <c r="E113" s="6">
        <f>1/99*($E$10-$E$9)+E112</f>
        <v>165.41179317712903</v>
      </c>
      <c r="F113" s="1">
        <f>_xll.PDENSITY($E$113,SimDataKDE!$B$9:$B$508,$E$11,$E$12,1)</f>
        <v>0.92627349265355807</v>
      </c>
    </row>
    <row r="114" spans="1:6" x14ac:dyDescent="0.45">
      <c r="A114">
        <v>106</v>
      </c>
      <c r="B114">
        <v>27.517723202294153</v>
      </c>
      <c r="D114">
        <v>98</v>
      </c>
      <c r="E114" s="6">
        <f>1/99*($E$10-$E$9)+E113</f>
        <v>166.92641196073447</v>
      </c>
      <c r="F114" s="1">
        <f>_xll.PDENSITY($E$114,SimDataKDE!$B$9:$B$508,$E$11,$E$12,1)</f>
        <v>0.93267028893476733</v>
      </c>
    </row>
    <row r="115" spans="1:6" x14ac:dyDescent="0.45">
      <c r="A115">
        <v>107</v>
      </c>
      <c r="B115">
        <v>25.969512214827557</v>
      </c>
      <c r="D115">
        <v>99</v>
      </c>
      <c r="E115" s="6">
        <f>1/99*($E$10-$E$9)+E114</f>
        <v>168.44103074433991</v>
      </c>
      <c r="F115" s="1">
        <f>_xll.PDENSITY($E$115,SimDataKDE!$B$9:$B$508,$E$11,$E$12,1)</f>
        <v>0.93881429145665662</v>
      </c>
    </row>
    <row r="116" spans="1:6" x14ac:dyDescent="0.45">
      <c r="A116">
        <v>108</v>
      </c>
      <c r="B116">
        <v>48.544768321045844</v>
      </c>
      <c r="D116">
        <v>100</v>
      </c>
      <c r="E116" s="6">
        <f>1/99*($E$10-$E$9)+E115</f>
        <v>169.95564952794535</v>
      </c>
      <c r="F116" s="1">
        <f>_xll.PDENSITY($E$116,SimDataKDE!$B$9:$B$508,$E$11,$E$12,1)</f>
        <v>0.9446819742770346</v>
      </c>
    </row>
    <row r="117" spans="1:6" x14ac:dyDescent="0.45">
      <c r="A117">
        <v>109</v>
      </c>
      <c r="B117">
        <v>68.5932101559534</v>
      </c>
    </row>
    <row r="118" spans="1:6" x14ac:dyDescent="0.45">
      <c r="A118">
        <v>110</v>
      </c>
      <c r="B118">
        <v>163.23516969057604</v>
      </c>
    </row>
    <row r="119" spans="1:6" x14ac:dyDescent="0.45">
      <c r="A119">
        <v>111</v>
      </c>
      <c r="B119">
        <v>138.50615271336761</v>
      </c>
    </row>
    <row r="120" spans="1:6" x14ac:dyDescent="0.45">
      <c r="A120">
        <v>112</v>
      </c>
      <c r="B120">
        <v>50.853883421645307</v>
      </c>
    </row>
    <row r="121" spans="1:6" x14ac:dyDescent="0.45">
      <c r="A121">
        <v>113</v>
      </c>
      <c r="B121">
        <v>26.694274631858381</v>
      </c>
    </row>
    <row r="122" spans="1:6" x14ac:dyDescent="0.45">
      <c r="A122">
        <v>114</v>
      </c>
      <c r="B122">
        <v>64.99654081817043</v>
      </c>
    </row>
    <row r="123" spans="1:6" x14ac:dyDescent="0.45">
      <c r="A123">
        <v>115</v>
      </c>
      <c r="B123">
        <v>120.7805589512046</v>
      </c>
    </row>
    <row r="124" spans="1:6" x14ac:dyDescent="0.45">
      <c r="A124">
        <v>116</v>
      </c>
      <c r="B124">
        <v>34.223170139402306</v>
      </c>
    </row>
    <row r="125" spans="1:6" x14ac:dyDescent="0.45">
      <c r="A125">
        <v>117</v>
      </c>
      <c r="B125">
        <v>62.063983793465177</v>
      </c>
    </row>
    <row r="126" spans="1:6" x14ac:dyDescent="0.45">
      <c r="A126">
        <v>118</v>
      </c>
      <c r="B126">
        <v>139.12928289005919</v>
      </c>
    </row>
    <row r="127" spans="1:6" x14ac:dyDescent="0.45">
      <c r="A127">
        <v>119</v>
      </c>
      <c r="B127">
        <v>31.217151188973368</v>
      </c>
    </row>
    <row r="128" spans="1:6" x14ac:dyDescent="0.45">
      <c r="A128">
        <v>120</v>
      </c>
      <c r="B128">
        <v>74.000788119534789</v>
      </c>
    </row>
    <row r="129" spans="1:2" x14ac:dyDescent="0.45">
      <c r="A129">
        <v>121</v>
      </c>
      <c r="B129">
        <v>20.161452330951168</v>
      </c>
    </row>
    <row r="130" spans="1:2" x14ac:dyDescent="0.45">
      <c r="A130">
        <v>122</v>
      </c>
      <c r="B130">
        <v>96.048395530947957</v>
      </c>
    </row>
    <row r="131" spans="1:2" x14ac:dyDescent="0.45">
      <c r="A131">
        <v>123</v>
      </c>
      <c r="B131">
        <v>168.61015854057629</v>
      </c>
    </row>
    <row r="132" spans="1:2" x14ac:dyDescent="0.45">
      <c r="A132">
        <v>124</v>
      </c>
      <c r="B132">
        <v>82.076554829301088</v>
      </c>
    </row>
    <row r="133" spans="1:2" x14ac:dyDescent="0.45">
      <c r="A133">
        <v>125</v>
      </c>
      <c r="B133">
        <v>36.128877980399182</v>
      </c>
    </row>
    <row r="134" spans="1:2" x14ac:dyDescent="0.45">
      <c r="A134">
        <v>126</v>
      </c>
      <c r="B134">
        <v>25.765533198586258</v>
      </c>
    </row>
    <row r="135" spans="1:2" x14ac:dyDescent="0.45">
      <c r="A135">
        <v>127</v>
      </c>
      <c r="B135">
        <v>45.867522727864404</v>
      </c>
    </row>
    <row r="136" spans="1:2" x14ac:dyDescent="0.45">
      <c r="A136">
        <v>128</v>
      </c>
      <c r="B136">
        <v>20.091061777722125</v>
      </c>
    </row>
    <row r="137" spans="1:2" x14ac:dyDescent="0.45">
      <c r="A137">
        <v>129</v>
      </c>
      <c r="B137">
        <v>159.99625875496687</v>
      </c>
    </row>
    <row r="138" spans="1:2" x14ac:dyDescent="0.45">
      <c r="A138">
        <v>130</v>
      </c>
      <c r="B138">
        <v>39.903804606842691</v>
      </c>
    </row>
    <row r="139" spans="1:2" x14ac:dyDescent="0.45">
      <c r="A139">
        <v>131</v>
      </c>
      <c r="B139">
        <v>169.5311082379057</v>
      </c>
    </row>
    <row r="140" spans="1:2" x14ac:dyDescent="0.45">
      <c r="A140">
        <v>132</v>
      </c>
      <c r="B140">
        <v>135.98711729529489</v>
      </c>
    </row>
    <row r="141" spans="1:2" x14ac:dyDescent="0.45">
      <c r="A141">
        <v>133</v>
      </c>
      <c r="B141">
        <v>70.618713006291799</v>
      </c>
    </row>
    <row r="142" spans="1:2" x14ac:dyDescent="0.45">
      <c r="A142">
        <v>134</v>
      </c>
      <c r="B142">
        <v>23.932077746813139</v>
      </c>
    </row>
    <row r="143" spans="1:2" x14ac:dyDescent="0.45">
      <c r="A143">
        <v>135</v>
      </c>
      <c r="B143">
        <v>143.8288717545843</v>
      </c>
    </row>
    <row r="144" spans="1:2" x14ac:dyDescent="0.45">
      <c r="A144">
        <v>136</v>
      </c>
      <c r="B144">
        <v>102.37596295646023</v>
      </c>
    </row>
    <row r="145" spans="1:2" x14ac:dyDescent="0.45">
      <c r="A145">
        <v>137</v>
      </c>
      <c r="B145">
        <v>116.6142215291099</v>
      </c>
    </row>
    <row r="146" spans="1:2" x14ac:dyDescent="0.45">
      <c r="A146">
        <v>138</v>
      </c>
      <c r="B146">
        <v>29.458436967107126</v>
      </c>
    </row>
    <row r="147" spans="1:2" x14ac:dyDescent="0.45">
      <c r="A147">
        <v>139</v>
      </c>
      <c r="B147">
        <v>74.632370028513492</v>
      </c>
    </row>
    <row r="148" spans="1:2" x14ac:dyDescent="0.45">
      <c r="A148">
        <v>140</v>
      </c>
      <c r="B148">
        <v>75.784031589249153</v>
      </c>
    </row>
    <row r="149" spans="1:2" x14ac:dyDescent="0.45">
      <c r="A149">
        <v>141</v>
      </c>
      <c r="B149">
        <v>169.38564056239687</v>
      </c>
    </row>
    <row r="150" spans="1:2" x14ac:dyDescent="0.45">
      <c r="A150">
        <v>142</v>
      </c>
      <c r="B150">
        <v>92.990853167203525</v>
      </c>
    </row>
    <row r="151" spans="1:2" x14ac:dyDescent="0.45">
      <c r="A151">
        <v>143</v>
      </c>
      <c r="B151">
        <v>45.200136544549629</v>
      </c>
    </row>
    <row r="152" spans="1:2" x14ac:dyDescent="0.45">
      <c r="A152">
        <v>144</v>
      </c>
      <c r="B152">
        <v>27.75752851634433</v>
      </c>
    </row>
    <row r="153" spans="1:2" x14ac:dyDescent="0.45">
      <c r="A153">
        <v>145</v>
      </c>
      <c r="B153">
        <v>77.238769085504927</v>
      </c>
    </row>
    <row r="154" spans="1:2" x14ac:dyDescent="0.45">
      <c r="A154">
        <v>146</v>
      </c>
      <c r="B154">
        <v>20.618997720425753</v>
      </c>
    </row>
    <row r="155" spans="1:2" x14ac:dyDescent="0.45">
      <c r="A155">
        <v>147</v>
      </c>
      <c r="B155">
        <v>169.2860421961891</v>
      </c>
    </row>
    <row r="156" spans="1:2" x14ac:dyDescent="0.45">
      <c r="A156">
        <v>148</v>
      </c>
      <c r="B156">
        <v>68.79078555275413</v>
      </c>
    </row>
    <row r="157" spans="1:2" x14ac:dyDescent="0.45">
      <c r="A157">
        <v>149</v>
      </c>
      <c r="B157">
        <v>41.617969086344388</v>
      </c>
    </row>
    <row r="158" spans="1:2" x14ac:dyDescent="0.45">
      <c r="A158">
        <v>150</v>
      </c>
      <c r="B158">
        <v>39.161194208214042</v>
      </c>
    </row>
    <row r="159" spans="1:2" x14ac:dyDescent="0.45">
      <c r="A159">
        <v>151</v>
      </c>
      <c r="B159">
        <v>137.65391748511823</v>
      </c>
    </row>
    <row r="160" spans="1:2" x14ac:dyDescent="0.45">
      <c r="A160">
        <v>152</v>
      </c>
      <c r="B160">
        <v>27.386704816911994</v>
      </c>
    </row>
    <row r="161" spans="1:2" x14ac:dyDescent="0.45">
      <c r="A161">
        <v>153</v>
      </c>
      <c r="B161">
        <v>169.19157720951691</v>
      </c>
    </row>
    <row r="162" spans="1:2" x14ac:dyDescent="0.45">
      <c r="A162">
        <v>154</v>
      </c>
      <c r="B162">
        <v>69.298535575289591</v>
      </c>
    </row>
    <row r="163" spans="1:2" x14ac:dyDescent="0.45">
      <c r="A163">
        <v>155</v>
      </c>
      <c r="B163">
        <v>62.961865489374155</v>
      </c>
    </row>
    <row r="164" spans="1:2" x14ac:dyDescent="0.45">
      <c r="A164">
        <v>156</v>
      </c>
      <c r="B164">
        <v>149.40079500411068</v>
      </c>
    </row>
    <row r="165" spans="1:2" x14ac:dyDescent="0.45">
      <c r="A165">
        <v>157</v>
      </c>
      <c r="B165">
        <v>87.173297034515983</v>
      </c>
    </row>
    <row r="166" spans="1:2" x14ac:dyDescent="0.45">
      <c r="A166">
        <v>158</v>
      </c>
      <c r="B166">
        <v>90.853926581589306</v>
      </c>
    </row>
    <row r="167" spans="1:2" x14ac:dyDescent="0.45">
      <c r="A167">
        <v>159</v>
      </c>
      <c r="B167">
        <v>58.481586691482867</v>
      </c>
    </row>
    <row r="168" spans="1:2" x14ac:dyDescent="0.45">
      <c r="A168">
        <v>160</v>
      </c>
      <c r="B168">
        <v>39.94150643936397</v>
      </c>
    </row>
    <row r="169" spans="1:2" x14ac:dyDescent="0.45">
      <c r="A169">
        <v>161</v>
      </c>
      <c r="B169">
        <v>20.975412612041456</v>
      </c>
    </row>
    <row r="170" spans="1:2" x14ac:dyDescent="0.45">
      <c r="A170">
        <v>162</v>
      </c>
      <c r="B170">
        <v>21.198028499650864</v>
      </c>
    </row>
    <row r="171" spans="1:2" x14ac:dyDescent="0.45">
      <c r="A171">
        <v>163</v>
      </c>
      <c r="B171">
        <v>131.99827432535801</v>
      </c>
    </row>
    <row r="172" spans="1:2" x14ac:dyDescent="0.45">
      <c r="A172">
        <v>164</v>
      </c>
      <c r="B172">
        <v>114.78527913648607</v>
      </c>
    </row>
    <row r="173" spans="1:2" x14ac:dyDescent="0.45">
      <c r="A173">
        <v>165</v>
      </c>
      <c r="B173">
        <v>162.72231551693633</v>
      </c>
    </row>
    <row r="174" spans="1:2" x14ac:dyDescent="0.45">
      <c r="A174">
        <v>166</v>
      </c>
      <c r="B174">
        <v>43.500333388038733</v>
      </c>
    </row>
    <row r="175" spans="1:2" x14ac:dyDescent="0.45">
      <c r="A175">
        <v>167</v>
      </c>
      <c r="B175">
        <v>20.65319988820108</v>
      </c>
    </row>
    <row r="176" spans="1:2" x14ac:dyDescent="0.45">
      <c r="A176">
        <v>168</v>
      </c>
      <c r="B176">
        <v>65.646238133286531</v>
      </c>
    </row>
    <row r="177" spans="1:2" x14ac:dyDescent="0.45">
      <c r="A177">
        <v>169</v>
      </c>
      <c r="B177">
        <v>169.64728162590464</v>
      </c>
    </row>
    <row r="178" spans="1:2" x14ac:dyDescent="0.45">
      <c r="A178">
        <v>170</v>
      </c>
      <c r="B178">
        <v>29.460396518368483</v>
      </c>
    </row>
    <row r="179" spans="1:2" x14ac:dyDescent="0.45">
      <c r="A179">
        <v>171</v>
      </c>
      <c r="B179">
        <v>85.931051287450387</v>
      </c>
    </row>
    <row r="180" spans="1:2" x14ac:dyDescent="0.45">
      <c r="A180">
        <v>172</v>
      </c>
      <c r="B180">
        <v>21.167062993562379</v>
      </c>
    </row>
    <row r="181" spans="1:2" x14ac:dyDescent="0.45">
      <c r="A181">
        <v>173</v>
      </c>
      <c r="B181">
        <v>34.154252547292188</v>
      </c>
    </row>
    <row r="182" spans="1:2" x14ac:dyDescent="0.45">
      <c r="A182">
        <v>174</v>
      </c>
      <c r="B182">
        <v>136.62674336863321</v>
      </c>
    </row>
    <row r="183" spans="1:2" x14ac:dyDescent="0.45">
      <c r="A183">
        <v>175</v>
      </c>
      <c r="B183">
        <v>60.663443291118725</v>
      </c>
    </row>
    <row r="184" spans="1:2" x14ac:dyDescent="0.45">
      <c r="A184">
        <v>176</v>
      </c>
      <c r="B184">
        <v>72.26002375602458</v>
      </c>
    </row>
    <row r="185" spans="1:2" x14ac:dyDescent="0.45">
      <c r="A185">
        <v>177</v>
      </c>
      <c r="B185">
        <v>20.512184777470299</v>
      </c>
    </row>
    <row r="186" spans="1:2" x14ac:dyDescent="0.45">
      <c r="A186">
        <v>178</v>
      </c>
      <c r="B186">
        <v>49.339382315220973</v>
      </c>
    </row>
    <row r="187" spans="1:2" x14ac:dyDescent="0.45">
      <c r="A187">
        <v>179</v>
      </c>
      <c r="B187">
        <v>62.339954241472789</v>
      </c>
    </row>
    <row r="188" spans="1:2" x14ac:dyDescent="0.45">
      <c r="A188">
        <v>180</v>
      </c>
      <c r="B188">
        <v>86.695310299891361</v>
      </c>
    </row>
    <row r="189" spans="1:2" x14ac:dyDescent="0.45">
      <c r="A189">
        <v>181</v>
      </c>
      <c r="B189">
        <v>30.772197787347036</v>
      </c>
    </row>
    <row r="190" spans="1:2" x14ac:dyDescent="0.45">
      <c r="A190">
        <v>182</v>
      </c>
      <c r="B190">
        <v>22.281594450913111</v>
      </c>
    </row>
    <row r="191" spans="1:2" x14ac:dyDescent="0.45">
      <c r="A191">
        <v>183</v>
      </c>
      <c r="B191">
        <v>164.3707942420653</v>
      </c>
    </row>
    <row r="192" spans="1:2" x14ac:dyDescent="0.45">
      <c r="A192">
        <v>184</v>
      </c>
      <c r="B192">
        <v>142.36693634643598</v>
      </c>
    </row>
    <row r="193" spans="1:2" x14ac:dyDescent="0.45">
      <c r="A193">
        <v>185</v>
      </c>
      <c r="B193">
        <v>132.48586488884976</v>
      </c>
    </row>
    <row r="194" spans="1:2" x14ac:dyDescent="0.45">
      <c r="A194">
        <v>186</v>
      </c>
      <c r="B194">
        <v>131.21902793056529</v>
      </c>
    </row>
    <row r="195" spans="1:2" x14ac:dyDescent="0.45">
      <c r="A195">
        <v>187</v>
      </c>
      <c r="B195">
        <v>31.433162773567094</v>
      </c>
    </row>
    <row r="196" spans="1:2" x14ac:dyDescent="0.45">
      <c r="A196">
        <v>188</v>
      </c>
      <c r="B196">
        <v>20.341519760501903</v>
      </c>
    </row>
    <row r="197" spans="1:2" x14ac:dyDescent="0.45">
      <c r="A197">
        <v>189</v>
      </c>
      <c r="B197">
        <v>169.07036863077022</v>
      </c>
    </row>
    <row r="198" spans="1:2" x14ac:dyDescent="0.45">
      <c r="A198">
        <v>190</v>
      </c>
      <c r="B198">
        <v>69.414559622745898</v>
      </c>
    </row>
    <row r="199" spans="1:2" x14ac:dyDescent="0.45">
      <c r="A199">
        <v>191</v>
      </c>
      <c r="B199">
        <v>29.822086383788392</v>
      </c>
    </row>
    <row r="200" spans="1:2" x14ac:dyDescent="0.45">
      <c r="A200">
        <v>192</v>
      </c>
      <c r="B200">
        <v>49.633598110805544</v>
      </c>
    </row>
    <row r="201" spans="1:2" x14ac:dyDescent="0.45">
      <c r="A201">
        <v>193</v>
      </c>
      <c r="B201">
        <v>97.879179022822854</v>
      </c>
    </row>
    <row r="202" spans="1:2" x14ac:dyDescent="0.45">
      <c r="A202">
        <v>194</v>
      </c>
      <c r="B202">
        <v>35.742145290577213</v>
      </c>
    </row>
    <row r="203" spans="1:2" x14ac:dyDescent="0.45">
      <c r="A203">
        <v>195</v>
      </c>
      <c r="B203">
        <v>161.82547038006015</v>
      </c>
    </row>
    <row r="204" spans="1:2" x14ac:dyDescent="0.45">
      <c r="A204">
        <v>196</v>
      </c>
      <c r="B204">
        <v>149.88898083955524</v>
      </c>
    </row>
    <row r="205" spans="1:2" x14ac:dyDescent="0.45">
      <c r="A205">
        <v>197</v>
      </c>
      <c r="B205">
        <v>42.258030895766431</v>
      </c>
    </row>
    <row r="206" spans="1:2" x14ac:dyDescent="0.45">
      <c r="A206">
        <v>198</v>
      </c>
      <c r="B206">
        <v>53.590676841347239</v>
      </c>
    </row>
    <row r="207" spans="1:2" x14ac:dyDescent="0.45">
      <c r="A207">
        <v>199</v>
      </c>
      <c r="B207">
        <v>124.22668591806963</v>
      </c>
    </row>
    <row r="208" spans="1:2" x14ac:dyDescent="0.45">
      <c r="A208">
        <v>200</v>
      </c>
      <c r="B208">
        <v>54.084445803815207</v>
      </c>
    </row>
    <row r="209" spans="1:2" x14ac:dyDescent="0.45">
      <c r="A209">
        <v>201</v>
      </c>
      <c r="B209">
        <v>76.776168618614349</v>
      </c>
    </row>
    <row r="210" spans="1:2" x14ac:dyDescent="0.45">
      <c r="A210">
        <v>202</v>
      </c>
      <c r="B210">
        <v>44.936769752609408</v>
      </c>
    </row>
    <row r="211" spans="1:2" x14ac:dyDescent="0.45">
      <c r="A211">
        <v>203</v>
      </c>
      <c r="B211">
        <v>51.670802290340703</v>
      </c>
    </row>
    <row r="212" spans="1:2" x14ac:dyDescent="0.45">
      <c r="A212">
        <v>204</v>
      </c>
      <c r="B212">
        <v>78.290729712102191</v>
      </c>
    </row>
    <row r="213" spans="1:2" x14ac:dyDescent="0.45">
      <c r="A213">
        <v>205</v>
      </c>
      <c r="B213">
        <v>68.272323789239522</v>
      </c>
    </row>
    <row r="214" spans="1:2" x14ac:dyDescent="0.45">
      <c r="A214">
        <v>206</v>
      </c>
      <c r="B214">
        <v>44.179929776112893</v>
      </c>
    </row>
    <row r="215" spans="1:2" x14ac:dyDescent="0.45">
      <c r="A215">
        <v>207</v>
      </c>
      <c r="B215">
        <v>20.008389951005551</v>
      </c>
    </row>
    <row r="216" spans="1:2" x14ac:dyDescent="0.45">
      <c r="A216">
        <v>208</v>
      </c>
      <c r="B216">
        <v>52.039697828090176</v>
      </c>
    </row>
    <row r="217" spans="1:2" x14ac:dyDescent="0.45">
      <c r="A217">
        <v>209</v>
      </c>
      <c r="B217">
        <v>100.31593876467696</v>
      </c>
    </row>
    <row r="218" spans="1:2" x14ac:dyDescent="0.45">
      <c r="A218">
        <v>210</v>
      </c>
      <c r="B218">
        <v>42.557267315183438</v>
      </c>
    </row>
    <row r="219" spans="1:2" x14ac:dyDescent="0.45">
      <c r="A219">
        <v>211</v>
      </c>
      <c r="B219">
        <v>160.74918629390686</v>
      </c>
    </row>
    <row r="220" spans="1:2" x14ac:dyDescent="0.45">
      <c r="A220">
        <v>212</v>
      </c>
      <c r="B220">
        <v>63.852171525617223</v>
      </c>
    </row>
    <row r="221" spans="1:2" x14ac:dyDescent="0.45">
      <c r="A221">
        <v>213</v>
      </c>
      <c r="B221">
        <v>83.938513858475162</v>
      </c>
    </row>
    <row r="222" spans="1:2" x14ac:dyDescent="0.45">
      <c r="A222">
        <v>214</v>
      </c>
      <c r="B222">
        <v>129.74729896879748</v>
      </c>
    </row>
    <row r="223" spans="1:2" x14ac:dyDescent="0.45">
      <c r="A223">
        <v>215</v>
      </c>
      <c r="B223">
        <v>59.133913239756019</v>
      </c>
    </row>
    <row r="224" spans="1:2" x14ac:dyDescent="0.45">
      <c r="A224">
        <v>216</v>
      </c>
      <c r="B224">
        <v>42.078810469185946</v>
      </c>
    </row>
    <row r="225" spans="1:2" x14ac:dyDescent="0.45">
      <c r="A225">
        <v>217</v>
      </c>
      <c r="B225">
        <v>20.24745978096951</v>
      </c>
    </row>
    <row r="226" spans="1:2" x14ac:dyDescent="0.45">
      <c r="A226">
        <v>218</v>
      </c>
      <c r="B226">
        <v>20.277651707069392</v>
      </c>
    </row>
    <row r="227" spans="1:2" x14ac:dyDescent="0.45">
      <c r="A227">
        <v>219</v>
      </c>
      <c r="B227">
        <v>98.598834815259892</v>
      </c>
    </row>
    <row r="228" spans="1:2" x14ac:dyDescent="0.45">
      <c r="A228">
        <v>220</v>
      </c>
      <c r="B228">
        <v>117.99513076921532</v>
      </c>
    </row>
    <row r="229" spans="1:2" x14ac:dyDescent="0.45">
      <c r="A229">
        <v>221</v>
      </c>
      <c r="B229">
        <v>119.25457581313502</v>
      </c>
    </row>
    <row r="230" spans="1:2" x14ac:dyDescent="0.45">
      <c r="A230">
        <v>222</v>
      </c>
      <c r="B230">
        <v>54.954267138462335</v>
      </c>
    </row>
    <row r="231" spans="1:2" x14ac:dyDescent="0.45">
      <c r="A231">
        <v>223</v>
      </c>
      <c r="B231">
        <v>52.799973969529738</v>
      </c>
    </row>
    <row r="232" spans="1:2" x14ac:dyDescent="0.45">
      <c r="A232">
        <v>224</v>
      </c>
      <c r="B232">
        <v>20.050355983818612</v>
      </c>
    </row>
    <row r="233" spans="1:2" x14ac:dyDescent="0.45">
      <c r="A233">
        <v>225</v>
      </c>
      <c r="B233">
        <v>22.931216840433237</v>
      </c>
    </row>
    <row r="234" spans="1:2" x14ac:dyDescent="0.45">
      <c r="A234">
        <v>226</v>
      </c>
      <c r="B234">
        <v>55.270780248271834</v>
      </c>
    </row>
    <row r="235" spans="1:2" x14ac:dyDescent="0.45">
      <c r="A235">
        <v>227</v>
      </c>
      <c r="B235">
        <v>24.710821832298631</v>
      </c>
    </row>
    <row r="236" spans="1:2" x14ac:dyDescent="0.45">
      <c r="A236">
        <v>228</v>
      </c>
      <c r="B236">
        <v>29.89558761065172</v>
      </c>
    </row>
    <row r="237" spans="1:2" x14ac:dyDescent="0.45">
      <c r="A237">
        <v>229</v>
      </c>
      <c r="B237">
        <v>21.251214035859515</v>
      </c>
    </row>
    <row r="238" spans="1:2" x14ac:dyDescent="0.45">
      <c r="A238">
        <v>230</v>
      </c>
      <c r="B238">
        <v>127.54742929516082</v>
      </c>
    </row>
    <row r="239" spans="1:2" x14ac:dyDescent="0.45">
      <c r="A239">
        <v>231</v>
      </c>
      <c r="B239">
        <v>134.09161636111395</v>
      </c>
    </row>
    <row r="240" spans="1:2" x14ac:dyDescent="0.45">
      <c r="A240">
        <v>232</v>
      </c>
      <c r="B240">
        <v>118.84915378994714</v>
      </c>
    </row>
    <row r="241" spans="1:2" x14ac:dyDescent="0.45">
      <c r="A241">
        <v>233</v>
      </c>
      <c r="B241">
        <v>20.798826907834002</v>
      </c>
    </row>
    <row r="242" spans="1:2" x14ac:dyDescent="0.45">
      <c r="A242">
        <v>234</v>
      </c>
      <c r="B242">
        <v>37.629256212884584</v>
      </c>
    </row>
    <row r="243" spans="1:2" x14ac:dyDescent="0.45">
      <c r="A243">
        <v>235</v>
      </c>
      <c r="B243">
        <v>34.439291797153707</v>
      </c>
    </row>
    <row r="244" spans="1:2" x14ac:dyDescent="0.45">
      <c r="A244">
        <v>236</v>
      </c>
      <c r="B244">
        <v>69.754819432163941</v>
      </c>
    </row>
    <row r="245" spans="1:2" x14ac:dyDescent="0.45">
      <c r="A245">
        <v>237</v>
      </c>
      <c r="B245">
        <v>135.01230233098244</v>
      </c>
    </row>
    <row r="246" spans="1:2" x14ac:dyDescent="0.45">
      <c r="A246">
        <v>238</v>
      </c>
      <c r="B246">
        <v>144.22703543678182</v>
      </c>
    </row>
    <row r="247" spans="1:2" x14ac:dyDescent="0.45">
      <c r="A247">
        <v>239</v>
      </c>
      <c r="B247">
        <v>99.461461852536388</v>
      </c>
    </row>
    <row r="248" spans="1:2" x14ac:dyDescent="0.45">
      <c r="A248">
        <v>240</v>
      </c>
      <c r="B248">
        <v>101.96240460627108</v>
      </c>
    </row>
    <row r="249" spans="1:2" x14ac:dyDescent="0.45">
      <c r="A249">
        <v>241</v>
      </c>
      <c r="B249">
        <v>83.635266163722264</v>
      </c>
    </row>
    <row r="250" spans="1:2" x14ac:dyDescent="0.45">
      <c r="A250">
        <v>242</v>
      </c>
      <c r="B250">
        <v>48.029824644705307</v>
      </c>
    </row>
    <row r="251" spans="1:2" x14ac:dyDescent="0.45">
      <c r="A251">
        <v>243</v>
      </c>
      <c r="B251">
        <v>105.4074135369702</v>
      </c>
    </row>
    <row r="252" spans="1:2" x14ac:dyDescent="0.45">
      <c r="A252">
        <v>244</v>
      </c>
      <c r="B252">
        <v>31.68644717356651</v>
      </c>
    </row>
    <row r="253" spans="1:2" x14ac:dyDescent="0.45">
      <c r="A253">
        <v>245</v>
      </c>
      <c r="B253">
        <v>35.984683802282042</v>
      </c>
    </row>
    <row r="254" spans="1:2" x14ac:dyDescent="0.45">
      <c r="A254">
        <v>246</v>
      </c>
      <c r="B254">
        <v>26.797131463949743</v>
      </c>
    </row>
    <row r="255" spans="1:2" x14ac:dyDescent="0.45">
      <c r="A255">
        <v>247</v>
      </c>
      <c r="B255">
        <v>133.67190188087409</v>
      </c>
    </row>
    <row r="256" spans="1:2" x14ac:dyDescent="0.45">
      <c r="A256">
        <v>248</v>
      </c>
      <c r="B256">
        <v>33.408947390652905</v>
      </c>
    </row>
    <row r="257" spans="1:2" x14ac:dyDescent="0.45">
      <c r="A257">
        <v>249</v>
      </c>
      <c r="B257">
        <v>23.40179511342453</v>
      </c>
    </row>
    <row r="258" spans="1:2" x14ac:dyDescent="0.45">
      <c r="A258">
        <v>250</v>
      </c>
      <c r="B258">
        <v>117.36191661380893</v>
      </c>
    </row>
    <row r="259" spans="1:2" x14ac:dyDescent="0.45">
      <c r="A259">
        <v>251</v>
      </c>
      <c r="B259">
        <v>104.59328839960369</v>
      </c>
    </row>
    <row r="260" spans="1:2" x14ac:dyDescent="0.45">
      <c r="A260">
        <v>252</v>
      </c>
      <c r="B260">
        <v>32.73914676007341</v>
      </c>
    </row>
    <row r="261" spans="1:2" x14ac:dyDescent="0.45">
      <c r="A261">
        <v>253</v>
      </c>
      <c r="B261">
        <v>25.200248378668565</v>
      </c>
    </row>
    <row r="262" spans="1:2" x14ac:dyDescent="0.45">
      <c r="A262">
        <v>254</v>
      </c>
      <c r="B262">
        <v>153.91687687307802</v>
      </c>
    </row>
    <row r="263" spans="1:2" x14ac:dyDescent="0.45">
      <c r="A263">
        <v>255</v>
      </c>
      <c r="B263">
        <v>88.646837809633581</v>
      </c>
    </row>
    <row r="264" spans="1:2" x14ac:dyDescent="0.45">
      <c r="A264">
        <v>256</v>
      </c>
      <c r="B264">
        <v>136.97450126747006</v>
      </c>
    </row>
    <row r="265" spans="1:2" x14ac:dyDescent="0.45">
      <c r="A265">
        <v>257</v>
      </c>
      <c r="B265">
        <v>106.01168870457992</v>
      </c>
    </row>
    <row r="266" spans="1:2" x14ac:dyDescent="0.45">
      <c r="A266">
        <v>258</v>
      </c>
      <c r="B266">
        <v>168.51987335017074</v>
      </c>
    </row>
    <row r="267" spans="1:2" x14ac:dyDescent="0.45">
      <c r="A267">
        <v>259</v>
      </c>
      <c r="B267">
        <v>158.98829000972842</v>
      </c>
    </row>
    <row r="268" spans="1:2" x14ac:dyDescent="0.45">
      <c r="A268">
        <v>260</v>
      </c>
      <c r="B268">
        <v>128.04349091089577</v>
      </c>
    </row>
    <row r="269" spans="1:2" x14ac:dyDescent="0.45">
      <c r="A269">
        <v>261</v>
      </c>
      <c r="B269">
        <v>131.17181844691697</v>
      </c>
    </row>
    <row r="270" spans="1:2" x14ac:dyDescent="0.45">
      <c r="A270">
        <v>262</v>
      </c>
      <c r="B270">
        <v>87.98662390266324</v>
      </c>
    </row>
    <row r="271" spans="1:2" x14ac:dyDescent="0.45">
      <c r="A271">
        <v>263</v>
      </c>
      <c r="B271">
        <v>141.04910636500369</v>
      </c>
    </row>
    <row r="272" spans="1:2" x14ac:dyDescent="0.45">
      <c r="A272">
        <v>264</v>
      </c>
      <c r="B272">
        <v>47.844364100534584</v>
      </c>
    </row>
    <row r="273" spans="1:2" x14ac:dyDescent="0.45">
      <c r="A273">
        <v>265</v>
      </c>
      <c r="B273">
        <v>94.325346765093542</v>
      </c>
    </row>
    <row r="274" spans="1:2" x14ac:dyDescent="0.45">
      <c r="A274">
        <v>266</v>
      </c>
      <c r="B274">
        <v>21.451979127361209</v>
      </c>
    </row>
    <row r="275" spans="1:2" x14ac:dyDescent="0.45">
      <c r="A275">
        <v>267</v>
      </c>
      <c r="B275">
        <v>40.382851483850843</v>
      </c>
    </row>
    <row r="276" spans="1:2" x14ac:dyDescent="0.45">
      <c r="A276">
        <v>268</v>
      </c>
      <c r="B276">
        <v>20.293606867274022</v>
      </c>
    </row>
    <row r="277" spans="1:2" x14ac:dyDescent="0.45">
      <c r="A277">
        <v>269</v>
      </c>
      <c r="B277">
        <v>168.74091008538386</v>
      </c>
    </row>
    <row r="278" spans="1:2" x14ac:dyDescent="0.45">
      <c r="A278">
        <v>270</v>
      </c>
      <c r="B278">
        <v>30.2820721618432</v>
      </c>
    </row>
    <row r="279" spans="1:2" x14ac:dyDescent="0.45">
      <c r="A279">
        <v>271</v>
      </c>
      <c r="B279">
        <v>169.33694923459595</v>
      </c>
    </row>
    <row r="280" spans="1:2" x14ac:dyDescent="0.45">
      <c r="A280">
        <v>272</v>
      </c>
      <c r="B280">
        <v>20.848618417538155</v>
      </c>
    </row>
    <row r="281" spans="1:2" x14ac:dyDescent="0.45">
      <c r="A281">
        <v>273</v>
      </c>
      <c r="B281">
        <v>138.24681450807063</v>
      </c>
    </row>
    <row r="282" spans="1:2" x14ac:dyDescent="0.45">
      <c r="A282">
        <v>274</v>
      </c>
      <c r="B282">
        <v>20.470510477024721</v>
      </c>
    </row>
    <row r="283" spans="1:2" x14ac:dyDescent="0.45">
      <c r="A283">
        <v>275</v>
      </c>
      <c r="B283">
        <v>151.15503370926325</v>
      </c>
    </row>
    <row r="284" spans="1:2" x14ac:dyDescent="0.45">
      <c r="A284">
        <v>276</v>
      </c>
      <c r="B284">
        <v>38.294542487128183</v>
      </c>
    </row>
    <row r="285" spans="1:2" x14ac:dyDescent="0.45">
      <c r="A285">
        <v>277</v>
      </c>
      <c r="B285">
        <v>24.418146890223969</v>
      </c>
    </row>
    <row r="286" spans="1:2" x14ac:dyDescent="0.45">
      <c r="A286">
        <v>278</v>
      </c>
      <c r="B286">
        <v>35.155970014653988</v>
      </c>
    </row>
    <row r="287" spans="1:2" x14ac:dyDescent="0.45">
      <c r="A287">
        <v>279</v>
      </c>
      <c r="B287">
        <v>78.863030558898373</v>
      </c>
    </row>
    <row r="288" spans="1:2" x14ac:dyDescent="0.45">
      <c r="A288">
        <v>280</v>
      </c>
      <c r="B288">
        <v>32.914152135280858</v>
      </c>
    </row>
    <row r="289" spans="1:2" x14ac:dyDescent="0.45">
      <c r="A289">
        <v>281</v>
      </c>
      <c r="B289">
        <v>38.695889165546923</v>
      </c>
    </row>
    <row r="290" spans="1:2" x14ac:dyDescent="0.45">
      <c r="A290">
        <v>282</v>
      </c>
      <c r="B290">
        <v>157.8966213536431</v>
      </c>
    </row>
    <row r="291" spans="1:2" x14ac:dyDescent="0.45">
      <c r="A291">
        <v>283</v>
      </c>
      <c r="B291">
        <v>63.207440844174393</v>
      </c>
    </row>
    <row r="292" spans="1:2" x14ac:dyDescent="0.45">
      <c r="A292">
        <v>284</v>
      </c>
      <c r="B292">
        <v>143.11871537652019</v>
      </c>
    </row>
    <row r="293" spans="1:2" x14ac:dyDescent="0.45">
      <c r="A293">
        <v>285</v>
      </c>
      <c r="B293">
        <v>61.458191154457111</v>
      </c>
    </row>
    <row r="294" spans="1:2" x14ac:dyDescent="0.45">
      <c r="A294">
        <v>286</v>
      </c>
      <c r="B294">
        <v>22.76191842236738</v>
      </c>
    </row>
    <row r="295" spans="1:2" x14ac:dyDescent="0.45">
      <c r="A295">
        <v>287</v>
      </c>
      <c r="B295">
        <v>91.463006453584498</v>
      </c>
    </row>
    <row r="296" spans="1:2" x14ac:dyDescent="0.45">
      <c r="A296">
        <v>288</v>
      </c>
      <c r="B296">
        <v>65.345287913892832</v>
      </c>
    </row>
    <row r="297" spans="1:2" x14ac:dyDescent="0.45">
      <c r="A297">
        <v>289</v>
      </c>
      <c r="B297">
        <v>20.822009531257013</v>
      </c>
    </row>
    <row r="298" spans="1:2" x14ac:dyDescent="0.45">
      <c r="A298">
        <v>290</v>
      </c>
      <c r="B298">
        <v>169.57274168721793</v>
      </c>
    </row>
    <row r="299" spans="1:2" x14ac:dyDescent="0.45">
      <c r="A299">
        <v>291</v>
      </c>
      <c r="B299">
        <v>93.99478172735266</v>
      </c>
    </row>
    <row r="300" spans="1:2" x14ac:dyDescent="0.45">
      <c r="A300">
        <v>292</v>
      </c>
      <c r="B300">
        <v>82.439099125890323</v>
      </c>
    </row>
    <row r="301" spans="1:2" x14ac:dyDescent="0.45">
      <c r="A301">
        <v>293</v>
      </c>
      <c r="B301">
        <v>116.24365638207135</v>
      </c>
    </row>
    <row r="302" spans="1:2" x14ac:dyDescent="0.45">
      <c r="A302">
        <v>294</v>
      </c>
      <c r="B302">
        <v>32.054091176735213</v>
      </c>
    </row>
    <row r="303" spans="1:2" x14ac:dyDescent="0.45">
      <c r="A303">
        <v>295</v>
      </c>
      <c r="B303">
        <v>71.232562386652162</v>
      </c>
    </row>
    <row r="304" spans="1:2" x14ac:dyDescent="0.45">
      <c r="A304">
        <v>296</v>
      </c>
      <c r="B304">
        <v>96.119785522103285</v>
      </c>
    </row>
    <row r="305" spans="1:2" x14ac:dyDescent="0.45">
      <c r="A305">
        <v>297</v>
      </c>
      <c r="B305">
        <v>95.26112736913646</v>
      </c>
    </row>
    <row r="306" spans="1:2" x14ac:dyDescent="0.45">
      <c r="A306">
        <v>298</v>
      </c>
      <c r="B306">
        <v>104.13014755031941</v>
      </c>
    </row>
    <row r="307" spans="1:2" x14ac:dyDescent="0.45">
      <c r="A307">
        <v>299</v>
      </c>
      <c r="B307">
        <v>64.73080201036575</v>
      </c>
    </row>
    <row r="308" spans="1:2" x14ac:dyDescent="0.45">
      <c r="A308">
        <v>300</v>
      </c>
      <c r="B308">
        <v>27.967176400524739</v>
      </c>
    </row>
    <row r="309" spans="1:2" x14ac:dyDescent="0.45">
      <c r="A309">
        <v>301</v>
      </c>
      <c r="B309">
        <v>135.12253407377892</v>
      </c>
    </row>
    <row r="310" spans="1:2" x14ac:dyDescent="0.45">
      <c r="A310">
        <v>302</v>
      </c>
      <c r="B310">
        <v>63.399207838588502</v>
      </c>
    </row>
    <row r="311" spans="1:2" x14ac:dyDescent="0.45">
      <c r="A311">
        <v>303</v>
      </c>
      <c r="B311">
        <v>42.904252234251338</v>
      </c>
    </row>
    <row r="312" spans="1:2" x14ac:dyDescent="0.45">
      <c r="A312">
        <v>304</v>
      </c>
      <c r="B312">
        <v>155.27575835770517</v>
      </c>
    </row>
    <row r="313" spans="1:2" x14ac:dyDescent="0.45">
      <c r="A313">
        <v>305</v>
      </c>
      <c r="B313">
        <v>84.64878509774266</v>
      </c>
    </row>
    <row r="314" spans="1:2" x14ac:dyDescent="0.45">
      <c r="A314">
        <v>306</v>
      </c>
      <c r="B314">
        <v>22.102922931096884</v>
      </c>
    </row>
    <row r="315" spans="1:2" x14ac:dyDescent="0.45">
      <c r="A315">
        <v>307</v>
      </c>
      <c r="B315">
        <v>31.54991315891807</v>
      </c>
    </row>
    <row r="316" spans="1:2" x14ac:dyDescent="0.45">
      <c r="A316">
        <v>308</v>
      </c>
      <c r="B316">
        <v>113.88513723341421</v>
      </c>
    </row>
    <row r="317" spans="1:2" x14ac:dyDescent="0.45">
      <c r="A317">
        <v>309</v>
      </c>
      <c r="B317">
        <v>74.955914325954808</v>
      </c>
    </row>
    <row r="318" spans="1:2" x14ac:dyDescent="0.45">
      <c r="A318">
        <v>310</v>
      </c>
      <c r="B318">
        <v>169.78306689931964</v>
      </c>
    </row>
    <row r="319" spans="1:2" x14ac:dyDescent="0.45">
      <c r="A319">
        <v>311</v>
      </c>
      <c r="B319">
        <v>20.54799632066462</v>
      </c>
    </row>
    <row r="320" spans="1:2" x14ac:dyDescent="0.45">
      <c r="A320">
        <v>312</v>
      </c>
      <c r="B320">
        <v>79.480634477666939</v>
      </c>
    </row>
    <row r="321" spans="1:2" x14ac:dyDescent="0.45">
      <c r="A321">
        <v>313</v>
      </c>
      <c r="B321">
        <v>59.946284280006616</v>
      </c>
    </row>
    <row r="322" spans="1:2" x14ac:dyDescent="0.45">
      <c r="A322">
        <v>314</v>
      </c>
      <c r="B322">
        <v>60.517106450642565</v>
      </c>
    </row>
    <row r="323" spans="1:2" x14ac:dyDescent="0.45">
      <c r="A323">
        <v>315</v>
      </c>
      <c r="B323">
        <v>75.546464862694208</v>
      </c>
    </row>
    <row r="324" spans="1:2" x14ac:dyDescent="0.45">
      <c r="A324">
        <v>316</v>
      </c>
      <c r="B324">
        <v>109.23263969073629</v>
      </c>
    </row>
    <row r="325" spans="1:2" x14ac:dyDescent="0.45">
      <c r="A325">
        <v>317</v>
      </c>
      <c r="B325">
        <v>27.200682489668399</v>
      </c>
    </row>
    <row r="326" spans="1:2" x14ac:dyDescent="0.45">
      <c r="A326">
        <v>318</v>
      </c>
      <c r="B326">
        <v>38.118581125902182</v>
      </c>
    </row>
    <row r="327" spans="1:2" x14ac:dyDescent="0.45">
      <c r="A327">
        <v>319</v>
      </c>
      <c r="B327">
        <v>168.04610511247401</v>
      </c>
    </row>
    <row r="328" spans="1:2" x14ac:dyDescent="0.45">
      <c r="A328">
        <v>320</v>
      </c>
      <c r="B328">
        <v>160.07801672858784</v>
      </c>
    </row>
    <row r="329" spans="1:2" x14ac:dyDescent="0.45">
      <c r="A329">
        <v>321</v>
      </c>
      <c r="B329">
        <v>43.317324535392238</v>
      </c>
    </row>
    <row r="330" spans="1:2" x14ac:dyDescent="0.45">
      <c r="A330">
        <v>322</v>
      </c>
      <c r="B330">
        <v>20.575384310759738</v>
      </c>
    </row>
    <row r="331" spans="1:2" x14ac:dyDescent="0.45">
      <c r="A331">
        <v>323</v>
      </c>
      <c r="B331">
        <v>142.43181230790447</v>
      </c>
    </row>
    <row r="332" spans="1:2" x14ac:dyDescent="0.45">
      <c r="A332">
        <v>324</v>
      </c>
      <c r="B332">
        <v>72.630801660453983</v>
      </c>
    </row>
    <row r="333" spans="1:2" x14ac:dyDescent="0.45">
      <c r="A333">
        <v>325</v>
      </c>
      <c r="B333">
        <v>26.978809129168461</v>
      </c>
    </row>
    <row r="334" spans="1:2" x14ac:dyDescent="0.45">
      <c r="A334">
        <v>326</v>
      </c>
      <c r="B334">
        <v>30.941541192096278</v>
      </c>
    </row>
    <row r="335" spans="1:2" x14ac:dyDescent="0.45">
      <c r="A335">
        <v>327</v>
      </c>
      <c r="B335">
        <v>21.395777305734843</v>
      </c>
    </row>
    <row r="336" spans="1:2" x14ac:dyDescent="0.45">
      <c r="A336">
        <v>328</v>
      </c>
      <c r="B336">
        <v>76.193556190646035</v>
      </c>
    </row>
    <row r="337" spans="1:2" x14ac:dyDescent="0.45">
      <c r="A337">
        <v>329</v>
      </c>
      <c r="B337">
        <v>72.836097969100976</v>
      </c>
    </row>
    <row r="338" spans="1:2" x14ac:dyDescent="0.45">
      <c r="A338">
        <v>330</v>
      </c>
      <c r="B338">
        <v>93.150819125520826</v>
      </c>
    </row>
    <row r="339" spans="1:2" x14ac:dyDescent="0.45">
      <c r="A339">
        <v>331</v>
      </c>
      <c r="B339">
        <v>56.218280149371481</v>
      </c>
    </row>
    <row r="340" spans="1:2" x14ac:dyDescent="0.45">
      <c r="A340">
        <v>332</v>
      </c>
      <c r="B340">
        <v>169.69805120730061</v>
      </c>
    </row>
    <row r="341" spans="1:2" x14ac:dyDescent="0.45">
      <c r="A341">
        <v>333</v>
      </c>
      <c r="B341">
        <v>168.8635151345716</v>
      </c>
    </row>
    <row r="342" spans="1:2" x14ac:dyDescent="0.45">
      <c r="A342">
        <v>334</v>
      </c>
      <c r="B342">
        <v>58.863255685948403</v>
      </c>
    </row>
    <row r="343" spans="1:2" x14ac:dyDescent="0.45">
      <c r="A343">
        <v>335</v>
      </c>
      <c r="B343">
        <v>20.146828003657706</v>
      </c>
    </row>
    <row r="344" spans="1:2" x14ac:dyDescent="0.45">
      <c r="A344">
        <v>336</v>
      </c>
      <c r="B344">
        <v>168.99884194423049</v>
      </c>
    </row>
    <row r="345" spans="1:2" x14ac:dyDescent="0.45">
      <c r="A345">
        <v>337</v>
      </c>
      <c r="B345">
        <v>46.964842740816053</v>
      </c>
    </row>
    <row r="346" spans="1:2" x14ac:dyDescent="0.45">
      <c r="A346">
        <v>338</v>
      </c>
      <c r="B346">
        <v>81.532739637379947</v>
      </c>
    </row>
    <row r="347" spans="1:2" x14ac:dyDescent="0.45">
      <c r="A347">
        <v>339</v>
      </c>
      <c r="B347">
        <v>168.96921444198858</v>
      </c>
    </row>
    <row r="348" spans="1:2" x14ac:dyDescent="0.45">
      <c r="A348">
        <v>340</v>
      </c>
      <c r="B348">
        <v>21.344971118165542</v>
      </c>
    </row>
    <row r="349" spans="1:2" x14ac:dyDescent="0.45">
      <c r="A349">
        <v>341</v>
      </c>
      <c r="B349">
        <v>21.038066791820345</v>
      </c>
    </row>
    <row r="350" spans="1:2" x14ac:dyDescent="0.45">
      <c r="A350">
        <v>342</v>
      </c>
      <c r="B350">
        <v>28.737991460820947</v>
      </c>
    </row>
    <row r="351" spans="1:2" x14ac:dyDescent="0.45">
      <c r="A351">
        <v>343</v>
      </c>
      <c r="B351">
        <v>56.651336767234852</v>
      </c>
    </row>
    <row r="352" spans="1:2" x14ac:dyDescent="0.45">
      <c r="A352">
        <v>344</v>
      </c>
      <c r="B352">
        <v>51.524961865721984</v>
      </c>
    </row>
    <row r="353" spans="1:2" x14ac:dyDescent="0.45">
      <c r="A353">
        <v>345</v>
      </c>
      <c r="B353">
        <v>154.08473970026051</v>
      </c>
    </row>
    <row r="354" spans="1:2" x14ac:dyDescent="0.45">
      <c r="A354">
        <v>346</v>
      </c>
      <c r="B354">
        <v>107.03904431103958</v>
      </c>
    </row>
    <row r="355" spans="1:2" x14ac:dyDescent="0.45">
      <c r="A355">
        <v>347</v>
      </c>
      <c r="B355">
        <v>37.869153849483816</v>
      </c>
    </row>
    <row r="356" spans="1:2" x14ac:dyDescent="0.45">
      <c r="A356">
        <v>348</v>
      </c>
      <c r="B356">
        <v>80.759110903990774</v>
      </c>
    </row>
    <row r="357" spans="1:2" x14ac:dyDescent="0.45">
      <c r="A357">
        <v>349</v>
      </c>
      <c r="B357">
        <v>167.86830403208461</v>
      </c>
    </row>
    <row r="358" spans="1:2" x14ac:dyDescent="0.45">
      <c r="A358">
        <v>350</v>
      </c>
      <c r="B358">
        <v>148.85639773645923</v>
      </c>
    </row>
    <row r="359" spans="1:2" x14ac:dyDescent="0.45">
      <c r="A359">
        <v>351</v>
      </c>
      <c r="B359">
        <v>121.63205663640767</v>
      </c>
    </row>
    <row r="360" spans="1:2" x14ac:dyDescent="0.45">
      <c r="A360">
        <v>352</v>
      </c>
      <c r="B360">
        <v>29.273261895334169</v>
      </c>
    </row>
    <row r="361" spans="1:2" x14ac:dyDescent="0.45">
      <c r="A361">
        <v>353</v>
      </c>
      <c r="B361">
        <v>169.59386070538804</v>
      </c>
    </row>
    <row r="362" spans="1:2" x14ac:dyDescent="0.45">
      <c r="A362">
        <v>354</v>
      </c>
      <c r="B362">
        <v>48.847203287913288</v>
      </c>
    </row>
    <row r="363" spans="1:2" x14ac:dyDescent="0.45">
      <c r="A363">
        <v>355</v>
      </c>
      <c r="B363">
        <v>123.77902575599394</v>
      </c>
    </row>
    <row r="364" spans="1:2" x14ac:dyDescent="0.45">
      <c r="A364">
        <v>356</v>
      </c>
      <c r="B364">
        <v>109.05742306046785</v>
      </c>
    </row>
    <row r="365" spans="1:2" x14ac:dyDescent="0.45">
      <c r="A365">
        <v>357</v>
      </c>
      <c r="B365">
        <v>145.78661898889271</v>
      </c>
    </row>
    <row r="366" spans="1:2" x14ac:dyDescent="0.45">
      <c r="A366">
        <v>358</v>
      </c>
      <c r="B366">
        <v>123.14062703030386</v>
      </c>
    </row>
    <row r="367" spans="1:2" x14ac:dyDescent="0.45">
      <c r="A367">
        <v>359</v>
      </c>
      <c r="B367">
        <v>20.105890332269897</v>
      </c>
    </row>
    <row r="368" spans="1:2" x14ac:dyDescent="0.45">
      <c r="A368">
        <v>360</v>
      </c>
      <c r="B368">
        <v>66.259633011419041</v>
      </c>
    </row>
    <row r="369" spans="1:2" x14ac:dyDescent="0.45">
      <c r="A369">
        <v>361</v>
      </c>
      <c r="B369">
        <v>156.3863264544043</v>
      </c>
    </row>
    <row r="370" spans="1:2" x14ac:dyDescent="0.45">
      <c r="A370">
        <v>362</v>
      </c>
      <c r="B370">
        <v>92.436318144112505</v>
      </c>
    </row>
    <row r="371" spans="1:2" x14ac:dyDescent="0.45">
      <c r="A371">
        <v>363</v>
      </c>
      <c r="B371">
        <v>109.98572183289563</v>
      </c>
    </row>
    <row r="372" spans="1:2" x14ac:dyDescent="0.45">
      <c r="A372">
        <v>364</v>
      </c>
      <c r="B372">
        <v>169.13661373759928</v>
      </c>
    </row>
    <row r="373" spans="1:2" x14ac:dyDescent="0.45">
      <c r="A373">
        <v>365</v>
      </c>
      <c r="B373">
        <v>57.002766685848329</v>
      </c>
    </row>
    <row r="374" spans="1:2" x14ac:dyDescent="0.45">
      <c r="A374">
        <v>366</v>
      </c>
      <c r="B374">
        <v>67.80278673966491</v>
      </c>
    </row>
    <row r="375" spans="1:2" x14ac:dyDescent="0.45">
      <c r="A375">
        <v>367</v>
      </c>
      <c r="B375">
        <v>21.006195426265954</v>
      </c>
    </row>
    <row r="376" spans="1:2" x14ac:dyDescent="0.45">
      <c r="A376">
        <v>368</v>
      </c>
      <c r="B376">
        <v>20.719778071590927</v>
      </c>
    </row>
    <row r="377" spans="1:2" x14ac:dyDescent="0.45">
      <c r="A377">
        <v>369</v>
      </c>
      <c r="B377">
        <v>166.297381207934</v>
      </c>
    </row>
    <row r="378" spans="1:2" x14ac:dyDescent="0.45">
      <c r="A378">
        <v>370</v>
      </c>
      <c r="B378">
        <v>124.83166232726528</v>
      </c>
    </row>
    <row r="379" spans="1:2" x14ac:dyDescent="0.45">
      <c r="A379">
        <v>371</v>
      </c>
      <c r="B379">
        <v>141.69369342026562</v>
      </c>
    </row>
    <row r="380" spans="1:2" x14ac:dyDescent="0.45">
      <c r="A380">
        <v>372</v>
      </c>
      <c r="B380">
        <v>60.243317336841052</v>
      </c>
    </row>
    <row r="381" spans="1:2" x14ac:dyDescent="0.45">
      <c r="A381">
        <v>373</v>
      </c>
      <c r="B381">
        <v>158.56096768765502</v>
      </c>
    </row>
    <row r="382" spans="1:2" x14ac:dyDescent="0.45">
      <c r="A382">
        <v>374</v>
      </c>
      <c r="B382">
        <v>40.657729624309198</v>
      </c>
    </row>
    <row r="383" spans="1:2" x14ac:dyDescent="0.45">
      <c r="A383">
        <v>375</v>
      </c>
      <c r="B383">
        <v>54.731293528243071</v>
      </c>
    </row>
    <row r="384" spans="1:2" x14ac:dyDescent="0.45">
      <c r="A384">
        <v>376</v>
      </c>
      <c r="B384">
        <v>31.96951298960548</v>
      </c>
    </row>
    <row r="385" spans="1:2" x14ac:dyDescent="0.45">
      <c r="A385">
        <v>377</v>
      </c>
      <c r="B385">
        <v>28.448935886265541</v>
      </c>
    </row>
    <row r="386" spans="1:2" x14ac:dyDescent="0.45">
      <c r="A386">
        <v>378</v>
      </c>
      <c r="B386">
        <v>126.71167694993522</v>
      </c>
    </row>
    <row r="387" spans="1:2" x14ac:dyDescent="0.45">
      <c r="A387">
        <v>379</v>
      </c>
      <c r="B387">
        <v>26.468732239507084</v>
      </c>
    </row>
    <row r="388" spans="1:2" x14ac:dyDescent="0.45">
      <c r="A388">
        <v>380</v>
      </c>
      <c r="B388">
        <v>20.188993010453647</v>
      </c>
    </row>
    <row r="389" spans="1:2" x14ac:dyDescent="0.45">
      <c r="A389">
        <v>381</v>
      </c>
      <c r="B389">
        <v>97.304488862226876</v>
      </c>
    </row>
    <row r="390" spans="1:2" x14ac:dyDescent="0.45">
      <c r="A390">
        <v>382</v>
      </c>
      <c r="B390">
        <v>56.069465881420719</v>
      </c>
    </row>
    <row r="391" spans="1:2" x14ac:dyDescent="0.45">
      <c r="A391">
        <v>383</v>
      </c>
      <c r="B391">
        <v>21.474695418540808</v>
      </c>
    </row>
    <row r="392" spans="1:2" x14ac:dyDescent="0.45">
      <c r="A392">
        <v>384</v>
      </c>
      <c r="B392">
        <v>25.352420622455785</v>
      </c>
    </row>
    <row r="393" spans="1:2" x14ac:dyDescent="0.45">
      <c r="A393">
        <v>385</v>
      </c>
      <c r="B393">
        <v>169.93630234366876</v>
      </c>
    </row>
    <row r="394" spans="1:2" x14ac:dyDescent="0.45">
      <c r="A394">
        <v>386</v>
      </c>
      <c r="B394">
        <v>160.85591904172011</v>
      </c>
    </row>
    <row r="395" spans="1:2" x14ac:dyDescent="0.45">
      <c r="A395">
        <v>387</v>
      </c>
      <c r="B395">
        <v>152.82219822808659</v>
      </c>
    </row>
    <row r="396" spans="1:2" x14ac:dyDescent="0.45">
      <c r="A396">
        <v>388</v>
      </c>
      <c r="B396">
        <v>127.0230341354132</v>
      </c>
    </row>
    <row r="397" spans="1:2" x14ac:dyDescent="0.45">
      <c r="A397">
        <v>389</v>
      </c>
      <c r="B397">
        <v>21.330958273991278</v>
      </c>
    </row>
    <row r="398" spans="1:2" x14ac:dyDescent="0.45">
      <c r="A398">
        <v>390</v>
      </c>
      <c r="B398">
        <v>132.87420420442189</v>
      </c>
    </row>
    <row r="399" spans="1:2" x14ac:dyDescent="0.45">
      <c r="A399">
        <v>391</v>
      </c>
      <c r="B399">
        <v>139.2060802260616</v>
      </c>
    </row>
    <row r="400" spans="1:2" x14ac:dyDescent="0.45">
      <c r="A400">
        <v>392</v>
      </c>
      <c r="B400">
        <v>51.286353987242585</v>
      </c>
    </row>
    <row r="401" spans="1:2" x14ac:dyDescent="0.45">
      <c r="A401">
        <v>393</v>
      </c>
      <c r="B401">
        <v>111.88594232018863</v>
      </c>
    </row>
    <row r="402" spans="1:2" x14ac:dyDescent="0.45">
      <c r="A402">
        <v>394</v>
      </c>
      <c r="B402">
        <v>74.489926591925624</v>
      </c>
    </row>
    <row r="403" spans="1:2" x14ac:dyDescent="0.45">
      <c r="A403">
        <v>395</v>
      </c>
      <c r="B403">
        <v>55.616554373062563</v>
      </c>
    </row>
    <row r="404" spans="1:2" x14ac:dyDescent="0.45">
      <c r="A404">
        <v>396</v>
      </c>
      <c r="B404">
        <v>32.396877637238809</v>
      </c>
    </row>
    <row r="405" spans="1:2" x14ac:dyDescent="0.45">
      <c r="A405">
        <v>397</v>
      </c>
      <c r="B405">
        <v>52.412738521535204</v>
      </c>
    </row>
    <row r="406" spans="1:2" x14ac:dyDescent="0.45">
      <c r="A406">
        <v>398</v>
      </c>
      <c r="B406">
        <v>85.138122766838777</v>
      </c>
    </row>
    <row r="407" spans="1:2" x14ac:dyDescent="0.45">
      <c r="A407">
        <v>399</v>
      </c>
      <c r="B407">
        <v>20.372360598602615</v>
      </c>
    </row>
    <row r="408" spans="1:2" x14ac:dyDescent="0.45">
      <c r="A408">
        <v>400</v>
      </c>
      <c r="B408">
        <v>135.63338970519536</v>
      </c>
    </row>
    <row r="409" spans="1:2" x14ac:dyDescent="0.45">
      <c r="A409">
        <v>401</v>
      </c>
      <c r="B409">
        <v>32.503960025544714</v>
      </c>
    </row>
    <row r="410" spans="1:2" x14ac:dyDescent="0.45">
      <c r="A410">
        <v>402</v>
      </c>
      <c r="B410">
        <v>39.355544675799663</v>
      </c>
    </row>
    <row r="411" spans="1:2" x14ac:dyDescent="0.45">
      <c r="A411">
        <v>403</v>
      </c>
      <c r="B411">
        <v>140.75186441618109</v>
      </c>
    </row>
    <row r="412" spans="1:2" x14ac:dyDescent="0.45">
      <c r="A412">
        <v>404</v>
      </c>
      <c r="B412">
        <v>143.57936257429347</v>
      </c>
    </row>
    <row r="413" spans="1:2" x14ac:dyDescent="0.45">
      <c r="A413">
        <v>405</v>
      </c>
      <c r="B413">
        <v>50.582849141204214</v>
      </c>
    </row>
    <row r="414" spans="1:2" x14ac:dyDescent="0.45">
      <c r="A414">
        <v>406</v>
      </c>
      <c r="B414">
        <v>67.673064602407081</v>
      </c>
    </row>
    <row r="415" spans="1:2" x14ac:dyDescent="0.45">
      <c r="A415">
        <v>407</v>
      </c>
      <c r="B415">
        <v>161.4176898915849</v>
      </c>
    </row>
    <row r="416" spans="1:2" x14ac:dyDescent="0.45">
      <c r="A416">
        <v>408</v>
      </c>
      <c r="B416">
        <v>86.494796815824756</v>
      </c>
    </row>
    <row r="417" spans="1:2" x14ac:dyDescent="0.45">
      <c r="A417">
        <v>409</v>
      </c>
      <c r="B417">
        <v>134.35726734299382</v>
      </c>
    </row>
    <row r="418" spans="1:2" x14ac:dyDescent="0.45">
      <c r="A418">
        <v>410</v>
      </c>
      <c r="B418">
        <v>20.060032917133494</v>
      </c>
    </row>
    <row r="419" spans="1:2" x14ac:dyDescent="0.45">
      <c r="A419">
        <v>411</v>
      </c>
      <c r="B419">
        <v>25.625007829064263</v>
      </c>
    </row>
    <row r="420" spans="1:2" x14ac:dyDescent="0.45">
      <c r="A420">
        <v>412</v>
      </c>
      <c r="B420">
        <v>103.68789894419908</v>
      </c>
    </row>
    <row r="421" spans="1:2" x14ac:dyDescent="0.45">
      <c r="A421">
        <v>413</v>
      </c>
      <c r="B421">
        <v>44.50008244630056</v>
      </c>
    </row>
    <row r="422" spans="1:2" x14ac:dyDescent="0.45">
      <c r="A422">
        <v>414</v>
      </c>
      <c r="B422">
        <v>40.955587999004663</v>
      </c>
    </row>
    <row r="423" spans="1:2" x14ac:dyDescent="0.45">
      <c r="A423">
        <v>415</v>
      </c>
      <c r="B423">
        <v>150.50879288937631</v>
      </c>
    </row>
    <row r="424" spans="1:2" x14ac:dyDescent="0.45">
      <c r="A424">
        <v>416</v>
      </c>
      <c r="B424">
        <v>169.86945379390659</v>
      </c>
    </row>
    <row r="425" spans="1:2" x14ac:dyDescent="0.45">
      <c r="A425">
        <v>417</v>
      </c>
      <c r="B425">
        <v>28.933621210391358</v>
      </c>
    </row>
    <row r="426" spans="1:2" x14ac:dyDescent="0.45">
      <c r="A426">
        <v>418</v>
      </c>
      <c r="B426">
        <v>167.33417165730012</v>
      </c>
    </row>
    <row r="427" spans="1:2" x14ac:dyDescent="0.45">
      <c r="A427">
        <v>419</v>
      </c>
      <c r="B427">
        <v>88.294093773023491</v>
      </c>
    </row>
    <row r="428" spans="1:2" x14ac:dyDescent="0.45">
      <c r="A428">
        <v>420</v>
      </c>
      <c r="B428">
        <v>57.642400420554281</v>
      </c>
    </row>
    <row r="429" spans="1:2" x14ac:dyDescent="0.45">
      <c r="A429">
        <v>421</v>
      </c>
      <c r="B429">
        <v>46.678902770882445</v>
      </c>
    </row>
    <row r="430" spans="1:2" x14ac:dyDescent="0.45">
      <c r="A430">
        <v>422</v>
      </c>
      <c r="B430">
        <v>21.264240227361064</v>
      </c>
    </row>
    <row r="431" spans="1:2" x14ac:dyDescent="0.45">
      <c r="A431">
        <v>423</v>
      </c>
      <c r="B431">
        <v>21.771721373495414</v>
      </c>
    </row>
    <row r="432" spans="1:2" x14ac:dyDescent="0.45">
      <c r="A432">
        <v>424</v>
      </c>
      <c r="B432">
        <v>70.77171926677002</v>
      </c>
    </row>
    <row r="433" spans="1:2" x14ac:dyDescent="0.45">
      <c r="A433">
        <v>425</v>
      </c>
      <c r="B433">
        <v>24.779523435447864</v>
      </c>
    </row>
    <row r="434" spans="1:2" x14ac:dyDescent="0.45">
      <c r="A434">
        <v>426</v>
      </c>
      <c r="B434">
        <v>21.434385169342416</v>
      </c>
    </row>
    <row r="435" spans="1:2" x14ac:dyDescent="0.45">
      <c r="A435">
        <v>427</v>
      </c>
      <c r="B435">
        <v>120.05812515562307</v>
      </c>
    </row>
    <row r="436" spans="1:2" x14ac:dyDescent="0.45">
      <c r="A436">
        <v>428</v>
      </c>
      <c r="B436">
        <v>28.271952804489462</v>
      </c>
    </row>
    <row r="437" spans="1:2" x14ac:dyDescent="0.45">
      <c r="A437">
        <v>429</v>
      </c>
      <c r="B437">
        <v>53.772825440564347</v>
      </c>
    </row>
    <row r="438" spans="1:2" x14ac:dyDescent="0.45">
      <c r="A438">
        <v>430</v>
      </c>
      <c r="B438">
        <v>49.135057307210836</v>
      </c>
    </row>
    <row r="439" spans="1:2" x14ac:dyDescent="0.45">
      <c r="A439">
        <v>431</v>
      </c>
      <c r="B439">
        <v>21.678862921332342</v>
      </c>
    </row>
    <row r="440" spans="1:2" x14ac:dyDescent="0.45">
      <c r="A440">
        <v>432</v>
      </c>
      <c r="B440">
        <v>50.410329964715018</v>
      </c>
    </row>
    <row r="441" spans="1:2" x14ac:dyDescent="0.45">
      <c r="A441">
        <v>433</v>
      </c>
      <c r="B441">
        <v>147.26462788651372</v>
      </c>
    </row>
    <row r="442" spans="1:2" x14ac:dyDescent="0.45">
      <c r="A442">
        <v>434</v>
      </c>
      <c r="B442">
        <v>30.585908964916889</v>
      </c>
    </row>
    <row r="443" spans="1:2" x14ac:dyDescent="0.45">
      <c r="A443">
        <v>435</v>
      </c>
      <c r="B443">
        <v>126.25614603690192</v>
      </c>
    </row>
    <row r="444" spans="1:2" x14ac:dyDescent="0.45">
      <c r="A444">
        <v>436</v>
      </c>
      <c r="B444">
        <v>41.26404883366223</v>
      </c>
    </row>
    <row r="445" spans="1:2" x14ac:dyDescent="0.45">
      <c r="A445">
        <v>437</v>
      </c>
      <c r="B445">
        <v>147.03185314389097</v>
      </c>
    </row>
    <row r="446" spans="1:2" x14ac:dyDescent="0.45">
      <c r="A446">
        <v>438</v>
      </c>
      <c r="B446">
        <v>146.6286380177751</v>
      </c>
    </row>
    <row r="447" spans="1:2" x14ac:dyDescent="0.45">
      <c r="A447">
        <v>439</v>
      </c>
      <c r="B447">
        <v>21.370988100091505</v>
      </c>
    </row>
    <row r="448" spans="1:2" x14ac:dyDescent="0.45">
      <c r="A448">
        <v>440</v>
      </c>
      <c r="B448">
        <v>169.95564952794572</v>
      </c>
    </row>
    <row r="449" spans="1:2" x14ac:dyDescent="0.45">
      <c r="A449">
        <v>441</v>
      </c>
      <c r="B449">
        <v>20.905395735939948</v>
      </c>
    </row>
    <row r="450" spans="1:2" x14ac:dyDescent="0.45">
      <c r="A450">
        <v>442</v>
      </c>
      <c r="B450">
        <v>39.509960688121275</v>
      </c>
    </row>
    <row r="451" spans="1:2" x14ac:dyDescent="0.45">
      <c r="A451">
        <v>443</v>
      </c>
      <c r="B451">
        <v>168.63296226680603</v>
      </c>
    </row>
    <row r="452" spans="1:2" x14ac:dyDescent="0.45">
      <c r="A452">
        <v>444</v>
      </c>
      <c r="B452">
        <v>169.47249532198182</v>
      </c>
    </row>
    <row r="453" spans="1:2" x14ac:dyDescent="0.45">
      <c r="A453">
        <v>445</v>
      </c>
      <c r="B453">
        <v>28.700135380721463</v>
      </c>
    </row>
    <row r="454" spans="1:2" x14ac:dyDescent="0.45">
      <c r="A454">
        <v>446</v>
      </c>
      <c r="B454">
        <v>140.08193258395892</v>
      </c>
    </row>
    <row r="455" spans="1:2" x14ac:dyDescent="0.45">
      <c r="A455">
        <v>447</v>
      </c>
      <c r="B455">
        <v>169.81248011285297</v>
      </c>
    </row>
    <row r="456" spans="1:2" x14ac:dyDescent="0.45">
      <c r="A456">
        <v>448</v>
      </c>
      <c r="B456">
        <v>21.069210613392624</v>
      </c>
    </row>
    <row r="457" spans="1:2" x14ac:dyDescent="0.45">
      <c r="A457">
        <v>449</v>
      </c>
      <c r="B457">
        <v>148.44844428131094</v>
      </c>
    </row>
    <row r="458" spans="1:2" x14ac:dyDescent="0.45">
      <c r="A458">
        <v>450</v>
      </c>
      <c r="B458">
        <v>67.191407410468727</v>
      </c>
    </row>
    <row r="459" spans="1:2" x14ac:dyDescent="0.45">
      <c r="A459">
        <v>451</v>
      </c>
      <c r="B459">
        <v>76.836442920407109</v>
      </c>
    </row>
    <row r="460" spans="1:2" x14ac:dyDescent="0.45">
      <c r="A460">
        <v>452</v>
      </c>
      <c r="B460">
        <v>26.078135551798496</v>
      </c>
    </row>
    <row r="461" spans="1:2" x14ac:dyDescent="0.45">
      <c r="A461">
        <v>453</v>
      </c>
      <c r="B461">
        <v>20.934576189515703</v>
      </c>
    </row>
    <row r="462" spans="1:2" x14ac:dyDescent="0.45">
      <c r="A462">
        <v>454</v>
      </c>
      <c r="B462">
        <v>20.774885515228611</v>
      </c>
    </row>
    <row r="463" spans="1:2" x14ac:dyDescent="0.45">
      <c r="A463">
        <v>455</v>
      </c>
      <c r="B463">
        <v>100.12989979217367</v>
      </c>
    </row>
    <row r="464" spans="1:2" x14ac:dyDescent="0.45">
      <c r="A464">
        <v>456</v>
      </c>
      <c r="B464">
        <v>33.879894231021865</v>
      </c>
    </row>
    <row r="465" spans="1:2" x14ac:dyDescent="0.45">
      <c r="A465">
        <v>457</v>
      </c>
      <c r="B465">
        <v>144.79000547784585</v>
      </c>
    </row>
    <row r="466" spans="1:2" x14ac:dyDescent="0.45">
      <c r="A466">
        <v>458</v>
      </c>
      <c r="B466">
        <v>53.204398248992113</v>
      </c>
    </row>
    <row r="467" spans="1:2" x14ac:dyDescent="0.45">
      <c r="A467">
        <v>459</v>
      </c>
      <c r="B467">
        <v>83.0651155560316</v>
      </c>
    </row>
    <row r="468" spans="1:2" x14ac:dyDescent="0.45">
      <c r="A468">
        <v>460</v>
      </c>
      <c r="B468">
        <v>129.32714494591713</v>
      </c>
    </row>
    <row r="469" spans="1:2" x14ac:dyDescent="0.45">
      <c r="A469">
        <v>461</v>
      </c>
      <c r="B469">
        <v>155.15988413190942</v>
      </c>
    </row>
    <row r="470" spans="1:2" x14ac:dyDescent="0.45">
      <c r="A470">
        <v>462</v>
      </c>
      <c r="B470">
        <v>121.20078247593986</v>
      </c>
    </row>
    <row r="471" spans="1:2" x14ac:dyDescent="0.45">
      <c r="A471">
        <v>463</v>
      </c>
      <c r="B471">
        <v>139.91048019192615</v>
      </c>
    </row>
    <row r="472" spans="1:2" x14ac:dyDescent="0.45">
      <c r="A472">
        <v>464</v>
      </c>
      <c r="B472">
        <v>35.559827394964159</v>
      </c>
    </row>
    <row r="473" spans="1:2" x14ac:dyDescent="0.45">
      <c r="A473">
        <v>465</v>
      </c>
      <c r="B473">
        <v>21.521593692570203</v>
      </c>
    </row>
    <row r="474" spans="1:2" x14ac:dyDescent="0.45">
      <c r="A474">
        <v>466</v>
      </c>
      <c r="B474">
        <v>106.10618307370545</v>
      </c>
    </row>
    <row r="475" spans="1:2" x14ac:dyDescent="0.45">
      <c r="A475">
        <v>467</v>
      </c>
      <c r="B475">
        <v>168.78694399692367</v>
      </c>
    </row>
    <row r="476" spans="1:2" x14ac:dyDescent="0.45">
      <c r="A476">
        <v>468</v>
      </c>
      <c r="B476">
        <v>48.267597624625637</v>
      </c>
    </row>
    <row r="477" spans="1:2" x14ac:dyDescent="0.45">
      <c r="A477">
        <v>469</v>
      </c>
      <c r="B477">
        <v>155.76647034790437</v>
      </c>
    </row>
    <row r="478" spans="1:2" x14ac:dyDescent="0.45">
      <c r="A478">
        <v>470</v>
      </c>
      <c r="B478">
        <v>39.000941353059794</v>
      </c>
    </row>
    <row r="479" spans="1:2" x14ac:dyDescent="0.45">
      <c r="A479">
        <v>471</v>
      </c>
      <c r="B479">
        <v>44.661161216330953</v>
      </c>
    </row>
    <row r="480" spans="1:2" x14ac:dyDescent="0.45">
      <c r="A480">
        <v>472</v>
      </c>
      <c r="B480">
        <v>34.635299838980302</v>
      </c>
    </row>
    <row r="481" spans="1:2" x14ac:dyDescent="0.45">
      <c r="A481">
        <v>473</v>
      </c>
      <c r="B481">
        <v>57.11989443122264</v>
      </c>
    </row>
    <row r="482" spans="1:2" x14ac:dyDescent="0.45">
      <c r="A482">
        <v>474</v>
      </c>
      <c r="B482">
        <v>154.73136091905619</v>
      </c>
    </row>
    <row r="483" spans="1:2" x14ac:dyDescent="0.45">
      <c r="A483">
        <v>475</v>
      </c>
      <c r="B483">
        <v>24.966990116390459</v>
      </c>
    </row>
    <row r="484" spans="1:2" x14ac:dyDescent="0.45">
      <c r="A484">
        <v>476</v>
      </c>
      <c r="B484">
        <v>36.417560220046077</v>
      </c>
    </row>
    <row r="485" spans="1:2" x14ac:dyDescent="0.45">
      <c r="A485">
        <v>477</v>
      </c>
      <c r="B485">
        <v>146.36117772510971</v>
      </c>
    </row>
    <row r="486" spans="1:2" x14ac:dyDescent="0.45">
      <c r="A486">
        <v>478</v>
      </c>
      <c r="B486">
        <v>156.84106934464438</v>
      </c>
    </row>
    <row r="487" spans="1:2" x14ac:dyDescent="0.45">
      <c r="A487">
        <v>479</v>
      </c>
      <c r="B487">
        <v>70.183017673681789</v>
      </c>
    </row>
    <row r="488" spans="1:2" x14ac:dyDescent="0.45">
      <c r="A488">
        <v>480</v>
      </c>
      <c r="B488">
        <v>20.959238406754775</v>
      </c>
    </row>
    <row r="489" spans="1:2" x14ac:dyDescent="0.45">
      <c r="A489">
        <v>481</v>
      </c>
      <c r="B489">
        <v>20.586405240977975</v>
      </c>
    </row>
    <row r="490" spans="1:2" x14ac:dyDescent="0.45">
      <c r="A490">
        <v>482</v>
      </c>
      <c r="B490">
        <v>98.639116024878788</v>
      </c>
    </row>
    <row r="491" spans="1:2" x14ac:dyDescent="0.45">
      <c r="A491">
        <v>483</v>
      </c>
      <c r="B491">
        <v>169.09272578776657</v>
      </c>
    </row>
    <row r="492" spans="1:2" x14ac:dyDescent="0.45">
      <c r="A492">
        <v>484</v>
      </c>
      <c r="B492">
        <v>46.48957830236089</v>
      </c>
    </row>
    <row r="493" spans="1:2" x14ac:dyDescent="0.45">
      <c r="A493">
        <v>485</v>
      </c>
      <c r="B493">
        <v>168.70804932982347</v>
      </c>
    </row>
    <row r="494" spans="1:2" x14ac:dyDescent="0.45">
      <c r="A494">
        <v>486</v>
      </c>
      <c r="B494">
        <v>165.0395609101956</v>
      </c>
    </row>
    <row r="495" spans="1:2" x14ac:dyDescent="0.45">
      <c r="A495">
        <v>487</v>
      </c>
      <c r="B495">
        <v>141.24881076339952</v>
      </c>
    </row>
    <row r="496" spans="1:2" x14ac:dyDescent="0.45">
      <c r="A496">
        <v>488</v>
      </c>
      <c r="B496">
        <v>111.5052319574776</v>
      </c>
    </row>
    <row r="497" spans="1:2" x14ac:dyDescent="0.45">
      <c r="A497">
        <v>489</v>
      </c>
      <c r="B497">
        <v>89.823509165753364</v>
      </c>
    </row>
    <row r="498" spans="1:2" x14ac:dyDescent="0.45">
      <c r="A498">
        <v>490</v>
      </c>
      <c r="B498">
        <v>81.153887003748594</v>
      </c>
    </row>
    <row r="499" spans="1:2" x14ac:dyDescent="0.45">
      <c r="A499">
        <v>491</v>
      </c>
      <c r="B499">
        <v>84.279512292803688</v>
      </c>
    </row>
    <row r="500" spans="1:2" x14ac:dyDescent="0.45">
      <c r="A500">
        <v>492</v>
      </c>
      <c r="B500">
        <v>113.5489363986503</v>
      </c>
    </row>
    <row r="501" spans="1:2" x14ac:dyDescent="0.45">
      <c r="A501">
        <v>493</v>
      </c>
      <c r="B501">
        <v>77.775138904247143</v>
      </c>
    </row>
    <row r="502" spans="1:2" x14ac:dyDescent="0.45">
      <c r="A502">
        <v>494</v>
      </c>
      <c r="B502">
        <v>43.802331617062357</v>
      </c>
    </row>
    <row r="503" spans="1:2" x14ac:dyDescent="0.45">
      <c r="A503">
        <v>495</v>
      </c>
      <c r="B503">
        <v>103.00605694056516</v>
      </c>
    </row>
    <row r="504" spans="1:2" x14ac:dyDescent="0.45">
      <c r="A504">
        <v>496</v>
      </c>
      <c r="B504">
        <v>37.43421336174076</v>
      </c>
    </row>
    <row r="505" spans="1:2" x14ac:dyDescent="0.45">
      <c r="A505">
        <v>497</v>
      </c>
      <c r="B505">
        <v>38.527675379433049</v>
      </c>
    </row>
    <row r="506" spans="1:2" x14ac:dyDescent="0.45">
      <c r="A506">
        <v>498</v>
      </c>
      <c r="B506">
        <v>36.964963596092097</v>
      </c>
    </row>
    <row r="507" spans="1:2" x14ac:dyDescent="0.45">
      <c r="A507">
        <v>499</v>
      </c>
      <c r="B507">
        <v>158.09218485496476</v>
      </c>
    </row>
    <row r="508" spans="1:2" x14ac:dyDescent="0.45">
      <c r="A508">
        <v>500</v>
      </c>
      <c r="B508">
        <v>64.229197329778756</v>
      </c>
    </row>
    <row r="510" spans="1:2" x14ac:dyDescent="0.45">
      <c r="A510" t="s">
        <v>17</v>
      </c>
    </row>
    <row r="511" spans="1:2" x14ac:dyDescent="0.45">
      <c r="A511" t="s">
        <v>18</v>
      </c>
      <c r="B511" t="str">
        <f>IF(ISBLANK($B510),"",_xll.EDF(B9:B508,$B510))</f>
        <v/>
      </c>
    </row>
    <row r="512" spans="1:2" x14ac:dyDescent="0.45">
      <c r="A512" t="s">
        <v>19</v>
      </c>
    </row>
    <row r="513" spans="1:2" x14ac:dyDescent="0.45">
      <c r="A513" t="s">
        <v>20</v>
      </c>
      <c r="B513" t="str">
        <f>IF(ISBLANK($B512),"",_xll.EDF(B9:B508,$B512))</f>
        <v/>
      </c>
    </row>
    <row r="514" spans="1:2" x14ac:dyDescent="0.45">
      <c r="A514" t="s">
        <v>21</v>
      </c>
    </row>
    <row r="515" spans="1:2" x14ac:dyDescent="0.45">
      <c r="A515" t="s">
        <v>22</v>
      </c>
      <c r="B515" t="str">
        <f>IF(ISBLANK($B514),"",_xll.EDF(B9:B508,$B514))</f>
        <v/>
      </c>
    </row>
    <row r="516" spans="1:2" x14ac:dyDescent="0.45">
      <c r="A516" t="s">
        <v>23</v>
      </c>
    </row>
    <row r="517" spans="1:2" x14ac:dyDescent="0.45">
      <c r="A517" t="s">
        <v>24</v>
      </c>
      <c r="B517" t="str">
        <f>IF(ISBLANK($B516),"",_xll.EDF(B9:B508,$B516))</f>
        <v/>
      </c>
    </row>
    <row r="518" spans="1:2" x14ac:dyDescent="0.45">
      <c r="A518" t="s">
        <v>25</v>
      </c>
    </row>
    <row r="519" spans="1:2" x14ac:dyDescent="0.45">
      <c r="A519" t="s">
        <v>26</v>
      </c>
      <c r="B519" t="str">
        <f>IF(ISBLANK($B518),"",_xll.EDF(B9:B508,$B518))</f>
        <v/>
      </c>
    </row>
  </sheetData>
  <dataValidations count="1">
    <dataValidation type="list" allowBlank="1" showInputMessage="1" showErrorMessage="1" sqref="E12">
      <formula1>"Cauchy,Cosinus,Double Exp,Epanechnikov,Gaussian,Histogram,Parzen,Quartic,Semiparametric Normal (HG),Triangle,Triweight,Uniform"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14"/>
  <sheetViews>
    <sheetView tabSelected="1" topLeftCell="A14" workbookViewId="0">
      <selection activeCell="B28" sqref="B28"/>
    </sheetView>
  </sheetViews>
  <sheetFormatPr defaultRowHeight="14.25" x14ac:dyDescent="0.45"/>
  <cols>
    <col min="3" max="3" width="10.9296875" customWidth="1"/>
  </cols>
  <sheetData>
    <row r="5" spans="1:10" x14ac:dyDescent="0.45">
      <c r="B5" s="14" t="s">
        <v>0</v>
      </c>
      <c r="C5" s="14" t="s">
        <v>57</v>
      </c>
      <c r="F5" t="s">
        <v>58</v>
      </c>
    </row>
    <row r="6" spans="1:10" x14ac:dyDescent="0.45">
      <c r="A6">
        <v>1</v>
      </c>
      <c r="B6">
        <v>20</v>
      </c>
      <c r="C6">
        <f>B6</f>
        <v>20</v>
      </c>
      <c r="G6" t="str">
        <f>KDE!$B$5</f>
        <v>X</v>
      </c>
      <c r="I6" t="str">
        <f>KDE!$C$5</f>
        <v>X Histrogram</v>
      </c>
    </row>
    <row r="7" spans="1:10" x14ac:dyDescent="0.45">
      <c r="A7">
        <v>2</v>
      </c>
      <c r="B7">
        <v>25</v>
      </c>
      <c r="C7">
        <f t="shared" ref="C7:C15" si="0">B7</f>
        <v>25</v>
      </c>
      <c r="F7" t="s">
        <v>32</v>
      </c>
      <c r="G7">
        <f>MIN(KDE!$B$6:$B$15)</f>
        <v>20</v>
      </c>
      <c r="I7">
        <f>MIN(KDE!$C$6:$C$15)</f>
        <v>20</v>
      </c>
    </row>
    <row r="8" spans="1:10" x14ac:dyDescent="0.45">
      <c r="A8">
        <v>3</v>
      </c>
      <c r="B8">
        <v>30</v>
      </c>
      <c r="C8">
        <f t="shared" si="0"/>
        <v>30</v>
      </c>
      <c r="F8" t="s">
        <v>33</v>
      </c>
      <c r="G8">
        <f>MAX(KDE!$B$6:$B$15)</f>
        <v>170</v>
      </c>
      <c r="I8">
        <f>MAX(KDE!$C$6:$C$15)</f>
        <v>170</v>
      </c>
    </row>
    <row r="9" spans="1:10" ht="14.65" thickBot="1" x14ac:dyDescent="0.5">
      <c r="A9">
        <v>4</v>
      </c>
      <c r="B9">
        <v>45</v>
      </c>
      <c r="C9">
        <f t="shared" si="0"/>
        <v>45</v>
      </c>
      <c r="F9" t="s">
        <v>34</v>
      </c>
      <c r="G9">
        <f>_xll.BANDWIDTH(KDE!$B$6:$B$15)</f>
        <v>36.409647341821753</v>
      </c>
      <c r="I9">
        <f>_xll.BANDWIDTH(KDE!$C$6:$C$15)</f>
        <v>36.409647341821753</v>
      </c>
    </row>
    <row r="10" spans="1:10" ht="15" thickTop="1" thickBot="1" x14ac:dyDescent="0.5">
      <c r="A10">
        <v>5</v>
      </c>
      <c r="B10">
        <v>60</v>
      </c>
      <c r="C10">
        <f t="shared" si="0"/>
        <v>60</v>
      </c>
      <c r="F10" t="s">
        <v>35</v>
      </c>
      <c r="G10" s="16" t="s">
        <v>60</v>
      </c>
      <c r="I10" s="16" t="s">
        <v>59</v>
      </c>
    </row>
    <row r="11" spans="1:10" ht="14.65" thickTop="1" x14ac:dyDescent="0.45">
      <c r="A11">
        <v>6</v>
      </c>
      <c r="B11">
        <v>75</v>
      </c>
      <c r="C11">
        <f t="shared" si="0"/>
        <v>75</v>
      </c>
      <c r="F11" t="s">
        <v>36</v>
      </c>
      <c r="G11" s="5">
        <f>MIN(0.95, 1 - 1 / (COUNT(KDE!$B$6:$B$15) - 1))</f>
        <v>0.88888888888888884</v>
      </c>
      <c r="I11" s="5">
        <f>$G$11</f>
        <v>0.88888888888888884</v>
      </c>
    </row>
    <row r="12" spans="1:10" x14ac:dyDescent="0.45">
      <c r="A12">
        <v>7</v>
      </c>
      <c r="B12">
        <v>100</v>
      </c>
      <c r="C12">
        <f t="shared" si="0"/>
        <v>100</v>
      </c>
      <c r="F12" t="s">
        <v>37</v>
      </c>
      <c r="G12" s="6">
        <f>_xll.QUANTILE(KDE!$B$6:$B$15,(1-$G$11)/2)</f>
        <v>20.277777777777782</v>
      </c>
      <c r="H12" s="1">
        <f>_xll.PDENSITY($G$12,KDE!$B$6:$B$15,$G$9,$G$10,1)</f>
        <v>0.10341440538937641</v>
      </c>
      <c r="I12" s="6">
        <f>_xll.QUANTILE(KDE!$C$6:$C$15,(1-$I$11)/2)</f>
        <v>20.277777777777782</v>
      </c>
      <c r="J12" s="1">
        <f>_xll.PDENSITY($I$12,KDE!$C$6:$C$15,$I$9,$I$10,1)</f>
        <v>0.1</v>
      </c>
    </row>
    <row r="13" spans="1:10" x14ac:dyDescent="0.45">
      <c r="A13">
        <v>8</v>
      </c>
      <c r="B13">
        <v>130</v>
      </c>
      <c r="C13">
        <f t="shared" si="0"/>
        <v>130</v>
      </c>
      <c r="F13" t="s">
        <v>38</v>
      </c>
      <c r="G13" s="6">
        <f>AVERAGE(KDE!$B$6:$B$15)</f>
        <v>80.5</v>
      </c>
      <c r="H13" s="1">
        <f>_xll.PDENSITY($G$13,KDE!$B$6:$B$15,$G$9,$G$10,1)</f>
        <v>0.56999722622711491</v>
      </c>
      <c r="I13" s="6">
        <f>AVERAGE(KDE!$C$6:$C$15)</f>
        <v>80.5</v>
      </c>
      <c r="J13" s="1">
        <f>_xll.PDENSITY($I$13,KDE!$C$6:$C$15,$I$9,$I$10,1)</f>
        <v>0.6</v>
      </c>
    </row>
    <row r="14" spans="1:10" x14ac:dyDescent="0.45">
      <c r="A14">
        <v>9</v>
      </c>
      <c r="B14">
        <v>150</v>
      </c>
      <c r="C14">
        <f t="shared" si="0"/>
        <v>150</v>
      </c>
      <c r="F14" t="s">
        <v>39</v>
      </c>
      <c r="G14" s="1">
        <f>_xll.QUANTILE(KDE!$B$6:$B$15,1-(1-$G$11)/2)</f>
        <v>168.88888888888891</v>
      </c>
      <c r="H14" s="1">
        <f>_xll.PDENSITY($G$14,KDE!$B$6:$B$15,$G$9,$G$10,1)</f>
        <v>0.94236365721926396</v>
      </c>
      <c r="I14" s="1">
        <f>_xll.QUANTILE(KDE!$C$6:$C$15,1-(1-$I$11)/2)</f>
        <v>168.88888888888891</v>
      </c>
      <c r="J14" s="1">
        <f>_xll.PDENSITY($I$14,KDE!$C$6:$C$15,$I$9,$I$10,1)</f>
        <v>0.9</v>
      </c>
    </row>
    <row r="15" spans="1:10" x14ac:dyDescent="0.45">
      <c r="A15">
        <v>10</v>
      </c>
      <c r="B15">
        <v>170</v>
      </c>
      <c r="C15">
        <f t="shared" si="0"/>
        <v>170</v>
      </c>
      <c r="F15">
        <v>1</v>
      </c>
      <c r="G15" s="1">
        <f>$G$7</f>
        <v>20</v>
      </c>
      <c r="H15" s="15">
        <v>0</v>
      </c>
      <c r="I15" s="1">
        <f>$I$7</f>
        <v>20</v>
      </c>
      <c r="J15" s="1">
        <f>_xll.PDENSITY($I$15,KDE!$C$6:$C$15,$I$9,$I$10,1)</f>
        <v>0</v>
      </c>
    </row>
    <row r="16" spans="1:10" x14ac:dyDescent="0.45">
      <c r="F16">
        <v>2</v>
      </c>
      <c r="G16" s="6">
        <f>1/99*($G$8-$G$7)+G15</f>
        <v>21.515151515151516</v>
      </c>
      <c r="H16" s="1">
        <f>_xll.PDENSITY($G$16,KDE!$B$6:$B$15,$G$9,$G$10,1)</f>
        <v>0.11575711545003819</v>
      </c>
      <c r="I16" s="6">
        <f>1/99*($I$8-$I$7)+I15</f>
        <v>21.515151515151516</v>
      </c>
      <c r="J16" s="1">
        <f>_xll.PDENSITY($I$16,KDE!$C$6:$C$15,$I$9,$I$10,1)</f>
        <v>0.1</v>
      </c>
    </row>
    <row r="17" spans="1:10" x14ac:dyDescent="0.45">
      <c r="A17" t="s">
        <v>61</v>
      </c>
      <c r="F17">
        <v>3</v>
      </c>
      <c r="G17" s="6">
        <f>1/99*($G$8-$G$7)+G16</f>
        <v>23.030303030303031</v>
      </c>
      <c r="H17" s="1">
        <f>_xll.PDENSITY($G$17,KDE!$B$6:$B$15,$G$9,$G$10,1)</f>
        <v>0.131508370522428</v>
      </c>
      <c r="I17" s="6">
        <f>1/99*($I$8-$I$7)+I16</f>
        <v>23.030303030303031</v>
      </c>
      <c r="J17" s="1">
        <f>_xll.PDENSITY($I$17,KDE!$C$6:$C$15,$I$9,$I$10,1)</f>
        <v>0.1</v>
      </c>
    </row>
    <row r="18" spans="1:10" x14ac:dyDescent="0.45">
      <c r="A18" t="s">
        <v>62</v>
      </c>
      <c r="F18">
        <v>4</v>
      </c>
      <c r="G18" s="6">
        <f>1/99*($G$8-$G$7)+G17</f>
        <v>24.545454545454547</v>
      </c>
      <c r="H18" s="1">
        <f>_xll.PDENSITY($G$18,KDE!$B$6:$B$15,$G$9,$G$10,1)</f>
        <v>0.14779077335884647</v>
      </c>
      <c r="I18" s="6">
        <f>1/99*($I$8-$I$7)+I17</f>
        <v>24.545454545454547</v>
      </c>
      <c r="J18" s="1">
        <f>_xll.PDENSITY($I$18,KDE!$C$6:$C$15,$I$9,$I$10,1)</f>
        <v>0.1</v>
      </c>
    </row>
    <row r="19" spans="1:10" x14ac:dyDescent="0.45">
      <c r="A19" t="s">
        <v>63</v>
      </c>
      <c r="F19">
        <v>5</v>
      </c>
      <c r="G19" s="6">
        <f>1/99*($G$8-$G$7)+G18</f>
        <v>26.060606060606062</v>
      </c>
      <c r="H19" s="1">
        <f>_xll.PDENSITY($G$19,KDE!$B$6:$B$15,$G$9,$G$10,1)</f>
        <v>0.16441467005671129</v>
      </c>
      <c r="I19" s="6">
        <f>1/99*($I$8-$I$7)+I18</f>
        <v>26.060606060606062</v>
      </c>
      <c r="J19" s="1">
        <f>_xll.PDENSITY($I$19,KDE!$C$6:$C$15,$I$9,$I$10,1)</f>
        <v>0.2</v>
      </c>
    </row>
    <row r="20" spans="1:10" x14ac:dyDescent="0.45">
      <c r="A20" t="s">
        <v>64</v>
      </c>
      <c r="F20">
        <v>6</v>
      </c>
      <c r="G20" s="6">
        <f>1/99*($G$8-$G$7)+G19</f>
        <v>27.575757575757578</v>
      </c>
      <c r="H20" s="1">
        <f>_xll.PDENSITY($G$20,KDE!$B$6:$B$15,$G$9,$G$10,1)</f>
        <v>0.18119373028919999</v>
      </c>
      <c r="I20" s="6">
        <f>1/99*($I$8-$I$7)+I19</f>
        <v>27.575757575757578</v>
      </c>
      <c r="J20" s="1">
        <f>_xll.PDENSITY($I$20,KDE!$C$6:$C$15,$I$9,$I$10,1)</f>
        <v>0.2</v>
      </c>
    </row>
    <row r="21" spans="1:10" x14ac:dyDescent="0.45">
      <c r="F21">
        <v>7</v>
      </c>
      <c r="G21" s="6">
        <f>1/99*($G$8-$G$7)+G20</f>
        <v>29.090909090909093</v>
      </c>
      <c r="H21" s="1">
        <f>_xll.PDENSITY($G$21,KDE!$B$6:$B$15,$G$9,$G$10,1)</f>
        <v>0.19795823425805156</v>
      </c>
      <c r="I21" s="6">
        <f>1/99*($I$8-$I$7)+I20</f>
        <v>29.090909090909093</v>
      </c>
      <c r="J21" s="1">
        <f>_xll.PDENSITY($I$21,KDE!$C$6:$C$15,$I$9,$I$10,1)</f>
        <v>0.2</v>
      </c>
    </row>
    <row r="22" spans="1:10" x14ac:dyDescent="0.45">
      <c r="A22" t="s">
        <v>65</v>
      </c>
      <c r="F22">
        <v>8</v>
      </c>
      <c r="G22" s="6">
        <f>1/99*($G$8-$G$7)+G21</f>
        <v>30.606060606060609</v>
      </c>
      <c r="H22" s="1">
        <f>_xll.PDENSITY($G$22,KDE!$B$6:$B$15,$G$9,$G$10,1)</f>
        <v>0.21454699166472507</v>
      </c>
      <c r="I22" s="6">
        <f>1/99*($I$8-$I$7)+I21</f>
        <v>30.606060606060609</v>
      </c>
      <c r="J22" s="1">
        <f>_xll.PDENSITY($I$22,KDE!$C$6:$C$15,$I$9,$I$10,1)</f>
        <v>0.3</v>
      </c>
    </row>
    <row r="23" spans="1:10" x14ac:dyDescent="0.45">
      <c r="A23" t="s">
        <v>66</v>
      </c>
      <c r="F23">
        <v>9</v>
      </c>
      <c r="G23" s="6">
        <f>1/99*($G$8-$G$7)+G22</f>
        <v>32.121212121212125</v>
      </c>
      <c r="H23" s="1">
        <f>_xll.PDENSITY($G$23,KDE!$B$6:$B$15,$G$9,$G$10,1)</f>
        <v>0.23080813994920152</v>
      </c>
      <c r="I23" s="6">
        <f>1/99*($I$8-$I$7)+I22</f>
        <v>32.121212121212125</v>
      </c>
      <c r="J23" s="1">
        <f>_xll.PDENSITY($I$23,KDE!$C$6:$C$15,$I$9,$I$10,1)</f>
        <v>0.3</v>
      </c>
    </row>
    <row r="24" spans="1:10" x14ac:dyDescent="0.45">
      <c r="F24">
        <v>10</v>
      </c>
      <c r="G24" s="6">
        <f>1/99*($G$8-$G$7)+G23</f>
        <v>33.63636363636364</v>
      </c>
      <c r="H24" s="1">
        <f>_xll.PDENSITY($G$24,KDE!$B$6:$B$15,$G$9,$G$10,1)</f>
        <v>0.24661616442756298</v>
      </c>
      <c r="I24" s="6">
        <f>1/99*($I$8-$I$7)+I23</f>
        <v>33.63636363636364</v>
      </c>
      <c r="J24" s="1">
        <f>_xll.PDENSITY($I$24,KDE!$C$6:$C$15,$I$9,$I$10,1)</f>
        <v>0.3</v>
      </c>
    </row>
    <row r="25" spans="1:10" x14ac:dyDescent="0.45">
      <c r="A25" t="s">
        <v>67</v>
      </c>
      <c r="F25">
        <v>11</v>
      </c>
      <c r="G25" s="6">
        <f>1/99*($G$8-$G$7)+G24</f>
        <v>35.151515151515156</v>
      </c>
      <c r="H25" s="1">
        <f>_xll.PDENSITY($G$25,KDE!$B$6:$B$15,$G$9,$G$10,1)</f>
        <v>0.26187898235454315</v>
      </c>
      <c r="I25" s="6">
        <f>1/99*($I$8-$I$7)+I24</f>
        <v>35.151515151515156</v>
      </c>
      <c r="J25" s="1">
        <f>_xll.PDENSITY($I$25,KDE!$C$6:$C$15,$I$9,$I$10,1)</f>
        <v>0.3</v>
      </c>
    </row>
    <row r="26" spans="1:10" x14ac:dyDescent="0.45">
      <c r="A26" t="s">
        <v>68</v>
      </c>
      <c r="F26">
        <v>12</v>
      </c>
      <c r="G26" s="6">
        <f>1/99*($G$8-$G$7)+G25</f>
        <v>36.666666666666671</v>
      </c>
      <c r="H26" s="1">
        <f>_xll.PDENSITY($G$26,KDE!$B$6:$B$15,$G$9,$G$10,1)</f>
        <v>0.27653809838520854</v>
      </c>
      <c r="I26" s="6">
        <f>1/99*($I$8-$I$7)+I25</f>
        <v>36.666666666666671</v>
      </c>
      <c r="J26" s="1">
        <f>_xll.PDENSITY($I$26,KDE!$C$6:$C$15,$I$9,$I$10,1)</f>
        <v>0.3</v>
      </c>
    </row>
    <row r="27" spans="1:10" x14ac:dyDescent="0.45">
      <c r="F27">
        <v>13</v>
      </c>
      <c r="G27" s="6">
        <f>1/99*($G$8-$G$7)+G26</f>
        <v>38.181818181818187</v>
      </c>
      <c r="H27" s="1">
        <f>_xll.PDENSITY($G$27,KDE!$B$6:$B$15,$G$9,$G$10,1)</f>
        <v>0.29056860457495876</v>
      </c>
      <c r="I27" s="6">
        <f>1/99*($I$8-$I$7)+I26</f>
        <v>38.181818181818187</v>
      </c>
      <c r="J27" s="1">
        <f>_xll.PDENSITY($I$27,KDE!$C$6:$C$15,$I$9,$I$10,1)</f>
        <v>0.3</v>
      </c>
    </row>
    <row r="28" spans="1:10" x14ac:dyDescent="0.45">
      <c r="A28" t="s">
        <v>69</v>
      </c>
      <c r="B28">
        <f ca="1">_xll.EMP(G15:G114,H15:H114)</f>
        <v>77.400147495483992</v>
      </c>
      <c r="C28" t="str">
        <f ca="1">_xll.VFORMULA(B28)</f>
        <v>=EMP(G15:G114,H15:H114)</v>
      </c>
      <c r="F28">
        <v>14</v>
      </c>
      <c r="G28" s="6">
        <f>1/99*($G$8-$G$7)+G27</f>
        <v>39.696969696969703</v>
      </c>
      <c r="H28" s="1">
        <f>_xll.PDENSITY($G$28,KDE!$B$6:$B$15,$G$9,$G$10,1)</f>
        <v>0.30397848504337666</v>
      </c>
      <c r="I28" s="6">
        <f>1/99*($I$8-$I$7)+I27</f>
        <v>39.696969696969703</v>
      </c>
      <c r="J28" s="1">
        <f>_xll.PDENSITY($I$28,KDE!$C$6:$C$15,$I$9,$I$10,1)</f>
        <v>0.3</v>
      </c>
    </row>
    <row r="29" spans="1:10" x14ac:dyDescent="0.45">
      <c r="F29">
        <v>15</v>
      </c>
      <c r="G29" s="6">
        <f>1/99*($G$8-$G$7)+G28</f>
        <v>41.212121212121218</v>
      </c>
      <c r="H29" s="1">
        <f>_xll.PDENSITY($G$29,KDE!$B$6:$B$15,$G$9,$G$10,1)</f>
        <v>0.31680147394683195</v>
      </c>
      <c r="I29" s="6">
        <f>1/99*($I$8-$I$7)+I28</f>
        <v>41.212121212121218</v>
      </c>
      <c r="J29" s="1">
        <f>_xll.PDENSITY($I$29,KDE!$C$6:$C$15,$I$9,$I$10,1)</f>
        <v>0.3</v>
      </c>
    </row>
    <row r="30" spans="1:10" x14ac:dyDescent="0.45">
      <c r="F30">
        <v>16</v>
      </c>
      <c r="G30" s="6">
        <f>1/99*($G$8-$G$7)+G29</f>
        <v>42.727272727272734</v>
      </c>
      <c r="H30" s="1">
        <f>_xll.PDENSITY($G$30,KDE!$B$6:$B$15,$G$9,$G$10,1)</f>
        <v>0.32909071782543037</v>
      </c>
      <c r="I30" s="6">
        <f>1/99*($I$8-$I$7)+I29</f>
        <v>42.727272727272734</v>
      </c>
      <c r="J30" s="1">
        <f>_xll.PDENSITY($I$30,KDE!$C$6:$C$15,$I$9,$I$10,1)</f>
        <v>0.3</v>
      </c>
    </row>
    <row r="31" spans="1:10" x14ac:dyDescent="0.45">
      <c r="F31">
        <v>17</v>
      </c>
      <c r="G31" s="6">
        <f>1/99*($G$8-$G$7)+G30</f>
        <v>44.242424242424249</v>
      </c>
      <c r="H31" s="1">
        <f>_xll.PDENSITY($G$31,KDE!$B$6:$B$15,$G$9,$G$10,1)</f>
        <v>0.34091339452433439</v>
      </c>
      <c r="I31" s="6">
        <f>1/99*($I$8-$I$7)+I30</f>
        <v>44.242424242424249</v>
      </c>
      <c r="J31" s="1">
        <f>_xll.PDENSITY($I$31,KDE!$C$6:$C$15,$I$9,$I$10,1)</f>
        <v>0.3</v>
      </c>
    </row>
    <row r="32" spans="1:10" x14ac:dyDescent="0.45">
      <c r="F32">
        <v>18</v>
      </c>
      <c r="G32" s="6">
        <f>1/99*($G$8-$G$7)+G31</f>
        <v>45.757575757575765</v>
      </c>
      <c r="H32" s="1">
        <f>_xll.PDENSITY($G$32,KDE!$B$6:$B$15,$G$9,$G$10,1)</f>
        <v>0.35233388752118927</v>
      </c>
      <c r="I32" s="6">
        <f>1/99*($I$8-$I$7)+I31</f>
        <v>45.757575757575765</v>
      </c>
      <c r="J32" s="1">
        <f>_xll.PDENSITY($I$32,KDE!$C$6:$C$15,$I$9,$I$10,1)</f>
        <v>0.4</v>
      </c>
    </row>
    <row r="33" spans="6:10" x14ac:dyDescent="0.45">
      <c r="F33">
        <v>19</v>
      </c>
      <c r="G33" s="6">
        <f>1/99*($G$8-$G$7)+G32</f>
        <v>47.27272727272728</v>
      </c>
      <c r="H33" s="1">
        <f>_xll.PDENSITY($G$33,KDE!$B$6:$B$15,$G$9,$G$10,1)</f>
        <v>0.36340553891087224</v>
      </c>
      <c r="I33" s="6">
        <f>1/99*($I$8-$I$7)+I32</f>
        <v>47.27272727272728</v>
      </c>
      <c r="J33" s="1">
        <f>_xll.PDENSITY($I$33,KDE!$C$6:$C$15,$I$9,$I$10,1)</f>
        <v>0.4</v>
      </c>
    </row>
    <row r="34" spans="6:10" x14ac:dyDescent="0.45">
      <c r="F34">
        <v>20</v>
      </c>
      <c r="G34" s="6">
        <f>1/99*($G$8-$G$7)+G33</f>
        <v>48.787878787878796</v>
      </c>
      <c r="H34" s="1">
        <f>_xll.PDENSITY($G$34,KDE!$B$6:$B$15,$G$9,$G$10,1)</f>
        <v>0.37418550470939088</v>
      </c>
      <c r="I34" s="6">
        <f>1/99*($I$8-$I$7)+I33</f>
        <v>48.787878787878796</v>
      </c>
      <c r="J34" s="1">
        <f>_xll.PDENSITY($I$34,KDE!$C$6:$C$15,$I$9,$I$10,1)</f>
        <v>0.4</v>
      </c>
    </row>
    <row r="35" spans="6:10" x14ac:dyDescent="0.45">
      <c r="F35">
        <v>21</v>
      </c>
      <c r="G35" s="6">
        <f>1/99*($G$8-$G$7)+G34</f>
        <v>50.303030303030312</v>
      </c>
      <c r="H35" s="1">
        <f>_xll.PDENSITY($G$35,KDE!$B$6:$B$15,$G$9,$G$10,1)</f>
        <v>0.3847375915010221</v>
      </c>
      <c r="I35" s="6">
        <f>1/99*($I$8-$I$7)+I34</f>
        <v>50.303030303030312</v>
      </c>
      <c r="J35" s="1">
        <f>_xll.PDENSITY($I$35,KDE!$C$6:$C$15,$I$9,$I$10,1)</f>
        <v>0.4</v>
      </c>
    </row>
    <row r="36" spans="6:10" x14ac:dyDescent="0.45">
      <c r="F36">
        <v>22</v>
      </c>
      <c r="G36" s="6">
        <f>1/99*($G$8-$G$7)+G35</f>
        <v>51.818181818181827</v>
      </c>
      <c r="H36" s="1">
        <f>_xll.PDENSITY($G$36,KDE!$B$6:$B$15,$G$9,$G$10,1)</f>
        <v>0.39512099402549516</v>
      </c>
      <c r="I36" s="6">
        <f>1/99*($I$8-$I$7)+I35</f>
        <v>51.818181818181827</v>
      </c>
      <c r="J36" s="1">
        <f>_xll.PDENSITY($I$36,KDE!$C$6:$C$15,$I$9,$I$10,1)</f>
        <v>0.4</v>
      </c>
    </row>
    <row r="37" spans="6:10" x14ac:dyDescent="0.45">
      <c r="F37">
        <v>23</v>
      </c>
      <c r="G37" s="6">
        <f>1/99*($G$8-$G$7)+G36</f>
        <v>53.333333333333343</v>
      </c>
      <c r="H37" s="1">
        <f>_xll.PDENSITY($G$37,KDE!$B$6:$B$15,$G$9,$G$10,1)</f>
        <v>0.40538542515953868</v>
      </c>
      <c r="I37" s="6">
        <f>1/99*($I$8-$I$7)+I36</f>
        <v>53.333333333333343</v>
      </c>
      <c r="J37" s="1">
        <f>_xll.PDENSITY($I$37,KDE!$C$6:$C$15,$I$9,$I$10,1)</f>
        <v>0.4</v>
      </c>
    </row>
    <row r="38" spans="6:10" x14ac:dyDescent="0.45">
      <c r="F38">
        <v>24</v>
      </c>
      <c r="G38" s="6">
        <f>1/99*($G$8-$G$7)+G37</f>
        <v>54.848484848484858</v>
      </c>
      <c r="H38" s="1">
        <f>_xll.PDENSITY($G$38,KDE!$B$6:$B$15,$G$9,$G$10,1)</f>
        <v>0.41557100137978586</v>
      </c>
      <c r="I38" s="6">
        <f>1/99*($I$8-$I$7)+I37</f>
        <v>54.848484848484858</v>
      </c>
      <c r="J38" s="1">
        <f>_xll.PDENSITY($I$38,KDE!$C$6:$C$15,$I$9,$I$10,1)</f>
        <v>0.4</v>
      </c>
    </row>
    <row r="39" spans="6:10" x14ac:dyDescent="0.45">
      <c r="F39">
        <v>25</v>
      </c>
      <c r="G39" s="6">
        <f>1/99*($G$8-$G$7)+G38</f>
        <v>56.363636363636374</v>
      </c>
      <c r="H39" s="1">
        <f>_xll.PDENSITY($G$39,KDE!$B$6:$B$15,$G$9,$G$10,1)</f>
        <v>0.42570824276277514</v>
      </c>
      <c r="I39" s="6">
        <f>1/99*($I$8-$I$7)+I38</f>
        <v>56.363636363636374</v>
      </c>
      <c r="J39" s="1">
        <f>_xll.PDENSITY($I$39,KDE!$C$6:$C$15,$I$9,$I$10,1)</f>
        <v>0.4</v>
      </c>
    </row>
    <row r="40" spans="6:10" x14ac:dyDescent="0.45">
      <c r="F40">
        <v>26</v>
      </c>
      <c r="G40" s="6">
        <f>1/99*($G$8-$G$7)+G39</f>
        <v>57.87878787878789</v>
      </c>
      <c r="H40" s="1">
        <f>_xll.PDENSITY($G$40,KDE!$B$6:$B$15,$G$9,$G$10,1)</f>
        <v>0.4358180404920492</v>
      </c>
      <c r="I40" s="6">
        <f>1/99*($I$8-$I$7)+I39</f>
        <v>57.87878787878789</v>
      </c>
      <c r="J40" s="1">
        <f>_xll.PDENSITY($I$40,KDE!$C$6:$C$15,$I$9,$I$10,1)</f>
        <v>0.4</v>
      </c>
    </row>
    <row r="41" spans="6:10" x14ac:dyDescent="0.45">
      <c r="F41">
        <v>27</v>
      </c>
      <c r="G41" s="6">
        <f>1/99*($G$8-$G$7)+G40</f>
        <v>59.393939393939405</v>
      </c>
      <c r="H41" s="1">
        <f>_xll.PDENSITY($G$41,KDE!$B$6:$B$15,$G$9,$G$10,1)</f>
        <v>0.44590790721360252</v>
      </c>
      <c r="I41" s="6">
        <f>1/99*($I$8-$I$7)+I40</f>
        <v>59.393939393939405</v>
      </c>
      <c r="J41" s="1">
        <f>_xll.PDENSITY($I$41,KDE!$C$6:$C$15,$I$9,$I$10,1)</f>
        <v>0.4</v>
      </c>
    </row>
    <row r="42" spans="6:10" x14ac:dyDescent="0.45">
      <c r="F42">
        <v>28</v>
      </c>
      <c r="G42" s="6">
        <f>1/99*($G$8-$G$7)+G41</f>
        <v>60.909090909090921</v>
      </c>
      <c r="H42" s="1">
        <f>_xll.PDENSITY($G$42,KDE!$B$6:$B$15,$G$9,$G$10,1)</f>
        <v>0.45596345281858752</v>
      </c>
      <c r="I42" s="6">
        <f>1/99*($I$8-$I$7)+I41</f>
        <v>60.909090909090921</v>
      </c>
      <c r="J42" s="1">
        <f>_xll.PDENSITY($I$42,KDE!$C$6:$C$15,$I$9,$I$10,1)</f>
        <v>0.5</v>
      </c>
    </row>
    <row r="43" spans="6:10" x14ac:dyDescent="0.45">
      <c r="F43">
        <v>29</v>
      </c>
      <c r="G43" s="6">
        <f>1/99*($G$8-$G$7)+G42</f>
        <v>62.424242424242436</v>
      </c>
      <c r="H43" s="1">
        <f>_xll.PDENSITY($G$43,KDE!$B$6:$B$15,$G$9,$G$10,1)</f>
        <v>0.46595358118328944</v>
      </c>
      <c r="I43" s="6">
        <f>1/99*($I$8-$I$7)+I42</f>
        <v>62.424242424242436</v>
      </c>
      <c r="J43" s="1">
        <f>_xll.PDENSITY($I$43,KDE!$C$6:$C$15,$I$9,$I$10,1)</f>
        <v>0.5</v>
      </c>
    </row>
    <row r="44" spans="6:10" x14ac:dyDescent="0.45">
      <c r="F44">
        <v>30</v>
      </c>
      <c r="G44" s="6">
        <f>1/99*($G$8-$G$7)+G43</f>
        <v>63.939393939393952</v>
      </c>
      <c r="H44" s="1">
        <f>_xll.PDENSITY($G$44,KDE!$B$6:$B$15,$G$9,$G$10,1)</f>
        <v>0.4758488582550619</v>
      </c>
      <c r="I44" s="6">
        <f>1/99*($I$8-$I$7)+I43</f>
        <v>63.939393939393952</v>
      </c>
      <c r="J44" s="1">
        <f>_xll.PDENSITY($I$44,KDE!$C$6:$C$15,$I$9,$I$10,1)</f>
        <v>0.5</v>
      </c>
    </row>
    <row r="45" spans="6:10" x14ac:dyDescent="0.45">
      <c r="F45">
        <v>31</v>
      </c>
      <c r="G45" s="6">
        <f>1/99*($G$8-$G$7)+G44</f>
        <v>65.454545454545467</v>
      </c>
      <c r="H45" s="1">
        <f>_xll.PDENSITY($G$45,KDE!$B$6:$B$15,$G$9,$G$10,1)</f>
        <v>0.48562554452958961</v>
      </c>
      <c r="I45" s="6">
        <f>1/99*($I$8-$I$7)+I44</f>
        <v>65.454545454545467</v>
      </c>
      <c r="J45" s="1">
        <f>_xll.PDENSITY($I$45,KDE!$C$6:$C$15,$I$9,$I$10,1)</f>
        <v>0.5</v>
      </c>
    </row>
    <row r="46" spans="6:10" x14ac:dyDescent="0.45">
      <c r="F46">
        <v>32</v>
      </c>
      <c r="G46" s="6">
        <f>1/99*($G$8-$G$7)+G45</f>
        <v>66.969696969696983</v>
      </c>
      <c r="H46" s="1">
        <f>_xll.PDENSITY($G$46,KDE!$B$6:$B$15,$G$9,$G$10,1)</f>
        <v>0.49525741315791844</v>
      </c>
      <c r="I46" s="6">
        <f>1/99*($I$8-$I$7)+I45</f>
        <v>66.969696969696983</v>
      </c>
      <c r="J46" s="1">
        <f>_xll.PDENSITY($I$46,KDE!$C$6:$C$15,$I$9,$I$10,1)</f>
        <v>0.5</v>
      </c>
    </row>
    <row r="47" spans="6:10" x14ac:dyDescent="0.45">
      <c r="F47">
        <v>33</v>
      </c>
      <c r="G47" s="6">
        <f>1/99*($G$8-$G$7)+G46</f>
        <v>68.484848484848499</v>
      </c>
      <c r="H47" s="1">
        <f>_xll.PDENSITY($G$47,KDE!$B$6:$B$15,$G$9,$G$10,1)</f>
        <v>0.50471411388332599</v>
      </c>
      <c r="I47" s="6">
        <f>1/99*($I$8-$I$7)+I46</f>
        <v>68.484848484848499</v>
      </c>
      <c r="J47" s="1">
        <f>_xll.PDENSITY($I$47,KDE!$C$6:$C$15,$I$9,$I$10,1)</f>
        <v>0.5</v>
      </c>
    </row>
    <row r="48" spans="6:10" x14ac:dyDescent="0.45">
      <c r="F48">
        <v>34</v>
      </c>
      <c r="G48" s="6">
        <f>1/99*($G$8-$G$7)+G47</f>
        <v>70.000000000000014</v>
      </c>
      <c r="H48" s="1">
        <f>_xll.PDENSITY($G$48,KDE!$B$6:$B$15,$G$9,$G$10,1)</f>
        <v>0.51396401015310578</v>
      </c>
      <c r="I48" s="6">
        <f>1/99*($I$8-$I$7)+I47</f>
        <v>70.000000000000014</v>
      </c>
      <c r="J48" s="1">
        <f>_xll.PDENSITY($I$48,KDE!$C$6:$C$15,$I$9,$I$10,1)</f>
        <v>0.5</v>
      </c>
    </row>
    <row r="49" spans="6:10" x14ac:dyDescent="0.45">
      <c r="F49">
        <v>35</v>
      </c>
      <c r="G49" s="6">
        <f>1/99*($G$8-$G$7)+G48</f>
        <v>71.51515151515153</v>
      </c>
      <c r="H49" s="1">
        <f>_xll.PDENSITY($G$49,KDE!$B$6:$B$15,$G$9,$G$10,1)</f>
        <v>0.52297543384694345</v>
      </c>
      <c r="I49" s="6">
        <f>1/99*($I$8-$I$7)+I48</f>
        <v>71.51515151515153</v>
      </c>
      <c r="J49" s="1">
        <f>_xll.PDENSITY($I$49,KDE!$C$6:$C$15,$I$9,$I$10,1)</f>
        <v>0.5</v>
      </c>
    </row>
    <row r="50" spans="6:10" x14ac:dyDescent="0.45">
      <c r="F50">
        <v>36</v>
      </c>
      <c r="G50" s="6">
        <f>1/99*($G$8-$G$7)+G49</f>
        <v>73.030303030303045</v>
      </c>
      <c r="H50" s="1">
        <f>_xll.PDENSITY($G$50,KDE!$B$6:$B$15,$G$9,$G$10,1)</f>
        <v>0.53171671684452537</v>
      </c>
      <c r="I50" s="6">
        <f>1/99*($I$8-$I$7)+I49</f>
        <v>73.030303030303045</v>
      </c>
      <c r="J50" s="1">
        <f>_xll.PDENSITY($I$50,KDE!$C$6:$C$15,$I$9,$I$10,1)</f>
        <v>0.5</v>
      </c>
    </row>
    <row r="51" spans="6:10" x14ac:dyDescent="0.45">
      <c r="F51">
        <v>37</v>
      </c>
      <c r="G51" s="6">
        <f>1/99*($G$8-$G$7)+G50</f>
        <v>74.545454545454561</v>
      </c>
      <c r="H51" s="1">
        <f>_xll.PDENSITY($G$51,KDE!$B$6:$B$15,$G$9,$G$10,1)</f>
        <v>0.54015619102553747</v>
      </c>
      <c r="I51" s="6">
        <f>1/99*($I$8-$I$7)+I50</f>
        <v>74.545454545454561</v>
      </c>
      <c r="J51" s="1">
        <f>_xll.PDENSITY($I$51,KDE!$C$6:$C$15,$I$9,$I$10,1)</f>
        <v>0.5</v>
      </c>
    </row>
    <row r="52" spans="6:10" x14ac:dyDescent="0.45">
      <c r="F52">
        <v>38</v>
      </c>
      <c r="G52" s="6">
        <f>1/99*($G$8-$G$7)+G51</f>
        <v>76.060606060606077</v>
      </c>
      <c r="H52" s="1">
        <f>_xll.PDENSITY($G$52,KDE!$B$6:$B$15,$G$9,$G$10,1)</f>
        <v>0.54826247628162372</v>
      </c>
      <c r="I52" s="6">
        <f>1/99*($I$8-$I$7)+I51</f>
        <v>76.060606060606077</v>
      </c>
      <c r="J52" s="1">
        <f>_xll.PDENSITY($I$52,KDE!$C$6:$C$15,$I$9,$I$10,1)</f>
        <v>0.6</v>
      </c>
    </row>
    <row r="53" spans="6:10" x14ac:dyDescent="0.45">
      <c r="F53">
        <v>39</v>
      </c>
      <c r="G53" s="6">
        <f>1/99*($G$8-$G$7)+G52</f>
        <v>77.575757575757592</v>
      </c>
      <c r="H53" s="1">
        <f>_xll.PDENSITY($G$53,KDE!$B$6:$B$15,$G$9,$G$10,1)</f>
        <v>0.55601305921825106</v>
      </c>
      <c r="I53" s="6">
        <f>1/99*($I$8-$I$7)+I52</f>
        <v>77.575757575757592</v>
      </c>
      <c r="J53" s="1">
        <f>_xll.PDENSITY($I$53,KDE!$C$6:$C$15,$I$9,$I$10,1)</f>
        <v>0.6</v>
      </c>
    </row>
    <row r="54" spans="6:10" x14ac:dyDescent="0.45">
      <c r="F54">
        <v>40</v>
      </c>
      <c r="G54" s="6">
        <f>1/99*($G$8-$G$7)+G53</f>
        <v>79.090909090909108</v>
      </c>
      <c r="H54" s="1">
        <f>_xll.PDENSITY($G$54,KDE!$B$6:$B$15,$G$9,$G$10,1)</f>
        <v>0.56341073493011451</v>
      </c>
      <c r="I54" s="6">
        <f>1/99*($I$8-$I$7)+I53</f>
        <v>79.090909090909108</v>
      </c>
      <c r="J54" s="1">
        <f>_xll.PDENSITY($I$54,KDE!$C$6:$C$15,$I$9,$I$10,1)</f>
        <v>0.6</v>
      </c>
    </row>
    <row r="55" spans="6:10" x14ac:dyDescent="0.45">
      <c r="F55">
        <v>41</v>
      </c>
      <c r="G55" s="6">
        <f>1/99*($G$8-$G$7)+G54</f>
        <v>80.606060606060623</v>
      </c>
      <c r="H55" s="1">
        <f>_xll.PDENSITY($G$55,KDE!$B$6:$B$15,$G$9,$G$10,1)</f>
        <v>0.57048240737480405</v>
      </c>
      <c r="I55" s="6">
        <f>1/99*($I$8-$I$7)+I54</f>
        <v>80.606060606060623</v>
      </c>
      <c r="J55" s="1">
        <f>_xll.PDENSITY($I$55,KDE!$C$6:$C$15,$I$9,$I$10,1)</f>
        <v>0.6</v>
      </c>
    </row>
    <row r="56" spans="6:10" x14ac:dyDescent="0.45">
      <c r="F56">
        <v>42</v>
      </c>
      <c r="G56" s="6">
        <f>1/99*($G$8-$G$7)+G55</f>
        <v>82.121212121212139</v>
      </c>
      <c r="H56" s="1">
        <f>_xll.PDENSITY($G$56,KDE!$B$6:$B$15,$G$9,$G$10,1)</f>
        <v>0.57726769745731876</v>
      </c>
      <c r="I56" s="6">
        <f>1/99*($I$8-$I$7)+I55</f>
        <v>82.121212121212139</v>
      </c>
      <c r="J56" s="1">
        <f>_xll.PDENSITY($I$56,KDE!$C$6:$C$15,$I$9,$I$10,1)</f>
        <v>0.6</v>
      </c>
    </row>
    <row r="57" spans="6:10" x14ac:dyDescent="0.45">
      <c r="F57">
        <v>43</v>
      </c>
      <c r="G57" s="6">
        <f>1/99*($G$8-$G$7)+G56</f>
        <v>83.636363636363654</v>
      </c>
      <c r="H57" s="1">
        <f>_xll.PDENSITY($G$57,KDE!$B$6:$B$15,$G$9,$G$10,1)</f>
        <v>0.58381500302526002</v>
      </c>
      <c r="I57" s="6">
        <f>1/99*($I$8-$I$7)+I56</f>
        <v>83.636363636363654</v>
      </c>
      <c r="J57" s="1">
        <f>_xll.PDENSITY($I$57,KDE!$C$6:$C$15,$I$9,$I$10,1)</f>
        <v>0.6</v>
      </c>
    </row>
    <row r="58" spans="6:10" x14ac:dyDescent="0.45">
      <c r="F58">
        <v>44</v>
      </c>
      <c r="G58" s="6">
        <f>1/99*($G$8-$G$7)+G57</f>
        <v>85.15151515151517</v>
      </c>
      <c r="H58" s="1">
        <f>_xll.PDENSITY($G$58,KDE!$B$6:$B$15,$G$9,$G$10,1)</f>
        <v>0.59017379208116638</v>
      </c>
      <c r="I58" s="6">
        <f>1/99*($I$8-$I$7)+I57</f>
        <v>85.15151515151517</v>
      </c>
      <c r="J58" s="1">
        <f>_xll.PDENSITY($I$58,KDE!$C$6:$C$15,$I$9,$I$10,1)</f>
        <v>0.6</v>
      </c>
    </row>
    <row r="59" spans="6:10" x14ac:dyDescent="0.45">
      <c r="F59">
        <v>45</v>
      </c>
      <c r="G59" s="6">
        <f>1/99*($G$8-$G$7)+G58</f>
        <v>86.666666666666686</v>
      </c>
      <c r="H59" s="1">
        <f>_xll.PDENSITY($G$59,KDE!$B$6:$B$15,$G$9,$G$10,1)</f>
        <v>0.59638902199736565</v>
      </c>
      <c r="I59" s="6">
        <f>1/99*($I$8-$I$7)+I58</f>
        <v>86.666666666666686</v>
      </c>
      <c r="J59" s="1">
        <f>_xll.PDENSITY($I$59,KDE!$C$6:$C$15,$I$9,$I$10,1)</f>
        <v>0.6</v>
      </c>
    </row>
    <row r="60" spans="6:10" x14ac:dyDescent="0.45">
      <c r="F60">
        <v>46</v>
      </c>
      <c r="G60" s="6">
        <f>1/99*($G$8-$G$7)+G59</f>
        <v>88.181818181818201</v>
      </c>
      <c r="H60" s="1">
        <f>_xll.PDENSITY($G$60,KDE!$B$6:$B$15,$G$9,$G$10,1)</f>
        <v>0.60250085194613834</v>
      </c>
      <c r="I60" s="6">
        <f>1/99*($I$8-$I$7)+I59</f>
        <v>88.181818181818201</v>
      </c>
      <c r="J60" s="1">
        <f>_xll.PDENSITY($I$60,KDE!$C$6:$C$15,$I$9,$I$10,1)</f>
        <v>0.6</v>
      </c>
    </row>
    <row r="61" spans="6:10" x14ac:dyDescent="0.45">
      <c r="F61">
        <v>47</v>
      </c>
      <c r="G61" s="6">
        <f>1/99*($G$8-$G$7)+G60</f>
        <v>89.696969696969717</v>
      </c>
      <c r="H61" s="1">
        <f>_xll.PDENSITY($G$61,KDE!$B$6:$B$15,$G$9,$G$10,1)</f>
        <v>0.60854464289971677</v>
      </c>
      <c r="I61" s="6">
        <f>1/99*($I$8-$I$7)+I60</f>
        <v>89.696969696969717</v>
      </c>
      <c r="J61" s="1">
        <f>_xll.PDENSITY($I$61,KDE!$C$6:$C$15,$I$9,$I$10,1)</f>
        <v>0.6</v>
      </c>
    </row>
    <row r="62" spans="6:10" x14ac:dyDescent="0.45">
      <c r="F62">
        <v>48</v>
      </c>
      <c r="G62" s="6">
        <f>1/99*($G$8-$G$7)+G61</f>
        <v>91.212121212121232</v>
      </c>
      <c r="H62" s="1">
        <f>_xll.PDENSITY($G$62,KDE!$B$6:$B$15,$G$9,$G$10,1)</f>
        <v>0.61455095763028644</v>
      </c>
      <c r="I62" s="6">
        <f>1/99*($I$8-$I$7)+I61</f>
        <v>91.212121212121232</v>
      </c>
      <c r="J62" s="1">
        <f>_xll.PDENSITY($I$62,KDE!$C$6:$C$15,$I$9,$I$10,1)</f>
        <v>0.6</v>
      </c>
    </row>
    <row r="63" spans="6:10" x14ac:dyDescent="0.45">
      <c r="F63">
        <v>49</v>
      </c>
      <c r="G63" s="6">
        <f>1/99*($G$8-$G$7)+G62</f>
        <v>92.727272727272748</v>
      </c>
      <c r="H63" s="1">
        <f>_xll.PDENSITY($G$63,KDE!$B$6:$B$15,$G$9,$G$10,1)</f>
        <v>0.62054556070998468</v>
      </c>
      <c r="I63" s="6">
        <f>1/99*($I$8-$I$7)+I62</f>
        <v>92.727272727272748</v>
      </c>
      <c r="J63" s="1">
        <f>_xll.PDENSITY($I$63,KDE!$C$6:$C$15,$I$9,$I$10,1)</f>
        <v>0.6</v>
      </c>
    </row>
    <row r="64" spans="6:10" x14ac:dyDescent="0.45">
      <c r="F64">
        <v>50</v>
      </c>
      <c r="G64" s="6">
        <f>1/99*($G$8-$G$7)+G63</f>
        <v>94.242424242424264</v>
      </c>
      <c r="H64" s="1">
        <f>_xll.PDENSITY($G$64,KDE!$B$6:$B$15,$G$9,$G$10,1)</f>
        <v>0.62654924948640578</v>
      </c>
      <c r="I64" s="6">
        <f>1/99*($I$8-$I$7)+I63</f>
        <v>94.242424242424264</v>
      </c>
      <c r="J64" s="1">
        <f>_xll.PDENSITY($I$64,KDE!$C$6:$C$15,$I$9,$I$10,1)</f>
        <v>0.6</v>
      </c>
    </row>
    <row r="65" spans="6:10" x14ac:dyDescent="0.45">
      <c r="F65">
        <v>51</v>
      </c>
      <c r="G65" s="6">
        <f>1/99*($G$8-$G$7)+G64</f>
        <v>95.757575757575779</v>
      </c>
      <c r="H65" s="1">
        <f>_xll.PDENSITY($G$65,KDE!$B$6:$B$15,$G$9,$G$10,1)</f>
        <v>0.63257309234280101</v>
      </c>
      <c r="I65" s="6">
        <f>1/99*($I$8-$I$7)+I64</f>
        <v>95.757575757575779</v>
      </c>
      <c r="J65" s="1">
        <f>_xll.PDENSITY($I$65,KDE!$C$6:$C$15,$I$9,$I$10,1)</f>
        <v>0.6</v>
      </c>
    </row>
    <row r="66" spans="6:10" x14ac:dyDescent="0.45">
      <c r="F66">
        <v>52</v>
      </c>
      <c r="G66" s="6">
        <f>1/99*($G$8-$G$7)+G65</f>
        <v>97.272727272727295</v>
      </c>
      <c r="H66" s="1">
        <f>_xll.PDENSITY($G$66,KDE!$B$6:$B$15,$G$9,$G$10,1)</f>
        <v>0.63861021760293335</v>
      </c>
      <c r="I66" s="6">
        <f>1/99*($I$8-$I$7)+I65</f>
        <v>97.272727272727295</v>
      </c>
      <c r="J66" s="1">
        <f>_xll.PDENSITY($I$66,KDE!$C$6:$C$15,$I$9,$I$10,1)</f>
        <v>0.6</v>
      </c>
    </row>
    <row r="67" spans="6:10" x14ac:dyDescent="0.45">
      <c r="F67">
        <v>53</v>
      </c>
      <c r="G67" s="6">
        <f>1/99*($G$8-$G$7)+G66</f>
        <v>98.78787878787881</v>
      </c>
      <c r="H67" s="1">
        <f>_xll.PDENSITY($G$67,KDE!$B$6:$B$15,$G$9,$G$10,1)</f>
        <v>0.64463567698813118</v>
      </c>
      <c r="I67" s="6">
        <f>1/99*($I$8-$I$7)+I66</f>
        <v>98.78787878787881</v>
      </c>
      <c r="J67" s="1">
        <f>_xll.PDENSITY($I$67,KDE!$C$6:$C$15,$I$9,$I$10,1)</f>
        <v>0.6</v>
      </c>
    </row>
    <row r="68" spans="6:10" x14ac:dyDescent="0.45">
      <c r="F68">
        <v>54</v>
      </c>
      <c r="G68" s="6">
        <f>1/99*($G$8-$G$7)+G67</f>
        <v>100.30303030303033</v>
      </c>
      <c r="H68" s="1">
        <f>_xll.PDENSITY($G$68,KDE!$B$6:$B$15,$G$9,$G$10,1)</f>
        <v>0.65060932010381223</v>
      </c>
      <c r="I68" s="6">
        <f>1/99*($I$8-$I$7)+I67</f>
        <v>100.30303030303033</v>
      </c>
      <c r="J68" s="1">
        <f>_xll.PDENSITY($I$68,KDE!$C$6:$C$15,$I$9,$I$10,1)</f>
        <v>0.7</v>
      </c>
    </row>
    <row r="69" spans="6:10" x14ac:dyDescent="0.45">
      <c r="F69">
        <v>55</v>
      </c>
      <c r="G69" s="6">
        <f>1/99*($G$8-$G$7)+G68</f>
        <v>101.81818181818184</v>
      </c>
      <c r="H69" s="1">
        <f>_xll.PDENSITY($G$69,KDE!$B$6:$B$15,$G$9,$G$10,1)</f>
        <v>0.65647907480661805</v>
      </c>
      <c r="I69" s="6">
        <f>1/99*($I$8-$I$7)+I68</f>
        <v>101.81818181818184</v>
      </c>
      <c r="J69" s="1">
        <f>_xll.PDENSITY($I$69,KDE!$C$6:$C$15,$I$9,$I$10,1)</f>
        <v>0.7</v>
      </c>
    </row>
    <row r="70" spans="6:10" x14ac:dyDescent="0.45">
      <c r="F70">
        <v>56</v>
      </c>
      <c r="G70" s="6">
        <f>1/99*($G$8-$G$7)+G69</f>
        <v>103.33333333333336</v>
      </c>
      <c r="H70" s="1">
        <f>_xll.PDENSITY($G$70,KDE!$B$6:$B$15,$G$9,$G$10,1)</f>
        <v>0.66219663649986749</v>
      </c>
      <c r="I70" s="6">
        <f>1/99*($I$8-$I$7)+I69</f>
        <v>103.33333333333336</v>
      </c>
      <c r="J70" s="1">
        <f>_xll.PDENSITY($I$70,KDE!$C$6:$C$15,$I$9,$I$10,1)</f>
        <v>0.7</v>
      </c>
    </row>
    <row r="71" spans="6:10" x14ac:dyDescent="0.45">
      <c r="F71">
        <v>57</v>
      </c>
      <c r="G71" s="6">
        <f>1/99*($G$8-$G$7)+G70</f>
        <v>104.84848484848487</v>
      </c>
      <c r="H71" s="1">
        <f>_xll.PDENSITY($G$71,KDE!$B$6:$B$15,$G$9,$G$10,1)</f>
        <v>0.66772760385133756</v>
      </c>
      <c r="I71" s="6">
        <f>1/99*($I$8-$I$7)+I70</f>
        <v>104.84848484848487</v>
      </c>
      <c r="J71" s="1">
        <f>_xll.PDENSITY($I$71,KDE!$C$6:$C$15,$I$9,$I$10,1)</f>
        <v>0.7</v>
      </c>
    </row>
    <row r="72" spans="6:10" x14ac:dyDescent="0.45">
      <c r="F72">
        <v>58</v>
      </c>
      <c r="G72" s="6">
        <f>1/99*($G$8-$G$7)+G71</f>
        <v>106.36363636363639</v>
      </c>
      <c r="H72" s="1">
        <f>_xll.PDENSITY($G$72,KDE!$B$6:$B$15,$G$9,$G$10,1)</f>
        <v>0.67305197012894769</v>
      </c>
      <c r="I72" s="6">
        <f>1/99*($I$8-$I$7)+I71</f>
        <v>106.36363636363639</v>
      </c>
      <c r="J72" s="1">
        <f>_xll.PDENSITY($I$72,KDE!$C$6:$C$15,$I$9,$I$10,1)</f>
        <v>0.7</v>
      </c>
    </row>
    <row r="73" spans="6:10" x14ac:dyDescent="0.45">
      <c r="F73">
        <v>59</v>
      </c>
      <c r="G73" s="6">
        <f>1/99*($G$8-$G$7)+G72</f>
        <v>107.8787878787879</v>
      </c>
      <c r="H73" s="1">
        <f>_xll.PDENSITY($G$73,KDE!$B$6:$B$15,$G$9,$G$10,1)</f>
        <v>0.67816412320076014</v>
      </c>
      <c r="I73" s="6">
        <f>1/99*($I$8-$I$7)+I72</f>
        <v>107.8787878787879</v>
      </c>
      <c r="J73" s="1">
        <f>_xll.PDENSITY($I$73,KDE!$C$6:$C$15,$I$9,$I$10,1)</f>
        <v>0.7</v>
      </c>
    </row>
    <row r="74" spans="6:10" x14ac:dyDescent="0.45">
      <c r="F74">
        <v>60</v>
      </c>
      <c r="G74" s="6">
        <f>1/99*($G$8-$G$7)+G73</f>
        <v>109.39393939393942</v>
      </c>
      <c r="H74" s="1">
        <f>_xll.PDENSITY($G$74,KDE!$B$6:$B$15,$G$9,$G$10,1)</f>
        <v>0.68307284553497971</v>
      </c>
      <c r="I74" s="6">
        <f>1/99*($I$8-$I$7)+I73</f>
        <v>109.39393939393942</v>
      </c>
      <c r="J74" s="1">
        <f>_xll.PDENSITY($I$74,KDE!$C$6:$C$15,$I$9,$I$10,1)</f>
        <v>0.7</v>
      </c>
    </row>
    <row r="75" spans="6:10" x14ac:dyDescent="0.45">
      <c r="F75">
        <v>61</v>
      </c>
      <c r="G75" s="6">
        <f>1/99*($G$8-$G$7)+G74</f>
        <v>110.90909090909093</v>
      </c>
      <c r="H75" s="1">
        <f>_xll.PDENSITY($G$75,KDE!$B$6:$B$15,$G$9,$G$10,1)</f>
        <v>0.68780131419995438</v>
      </c>
      <c r="I75" s="6">
        <f>1/99*($I$8-$I$7)+I74</f>
        <v>110.90909090909093</v>
      </c>
      <c r="J75" s="1">
        <f>_xll.PDENSITY($I$75,KDE!$C$6:$C$15,$I$9,$I$10,1)</f>
        <v>0.7</v>
      </c>
    </row>
    <row r="76" spans="6:10" x14ac:dyDescent="0.45">
      <c r="F76">
        <v>62</v>
      </c>
      <c r="G76" s="6">
        <f>1/99*($G$8-$G$7)+G75</f>
        <v>112.42424242424245</v>
      </c>
      <c r="H76" s="1">
        <f>_xll.PDENSITY($G$76,KDE!$B$6:$B$15,$G$9,$G$10,1)</f>
        <v>0.69238711730077396</v>
      </c>
      <c r="I76" s="6">
        <f>1/99*($I$8-$I$7)+I75</f>
        <v>112.42424242424245</v>
      </c>
      <c r="J76" s="1">
        <f>_xll.PDENSITY($I$76,KDE!$C$6:$C$15,$I$9,$I$10,1)</f>
        <v>0.7</v>
      </c>
    </row>
    <row r="77" spans="6:10" x14ac:dyDescent="0.45">
      <c r="F77">
        <v>63</v>
      </c>
      <c r="G77" s="6">
        <f>1/99*($G$8-$G$7)+G76</f>
        <v>113.93939393939397</v>
      </c>
      <c r="H77" s="1">
        <f>_xll.PDENSITY($G$77,KDE!$B$6:$B$15,$G$9,$G$10,1)</f>
        <v>0.69688051841549536</v>
      </c>
      <c r="I77" s="6">
        <f>1/99*($I$8-$I$7)+I76</f>
        <v>113.93939393939397</v>
      </c>
      <c r="J77" s="1">
        <f>_xll.PDENSITY($I$77,KDE!$C$6:$C$15,$I$9,$I$10,1)</f>
        <v>0.7</v>
      </c>
    </row>
    <row r="78" spans="6:10" x14ac:dyDescent="0.45">
      <c r="F78">
        <v>64</v>
      </c>
      <c r="G78" s="6">
        <f>1/99*($G$8-$G$7)+G77</f>
        <v>115.45454545454548</v>
      </c>
      <c r="H78" s="1">
        <f>_xll.PDENSITY($G$78,KDE!$B$6:$B$15,$G$9,$G$10,1)</f>
        <v>0.70133629090747385</v>
      </c>
      <c r="I78" s="6">
        <f>1/99*($I$8-$I$7)+I77</f>
        <v>115.45454545454548</v>
      </c>
      <c r="J78" s="1">
        <f>_xll.PDENSITY($I$78,KDE!$C$6:$C$15,$I$9,$I$10,1)</f>
        <v>0.7</v>
      </c>
    </row>
    <row r="79" spans="6:10" x14ac:dyDescent="0.45">
      <c r="F79">
        <v>65</v>
      </c>
      <c r="G79" s="6">
        <f>1/99*($G$8-$G$7)+G78</f>
        <v>116.969696969697</v>
      </c>
      <c r="H79" s="1">
        <f>_xll.PDENSITY($G$79,KDE!$B$6:$B$15,$G$9,$G$10,1)</f>
        <v>0.70581241743490186</v>
      </c>
      <c r="I79" s="6">
        <f>1/99*($I$8-$I$7)+I78</f>
        <v>116.969696969697</v>
      </c>
      <c r="J79" s="1">
        <f>_xll.PDENSITY($I$79,KDE!$C$6:$C$15,$I$9,$I$10,1)</f>
        <v>0.7</v>
      </c>
    </row>
    <row r="80" spans="6:10" x14ac:dyDescent="0.45">
      <c r="F80">
        <v>66</v>
      </c>
      <c r="G80" s="6">
        <f>1/99*($G$8-$G$7)+G79</f>
        <v>118.48484848484851</v>
      </c>
      <c r="H80" s="1">
        <f>_xll.PDENSITY($G$80,KDE!$B$6:$B$15,$G$9,$G$10,1)</f>
        <v>0.7103716077772676</v>
      </c>
      <c r="I80" s="6">
        <f>1/99*($I$8-$I$7)+I79</f>
        <v>118.48484848484851</v>
      </c>
      <c r="J80" s="1">
        <f>_xll.PDENSITY($I$80,KDE!$C$6:$C$15,$I$9,$I$10,1)</f>
        <v>0.7</v>
      </c>
    </row>
    <row r="81" spans="6:10" x14ac:dyDescent="0.45">
      <c r="F81">
        <v>67</v>
      </c>
      <c r="G81" s="6">
        <f>1/99*($G$8-$G$7)+G80</f>
        <v>120.00000000000003</v>
      </c>
      <c r="H81" s="1">
        <f>_xll.PDENSITY($G$81,KDE!$B$6:$B$15,$G$9,$G$10,1)</f>
        <v>0.71507979773659247</v>
      </c>
      <c r="I81" s="6">
        <f>1/99*($I$8-$I$7)+I80</f>
        <v>120.00000000000003</v>
      </c>
      <c r="J81" s="1">
        <f>_xll.PDENSITY($I$81,KDE!$C$6:$C$15,$I$9,$I$10,1)</f>
        <v>0.7</v>
      </c>
    </row>
    <row r="82" spans="6:10" x14ac:dyDescent="0.45">
      <c r="F82">
        <v>68</v>
      </c>
      <c r="G82" s="6">
        <f>1/99*($G$8-$G$7)+G81</f>
        <v>121.51515151515154</v>
      </c>
      <c r="H82" s="1">
        <f>_xll.PDENSITY($G$82,KDE!$B$6:$B$15,$G$9,$G$10,1)</f>
        <v>0.71999579773997746</v>
      </c>
      <c r="I82" s="6">
        <f>1/99*($I$8-$I$7)+I81</f>
        <v>121.51515151515154</v>
      </c>
      <c r="J82" s="1">
        <f>_xll.PDENSITY($I$82,KDE!$C$6:$C$15,$I$9,$I$10,1)</f>
        <v>0.7</v>
      </c>
    </row>
    <row r="83" spans="6:10" x14ac:dyDescent="0.45">
      <c r="F83">
        <v>69</v>
      </c>
      <c r="G83" s="6">
        <f>1/99*($G$8-$G$7)+G82</f>
        <v>123.03030303030306</v>
      </c>
      <c r="H83" s="1">
        <f>_xll.PDENSITY($G$83,KDE!$B$6:$B$15,$G$9,$G$10,1)</f>
        <v>0.72516437675598422</v>
      </c>
      <c r="I83" s="6">
        <f>1/99*($I$8-$I$7)+I82</f>
        <v>123.03030303030306</v>
      </c>
      <c r="J83" s="1">
        <f>_xll.PDENSITY($I$83,KDE!$C$6:$C$15,$I$9,$I$10,1)</f>
        <v>0.7</v>
      </c>
    </row>
    <row r="84" spans="6:10" x14ac:dyDescent="0.45">
      <c r="F84">
        <v>70</v>
      </c>
      <c r="G84" s="6">
        <f>1/99*($G$8-$G$7)+G83</f>
        <v>124.54545454545458</v>
      </c>
      <c r="H84" s="1">
        <f>_xll.PDENSITY($G$84,KDE!$B$6:$B$15,$G$9,$G$10,1)</f>
        <v>0.73061590915303176</v>
      </c>
      <c r="I84" s="6">
        <f>1/99*($I$8-$I$7)+I83</f>
        <v>124.54545454545458</v>
      </c>
      <c r="J84" s="1">
        <f>_xll.PDENSITY($I$84,KDE!$C$6:$C$15,$I$9,$I$10,1)</f>
        <v>0.7</v>
      </c>
    </row>
    <row r="85" spans="6:10" x14ac:dyDescent="0.45">
      <c r="F85">
        <v>71</v>
      </c>
      <c r="G85" s="6">
        <f>1/99*($G$8-$G$7)+G84</f>
        <v>126.06060606060609</v>
      </c>
      <c r="H85" s="1">
        <f>_xll.PDENSITY($G$85,KDE!$B$6:$B$15,$G$9,$G$10,1)</f>
        <v>0.73636637469939625</v>
      </c>
      <c r="I85" s="6">
        <f>1/99*($I$8-$I$7)+I84</f>
        <v>126.06060606060609</v>
      </c>
      <c r="J85" s="1">
        <f>_xll.PDENSITY($I$85,KDE!$C$6:$C$15,$I$9,$I$10,1)</f>
        <v>0.7</v>
      </c>
    </row>
    <row r="86" spans="6:10" x14ac:dyDescent="0.45">
      <c r="F86">
        <v>72</v>
      </c>
      <c r="G86" s="6">
        <f>1/99*($G$8-$G$7)+G85</f>
        <v>127.57575757575761</v>
      </c>
      <c r="H86" s="1">
        <f>_xll.PDENSITY($G$86,KDE!$B$6:$B$15,$G$9,$G$10,1)</f>
        <v>0.74241735856321134</v>
      </c>
      <c r="I86" s="6">
        <f>1/99*($I$8-$I$7)+I85</f>
        <v>127.57575757575761</v>
      </c>
      <c r="J86" s="1">
        <f>_xll.PDENSITY($I$86,KDE!$C$6:$C$15,$I$9,$I$10,1)</f>
        <v>0.7</v>
      </c>
    </row>
    <row r="87" spans="6:10" x14ac:dyDescent="0.45">
      <c r="F87">
        <v>73</v>
      </c>
      <c r="G87" s="6">
        <f>1/99*($G$8-$G$7)+G86</f>
        <v>129.09090909090912</v>
      </c>
      <c r="H87" s="1">
        <f>_xll.PDENSITY($G$87,KDE!$B$6:$B$15,$G$9,$G$10,1)</f>
        <v>0.74875605131246781</v>
      </c>
      <c r="I87" s="6">
        <f>1/99*($I$8-$I$7)+I86</f>
        <v>129.09090909090912</v>
      </c>
      <c r="J87" s="1">
        <f>_xll.PDENSITY($I$87,KDE!$C$6:$C$15,$I$9,$I$10,1)</f>
        <v>0.7</v>
      </c>
    </row>
    <row r="88" spans="6:10" x14ac:dyDescent="0.45">
      <c r="F88">
        <v>74</v>
      </c>
      <c r="G88" s="6">
        <f>1/99*($G$8-$G$7)+G87</f>
        <v>130.60606060606062</v>
      </c>
      <c r="H88" s="1">
        <f>_xll.PDENSITY($G$88,KDE!$B$6:$B$15,$G$9,$G$10,1)</f>
        <v>0.75535527962349414</v>
      </c>
      <c r="I88" s="6">
        <f>1/99*($I$8-$I$7)+I87</f>
        <v>130.60606060606062</v>
      </c>
      <c r="J88" s="1">
        <f>_xll.PDENSITY($I$88,KDE!$C$6:$C$15,$I$9,$I$10,1)</f>
        <v>0.8</v>
      </c>
    </row>
    <row r="89" spans="6:10" x14ac:dyDescent="0.45">
      <c r="F89">
        <v>75</v>
      </c>
      <c r="G89" s="6">
        <f>1/99*($G$8-$G$7)+G88</f>
        <v>132.12121212121212</v>
      </c>
      <c r="H89" s="1">
        <f>_xll.PDENSITY($G$89,KDE!$B$6:$B$15,$G$9,$G$10,1)</f>
        <v>0.7621779592152762</v>
      </c>
      <c r="I89" s="6">
        <f>1/99*($I$8-$I$7)+I88</f>
        <v>132.12121212121212</v>
      </c>
      <c r="J89" s="1">
        <f>_xll.PDENSITY($I$89,KDE!$C$6:$C$15,$I$9,$I$10,1)</f>
        <v>0.8</v>
      </c>
    </row>
    <row r="90" spans="6:10" x14ac:dyDescent="0.45">
      <c r="F90">
        <v>76</v>
      </c>
      <c r="G90" s="6">
        <f>1/99*($G$8-$G$7)+G89</f>
        <v>133.63636363636363</v>
      </c>
      <c r="H90" s="1">
        <f>_xll.PDENSITY($G$90,KDE!$B$6:$B$15,$G$9,$G$10,1)</f>
        <v>0.76919242394909459</v>
      </c>
      <c r="I90" s="6">
        <f>1/99*($I$8-$I$7)+I89</f>
        <v>133.63636363636363</v>
      </c>
      <c r="J90" s="1">
        <f>_xll.PDENSITY($I$90,KDE!$C$6:$C$15,$I$9,$I$10,1)</f>
        <v>0.8</v>
      </c>
    </row>
    <row r="91" spans="6:10" x14ac:dyDescent="0.45">
      <c r="F91">
        <v>77</v>
      </c>
      <c r="G91" s="6">
        <f>1/99*($G$8-$G$7)+G90</f>
        <v>135.15151515151513</v>
      </c>
      <c r="H91" s="1">
        <f>_xll.PDENSITY($G$91,KDE!$B$6:$B$15,$G$9,$G$10,1)</f>
        <v>0.77636918104582187</v>
      </c>
      <c r="I91" s="6">
        <f>1/99*($I$8-$I$7)+I90</f>
        <v>135.15151515151513</v>
      </c>
      <c r="J91" s="1">
        <f>_xll.PDENSITY($I$91,KDE!$C$6:$C$15,$I$9,$I$10,1)</f>
        <v>0.8</v>
      </c>
    </row>
    <row r="92" spans="6:10" x14ac:dyDescent="0.45">
      <c r="F92">
        <v>78</v>
      </c>
      <c r="G92" s="6">
        <f>1/99*($G$8-$G$7)+G91</f>
        <v>136.66666666666663</v>
      </c>
      <c r="H92" s="1">
        <f>_xll.PDENSITY($G$92,KDE!$B$6:$B$15,$G$9,$G$10,1)</f>
        <v>0.78367673927496484</v>
      </c>
      <c r="I92" s="6">
        <f>1/99*($I$8-$I$7)+I91</f>
        <v>136.66666666666663</v>
      </c>
      <c r="J92" s="1">
        <f>_xll.PDENSITY($I$92,KDE!$C$6:$C$15,$I$9,$I$10,1)</f>
        <v>0.8</v>
      </c>
    </row>
    <row r="93" spans="6:10" x14ac:dyDescent="0.45">
      <c r="F93">
        <v>79</v>
      </c>
      <c r="G93" s="6">
        <f>1/99*($G$8-$G$7)+G92</f>
        <v>138.18181818181813</v>
      </c>
      <c r="H93" s="1">
        <f>_xll.PDENSITY($G$93,KDE!$B$6:$B$15,$G$9,$G$10,1)</f>
        <v>0.79108380418633995</v>
      </c>
      <c r="I93" s="6">
        <f>1/99*($I$8-$I$7)+I92</f>
        <v>138.18181818181813</v>
      </c>
      <c r="J93" s="1">
        <f>_xll.PDENSITY($I$93,KDE!$C$6:$C$15,$I$9,$I$10,1)</f>
        <v>0.8</v>
      </c>
    </row>
    <row r="94" spans="6:10" x14ac:dyDescent="0.45">
      <c r="F94">
        <v>80</v>
      </c>
      <c r="G94" s="6">
        <f>1/99*($G$8-$G$7)+G93</f>
        <v>139.69696969696963</v>
      </c>
      <c r="H94" s="1">
        <f>_xll.PDENSITY($G$94,KDE!$B$6:$B$15,$G$9,$G$10,1)</f>
        <v>0.79856201574063379</v>
      </c>
      <c r="I94" s="6">
        <f>1/99*($I$8-$I$7)+I93</f>
        <v>139.69696969696963</v>
      </c>
      <c r="J94" s="1">
        <f>_xll.PDENSITY($I$94,KDE!$C$6:$C$15,$I$9,$I$10,1)</f>
        <v>0.8</v>
      </c>
    </row>
    <row r="95" spans="6:10" x14ac:dyDescent="0.45">
      <c r="F95">
        <v>81</v>
      </c>
      <c r="G95" s="6">
        <f>1/99*($G$8-$G$7)+G94</f>
        <v>141.21212121212113</v>
      </c>
      <c r="H95" s="1">
        <f>_xll.PDENSITY($G$95,KDE!$B$6:$B$15,$G$9,$G$10,1)</f>
        <v>0.806087717049494</v>
      </c>
      <c r="I95" s="6">
        <f>1/99*($I$8-$I$7)+I94</f>
        <v>141.21212121212113</v>
      </c>
      <c r="J95" s="1">
        <f>_xll.PDENSITY($I$95,KDE!$C$6:$C$15,$I$9,$I$10,1)</f>
        <v>0.8</v>
      </c>
    </row>
    <row r="96" spans="6:10" x14ac:dyDescent="0.45">
      <c r="F96">
        <v>82</v>
      </c>
      <c r="G96" s="6">
        <f>1/99*($G$8-$G$7)+G95</f>
        <v>142.72727272727263</v>
      </c>
      <c r="H96" s="1">
        <f>_xll.PDENSITY($G$96,KDE!$B$6:$B$15,$G$9,$G$10,1)</f>
        <v>0.81364204942461593</v>
      </c>
      <c r="I96" s="6">
        <f>1/99*($I$8-$I$7)+I95</f>
        <v>142.72727272727263</v>
      </c>
      <c r="J96" s="1">
        <f>_xll.PDENSITY($I$96,KDE!$C$6:$C$15,$I$9,$I$10,1)</f>
        <v>0.8</v>
      </c>
    </row>
    <row r="97" spans="6:10" x14ac:dyDescent="0.45">
      <c r="F97">
        <v>83</v>
      </c>
      <c r="G97" s="6">
        <f>1/99*($G$8-$G$7)+G96</f>
        <v>144.24242424242414</v>
      </c>
      <c r="H97" s="1">
        <f>_xll.PDENSITY($G$97,KDE!$B$6:$B$15,$G$9,$G$10,1)</f>
        <v>0.82121095237774233</v>
      </c>
      <c r="I97" s="6">
        <f>1/99*($I$8-$I$7)+I96</f>
        <v>144.24242424242414</v>
      </c>
      <c r="J97" s="1">
        <f>_xll.PDENSITY($I$97,KDE!$C$6:$C$15,$I$9,$I$10,1)</f>
        <v>0.8</v>
      </c>
    </row>
    <row r="98" spans="6:10" x14ac:dyDescent="0.45">
      <c r="F98">
        <v>84</v>
      </c>
      <c r="G98" s="6">
        <f>1/99*($G$8-$G$7)+G97</f>
        <v>145.75757575757564</v>
      </c>
      <c r="H98" s="1">
        <f>_xll.PDENSITY($G$98,KDE!$B$6:$B$15,$G$9,$G$10,1)</f>
        <v>0.82878516362066323</v>
      </c>
      <c r="I98" s="6">
        <f>1/99*($I$8-$I$7)+I97</f>
        <v>145.75757575757564</v>
      </c>
      <c r="J98" s="1">
        <f>_xll.PDENSITY($I$98,KDE!$C$6:$C$15,$I$9,$I$10,1)</f>
        <v>0.8</v>
      </c>
    </row>
    <row r="99" spans="6:10" x14ac:dyDescent="0.45">
      <c r="F99">
        <v>85</v>
      </c>
      <c r="G99" s="6">
        <f>1/99*($G$8-$G$7)+G98</f>
        <v>147.27272727272714</v>
      </c>
      <c r="H99" s="1">
        <f>_xll.PDENSITY($G$99,KDE!$B$6:$B$15,$G$9,$G$10,1)</f>
        <v>0.83636021906521685</v>
      </c>
      <c r="I99" s="6">
        <f>1/99*($I$8-$I$7)+I98</f>
        <v>147.27272727272714</v>
      </c>
      <c r="J99" s="1">
        <f>_xll.PDENSITY($I$99,KDE!$C$6:$C$15,$I$9,$I$10,1)</f>
        <v>0.8</v>
      </c>
    </row>
    <row r="100" spans="6:10" x14ac:dyDescent="0.45">
      <c r="F100">
        <v>86</v>
      </c>
      <c r="G100" s="6">
        <f>1/99*($G$8-$G$7)+G99</f>
        <v>148.78787878787864</v>
      </c>
      <c r="H100" s="1">
        <f>_xll.PDENSITY($G$100,KDE!$B$6:$B$15,$G$9,$G$10,1)</f>
        <v>0.84393643528685447</v>
      </c>
      <c r="I100" s="6">
        <f>1/99*($I$8-$I$7)+I99</f>
        <v>148.78787878787864</v>
      </c>
      <c r="J100" s="1">
        <f>_xll.PDENSITY($I$100,KDE!$C$6:$C$15,$I$9,$I$10,1)</f>
        <v>0.8</v>
      </c>
    </row>
    <row r="101" spans="6:10" x14ac:dyDescent="0.45">
      <c r="F101">
        <v>87</v>
      </c>
      <c r="G101" s="6">
        <f>1/99*($G$8-$G$7)+G100</f>
        <v>150.30303030303014</v>
      </c>
      <c r="H101" s="1">
        <f>_xll.PDENSITY($G$101,KDE!$B$6:$B$15,$G$9,$G$10,1)</f>
        <v>0.85151605812040465</v>
      </c>
      <c r="I101" s="6">
        <f>1/99*($I$8-$I$7)+I100</f>
        <v>150.30303030303014</v>
      </c>
      <c r="J101" s="1">
        <f>_xll.PDENSITY($I$101,KDE!$C$6:$C$15,$I$9,$I$10,1)</f>
        <v>0.9</v>
      </c>
    </row>
    <row r="102" spans="6:10" x14ac:dyDescent="0.45">
      <c r="F102">
        <v>88</v>
      </c>
      <c r="G102" s="6">
        <f>1/99*($G$8-$G$7)+G101</f>
        <v>151.81818181818164</v>
      </c>
      <c r="H102" s="1">
        <f>_xll.PDENSITY($G$102,KDE!$B$6:$B$15,$G$9,$G$10,1)</f>
        <v>0.85909440306584361</v>
      </c>
      <c r="I102" s="6">
        <f>1/99*($I$8-$I$7)+I101</f>
        <v>151.81818181818164</v>
      </c>
      <c r="J102" s="1">
        <f>_xll.PDENSITY($I$102,KDE!$C$6:$C$15,$I$9,$I$10,1)</f>
        <v>0.9</v>
      </c>
    </row>
    <row r="103" spans="6:10" x14ac:dyDescent="0.45">
      <c r="F103">
        <v>89</v>
      </c>
      <c r="G103" s="6">
        <f>1/99*($G$8-$G$7)+G102</f>
        <v>153.33333333333314</v>
      </c>
      <c r="H103" s="1">
        <f>_xll.PDENSITY($G$103,KDE!$B$6:$B$15,$G$9,$G$10,1)</f>
        <v>0.86666981832027845</v>
      </c>
      <c r="I103" s="6">
        <f>1/99*($I$8-$I$7)+I102</f>
        <v>153.33333333333314</v>
      </c>
      <c r="J103" s="1">
        <f>_xll.PDENSITY($I$103,KDE!$C$6:$C$15,$I$9,$I$10,1)</f>
        <v>0.9</v>
      </c>
    </row>
    <row r="104" spans="6:10" x14ac:dyDescent="0.45">
      <c r="F104">
        <v>90</v>
      </c>
      <c r="G104" s="6">
        <f>1/99*($G$8-$G$7)+G103</f>
        <v>154.84848484848465</v>
      </c>
      <c r="H104" s="1">
        <f>_xll.PDENSITY($G$104,KDE!$B$6:$B$15,$G$9,$G$10,1)</f>
        <v>0.8742447646899556</v>
      </c>
      <c r="I104" s="6">
        <f>1/99*($I$8-$I$7)+I103</f>
        <v>154.84848484848465</v>
      </c>
      <c r="J104" s="1">
        <f>_xll.PDENSITY($I$104,KDE!$C$6:$C$15,$I$9,$I$10,1)</f>
        <v>0.9</v>
      </c>
    </row>
    <row r="105" spans="6:10" x14ac:dyDescent="0.45">
      <c r="F105">
        <v>91</v>
      </c>
      <c r="G105" s="6">
        <f>1/99*($G$8-$G$7)+G104</f>
        <v>156.36363636363615</v>
      </c>
      <c r="H105" s="1">
        <f>_xll.PDENSITY($G$105,KDE!$B$6:$B$15,$G$9,$G$10,1)</f>
        <v>0.88181765700674064</v>
      </c>
      <c r="I105" s="6">
        <f>1/99*($I$8-$I$7)+I104</f>
        <v>156.36363636363615</v>
      </c>
      <c r="J105" s="1">
        <f>_xll.PDENSITY($I$105,KDE!$C$6:$C$15,$I$9,$I$10,1)</f>
        <v>0.9</v>
      </c>
    </row>
    <row r="106" spans="6:10" x14ac:dyDescent="0.45">
      <c r="F106">
        <v>92</v>
      </c>
      <c r="G106" s="6">
        <f>1/99*($G$8-$G$7)+G105</f>
        <v>157.87878787878765</v>
      </c>
      <c r="H106" s="1">
        <f>_xll.PDENSITY($G$106,KDE!$B$6:$B$15,$G$9,$G$10,1)</f>
        <v>0.8893821119024532</v>
      </c>
      <c r="I106" s="6">
        <f>1/99*($I$8-$I$7)+I105</f>
        <v>157.87878787878765</v>
      </c>
      <c r="J106" s="1">
        <f>_xll.PDENSITY($I$106,KDE!$C$6:$C$15,$I$9,$I$10,1)</f>
        <v>0.9</v>
      </c>
    </row>
    <row r="107" spans="6:10" x14ac:dyDescent="0.45">
      <c r="F107">
        <v>93</v>
      </c>
      <c r="G107" s="6">
        <f>1/99*($G$8-$G$7)+G106</f>
        <v>159.39393939393915</v>
      </c>
      <c r="H107" s="1">
        <f>_xll.PDENSITY($G$107,KDE!$B$6:$B$15,$G$9,$G$10,1)</f>
        <v>0.89692694780886373</v>
      </c>
      <c r="I107" s="6">
        <f>1/99*($I$8-$I$7)+I106</f>
        <v>159.39393939393915</v>
      </c>
      <c r="J107" s="1">
        <f>_xll.PDENSITY($I$107,KDE!$C$6:$C$15,$I$9,$I$10,1)</f>
        <v>0.9</v>
      </c>
    </row>
    <row r="108" spans="6:10" x14ac:dyDescent="0.45">
      <c r="F108">
        <v>94</v>
      </c>
      <c r="G108" s="6">
        <f>1/99*($G$8-$G$7)+G107</f>
        <v>160.90909090909065</v>
      </c>
      <c r="H108" s="1">
        <f>_xll.PDENSITY($G$108,KDE!$B$6:$B$15,$G$9,$G$10,1)</f>
        <v>0.90443618495769695</v>
      </c>
      <c r="I108" s="6">
        <f>1/99*($I$8-$I$7)+I107</f>
        <v>160.90909090909065</v>
      </c>
      <c r="J108" s="1">
        <f>_xll.PDENSITY($I$108,KDE!$C$6:$C$15,$I$9,$I$10,1)</f>
        <v>0.9</v>
      </c>
    </row>
    <row r="109" spans="6:10" x14ac:dyDescent="0.45">
      <c r="F109">
        <v>95</v>
      </c>
      <c r="G109" s="6">
        <f>1/99*($G$8-$G$7)+G108</f>
        <v>162.42424242424215</v>
      </c>
      <c r="H109" s="1">
        <f>_xll.PDENSITY($G$109,KDE!$B$6:$B$15,$G$9,$G$10,1)</f>
        <v>0.91188904538062798</v>
      </c>
      <c r="I109" s="6">
        <f>1/99*($I$8-$I$7)+I108</f>
        <v>162.42424242424215</v>
      </c>
      <c r="J109" s="1">
        <f>_xll.PDENSITY($I$109,KDE!$C$6:$C$15,$I$9,$I$10,1)</f>
        <v>0.9</v>
      </c>
    </row>
    <row r="110" spans="6:10" x14ac:dyDescent="0.45">
      <c r="F110">
        <v>96</v>
      </c>
      <c r="G110" s="6">
        <f>1/99*($G$8-$G$7)+G109</f>
        <v>163.93939393939365</v>
      </c>
      <c r="H110" s="1">
        <f>_xll.PDENSITY($G$110,KDE!$B$6:$B$15,$G$9,$G$10,1)</f>
        <v>0.9192599529092863</v>
      </c>
      <c r="I110" s="6">
        <f>1/99*($I$8-$I$7)+I109</f>
        <v>163.93939393939365</v>
      </c>
      <c r="J110" s="1">
        <f>_xll.PDENSITY($I$110,KDE!$C$6:$C$15,$I$9,$I$10,1)</f>
        <v>0.9</v>
      </c>
    </row>
    <row r="111" spans="6:10" x14ac:dyDescent="0.45">
      <c r="F111">
        <v>97</v>
      </c>
      <c r="G111" s="6">
        <f>1/99*($G$8-$G$7)+G110</f>
        <v>165.45454545454515</v>
      </c>
      <c r="H111" s="1">
        <f>_xll.PDENSITY($G$111,KDE!$B$6:$B$15,$G$9,$G$10,1)</f>
        <v>0.92651853317525268</v>
      </c>
      <c r="I111" s="6">
        <f>1/99*($I$8-$I$7)+I110</f>
        <v>165.45454545454515</v>
      </c>
      <c r="J111" s="1">
        <f>_xll.PDENSITY($I$111,KDE!$C$6:$C$15,$I$9,$I$10,1)</f>
        <v>0.9</v>
      </c>
    </row>
    <row r="112" spans="6:10" x14ac:dyDescent="0.45">
      <c r="F112">
        <v>98</v>
      </c>
      <c r="G112" s="6">
        <f>1/99*($G$8-$G$7)+G111</f>
        <v>166.96969696969666</v>
      </c>
      <c r="H112" s="1">
        <f>_xll.PDENSITY($G$112,KDE!$B$6:$B$15,$G$9,$G$10,1)</f>
        <v>0.93362961734212269</v>
      </c>
      <c r="I112" s="6">
        <f>1/99*($I$8-$I$7)+I111</f>
        <v>166.96969696969666</v>
      </c>
      <c r="J112" s="1">
        <f>_xll.PDENSITY($I$112,KDE!$C$6:$C$15,$I$9,$I$10,1)</f>
        <v>0.9</v>
      </c>
    </row>
    <row r="113" spans="6:10" x14ac:dyDescent="0.45">
      <c r="F113">
        <v>99</v>
      </c>
      <c r="G113" s="6">
        <f>1/99*($G$8-$G$7)+G112</f>
        <v>168.48484848484816</v>
      </c>
      <c r="H113" s="1">
        <f>_xll.PDENSITY($G$113,KDE!$B$6:$B$15,$G$9,$G$10,1)</f>
        <v>0.94055392604383437</v>
      </c>
      <c r="I113" s="6">
        <f>1/99*($I$8-$I$7)+I112</f>
        <v>168.48484848484816</v>
      </c>
      <c r="J113" s="1">
        <f>_xll.PDENSITY($I$113,KDE!$C$6:$C$15,$I$9,$I$10,1)</f>
        <v>0.9</v>
      </c>
    </row>
    <row r="114" spans="6:10" x14ac:dyDescent="0.45">
      <c r="F114">
        <v>100</v>
      </c>
      <c r="G114" s="6">
        <f>1/99*($G$8-$G$7)+G113</f>
        <v>169.99999999999966</v>
      </c>
      <c r="H114" s="15">
        <v>1</v>
      </c>
      <c r="I114" s="6">
        <f>1/99*($I$8-$I$7)+I113</f>
        <v>169.99999999999966</v>
      </c>
      <c r="J114" s="1">
        <v>1</v>
      </c>
    </row>
  </sheetData>
  <dataValidations count="1">
    <dataValidation type="list" allowBlank="1" showInputMessage="1" showErrorMessage="1" sqref="G10 I10">
      <formula1>"Cauchy,Cosinus,Double Exp,Epanechnikov,Gaussian,Histogram,Parzen,Quartic,Semiparametric Normal (HG),Triangle,Triweight,Uniform"</formula1>
    </dataValidation>
  </dataValidations>
  <printOptions headings="1" gridLines="1"/>
  <pageMargins left="0.7" right="0.7" top="0.75" bottom="0.75" header="0.3" footer="0.3"/>
  <pageSetup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RowHeight="14.25" x14ac:dyDescent="0.45"/>
  <sheetData>
    <row r="1" spans="1:3" x14ac:dyDescent="0.45">
      <c r="A1" t="str">
        <f>_xll.WBNAME()</f>
        <v>L 5 EMP 2015.xlsx</v>
      </c>
    </row>
    <row r="2" spans="1:3" x14ac:dyDescent="0.45">
      <c r="A2" t="str">
        <f ca="1">_xll.WSNAME(0)</f>
        <v>Triangle</v>
      </c>
    </row>
    <row r="5" spans="1:3" x14ac:dyDescent="0.45">
      <c r="A5" t="s">
        <v>14</v>
      </c>
      <c r="B5">
        <v>20</v>
      </c>
    </row>
    <row r="6" spans="1:3" x14ac:dyDescent="0.45">
      <c r="A6" t="s">
        <v>29</v>
      </c>
      <c r="B6">
        <v>73</v>
      </c>
    </row>
    <row r="7" spans="1:3" x14ac:dyDescent="0.45">
      <c r="A7" t="s">
        <v>15</v>
      </c>
      <c r="B7">
        <v>150</v>
      </c>
    </row>
    <row r="9" spans="1:3" x14ac:dyDescent="0.45">
      <c r="A9" t="s">
        <v>41</v>
      </c>
      <c r="B9">
        <f ca="1">_xll.TRIANGLE(B5,B6,B7)</f>
        <v>98.777193166115865</v>
      </c>
      <c r="C9" t="str">
        <f ca="1">_xll.VFORMULA(B9)</f>
        <v>=TRIANGLE(B5,B6,B7)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1"/>
  <sheetViews>
    <sheetView workbookViewId="0">
      <selection activeCell="F22" sqref="F22"/>
    </sheetView>
  </sheetViews>
  <sheetFormatPr defaultRowHeight="14.25" x14ac:dyDescent="0.45"/>
  <sheetData>
    <row r="1" spans="1:21" x14ac:dyDescent="0.45">
      <c r="A1" t="s">
        <v>30</v>
      </c>
    </row>
    <row r="2" spans="1:21" x14ac:dyDescent="0.45">
      <c r="A2" t="s">
        <v>11</v>
      </c>
      <c r="B2" t="str">
        <f ca="1">ADDRESS(ROW(Triangle!$B$9),COLUMN(Triangle!$B$9),4,,_xll.WSNAME(Triangle!$B$9))</f>
        <v>Triangle!B9</v>
      </c>
    </row>
    <row r="3" spans="1:21" x14ac:dyDescent="0.45">
      <c r="A3" t="s">
        <v>1</v>
      </c>
      <c r="B3">
        <f>AVERAGE(B9:B508)</f>
        <v>80.99827133966123</v>
      </c>
      <c r="D3" t="s">
        <v>17</v>
      </c>
      <c r="E3" s="7">
        <v>20</v>
      </c>
    </row>
    <row r="4" spans="1:21" x14ac:dyDescent="0.45">
      <c r="A4" t="s">
        <v>12</v>
      </c>
      <c r="B4">
        <f>STDEV(B9:B508)</f>
        <v>26.724667001559759</v>
      </c>
      <c r="D4" t="s">
        <v>18</v>
      </c>
      <c r="E4">
        <f>IF(ISBLANK($E3),"",_xll.EDF(B9:B508,$E3))</f>
        <v>0</v>
      </c>
    </row>
    <row r="5" spans="1:21" x14ac:dyDescent="0.45">
      <c r="A5" t="s">
        <v>13</v>
      </c>
      <c r="B5">
        <f>100*B4/B3</f>
        <v>32.994120194851476</v>
      </c>
      <c r="D5" t="s">
        <v>19</v>
      </c>
      <c r="E5" s="7">
        <v>25</v>
      </c>
      <c r="S5" t="s">
        <v>31</v>
      </c>
    </row>
    <row r="6" spans="1:21" x14ac:dyDescent="0.45">
      <c r="A6" t="s">
        <v>14</v>
      </c>
      <c r="B6">
        <f>MIN(B9:B508)</f>
        <v>22.483232478087228</v>
      </c>
      <c r="D6" t="s">
        <v>20</v>
      </c>
      <c r="E6">
        <f>IF(ISBLANK($E5),"",_xll.EDF(B9:B508,$E5))</f>
        <v>5.2808198889512329E-3</v>
      </c>
      <c r="T6" t="str">
        <f>SimDataTRI!$B$8</f>
        <v>Triangle</v>
      </c>
    </row>
    <row r="7" spans="1:21" x14ac:dyDescent="0.45">
      <c r="A7" t="s">
        <v>15</v>
      </c>
      <c r="B7">
        <f>MAX(B9:B508)</f>
        <v>147.10946663564982</v>
      </c>
      <c r="D7" t="s">
        <v>21</v>
      </c>
      <c r="E7" s="7">
        <v>145</v>
      </c>
      <c r="S7" t="s">
        <v>32</v>
      </c>
      <c r="T7">
        <f>MIN(SimDataTRI!$B$9:$B$508)</f>
        <v>22.483232478087228</v>
      </c>
    </row>
    <row r="8" spans="1:21" x14ac:dyDescent="0.45">
      <c r="A8" t="s">
        <v>16</v>
      </c>
      <c r="B8" t="str">
        <f>Triangle!$A$9</f>
        <v>Triangle</v>
      </c>
      <c r="D8" t="s">
        <v>22</v>
      </c>
      <c r="E8">
        <f>IF(ISBLANK($E7),"",_xll.EDF(B9:B508,$E7))</f>
        <v>0.99835753699393137</v>
      </c>
      <c r="S8" t="s">
        <v>33</v>
      </c>
      <c r="T8">
        <f>MAX(SimDataTRI!$B$9:$B$508)</f>
        <v>147.10946663564982</v>
      </c>
    </row>
    <row r="9" spans="1:21" ht="14.65" thickBot="1" x14ac:dyDescent="0.5">
      <c r="A9">
        <v>1</v>
      </c>
      <c r="B9">
        <v>80.164863973022378</v>
      </c>
      <c r="D9" t="s">
        <v>23</v>
      </c>
      <c r="E9" s="7">
        <v>150</v>
      </c>
      <c r="S9" t="s">
        <v>34</v>
      </c>
      <c r="T9">
        <f>_xll.BANDWIDTH(SimDataTRI!$B$9:$B$508)</f>
        <v>8.1738030085329996</v>
      </c>
    </row>
    <row r="10" spans="1:21" ht="15" thickTop="1" thickBot="1" x14ac:dyDescent="0.5">
      <c r="A10">
        <v>2</v>
      </c>
      <c r="B10">
        <v>66.015307301305228</v>
      </c>
      <c r="D10" t="s">
        <v>24</v>
      </c>
      <c r="E10">
        <f>IF(ISBLANK($E9),"",_xll.EDF(B9:B508,$E9))</f>
        <v>1</v>
      </c>
      <c r="S10" t="s">
        <v>35</v>
      </c>
      <c r="T10" s="4" t="s">
        <v>40</v>
      </c>
    </row>
    <row r="11" spans="1:21" ht="14.65" thickTop="1" x14ac:dyDescent="0.45">
      <c r="A11">
        <v>3</v>
      </c>
      <c r="B11">
        <v>85.258810513166949</v>
      </c>
      <c r="D11" t="s">
        <v>25</v>
      </c>
      <c r="E11" s="7"/>
      <c r="I11" t="str">
        <f>SimDataTRI!$B$8</f>
        <v>Triangle</v>
      </c>
      <c r="J11" t="s">
        <v>27</v>
      </c>
      <c r="S11" t="s">
        <v>36</v>
      </c>
      <c r="T11" s="5">
        <f>MIN(0.95, 1 - 1 / (COUNT(SimDataTRI!$B$9:$B$508) - 1))</f>
        <v>0.95</v>
      </c>
    </row>
    <row r="12" spans="1:21" x14ac:dyDescent="0.45">
      <c r="A12">
        <v>4</v>
      </c>
      <c r="B12">
        <v>103.87864233839136</v>
      </c>
      <c r="D12" t="s">
        <v>26</v>
      </c>
      <c r="E12" t="str">
        <f>IF(ISBLANK($E11),"",_xll.EDF(B9:B508,$E11))</f>
        <v/>
      </c>
      <c r="I12">
        <f>SMALL(SimDataTRI!$B$9:$B$508,1)</f>
        <v>22.483232478087228</v>
      </c>
      <c r="J12">
        <v>0</v>
      </c>
      <c r="S12" t="s">
        <v>37</v>
      </c>
      <c r="T12" s="6">
        <f>_xll.QUANTILE(SimDataTRI!$B$9:$B$508,(1-$T$11)/2)</f>
        <v>32.934101006562358</v>
      </c>
      <c r="U12" s="1">
        <f>_xll.PDENSITY($T$12,SimDataTRI!$B$9:$B$508,$T$9,$T$10,0)</f>
        <v>3.8018454875996914E-3</v>
      </c>
    </row>
    <row r="13" spans="1:21" x14ac:dyDescent="0.45">
      <c r="A13">
        <v>5</v>
      </c>
      <c r="B13">
        <v>125.92342106755093</v>
      </c>
      <c r="I13">
        <f>SMALL(SimDataTRI!$B$9:$B$508,2)</f>
        <v>24.117869513023177</v>
      </c>
      <c r="J13">
        <f>IF(COUNT(J12)&gt;=COUNT(SimDataTRI!$B$9:$B$508),NA(),1/(COUNT(SimDataTRI!$B$9:$B$508)-1)+J12)</f>
        <v>2.004008016032064E-3</v>
      </c>
      <c r="S13" t="s">
        <v>38</v>
      </c>
      <c r="T13" s="6">
        <f>AVERAGE(SimDataTRI!$B$9:$B$508)</f>
        <v>80.99827133966123</v>
      </c>
      <c r="U13" s="1">
        <f>_xll.PDENSITY($T$13,SimDataTRI!$B$9:$B$508,$T$9,$T$10,0)</f>
        <v>1.3436895416050556E-2</v>
      </c>
    </row>
    <row r="14" spans="1:21" x14ac:dyDescent="0.45">
      <c r="A14">
        <v>6</v>
      </c>
      <c r="B14">
        <v>98.590610629092481</v>
      </c>
      <c r="I14">
        <f>SMALL(SimDataTRI!$B$9:$B$508,3)</f>
        <v>25.495316091712915</v>
      </c>
      <c r="J14">
        <f>IF(COUNT(J12:J13)&gt;=COUNT(SimDataTRI!$B$9:$B$508),NA(),1/(COUNT(SimDataTRI!$B$9:$B$508)-1)+J13)</f>
        <v>4.0080160320641279E-3</v>
      </c>
      <c r="S14" t="s">
        <v>39</v>
      </c>
      <c r="T14" s="1">
        <f>_xll.QUANTILE(SimDataTRI!$B$9:$B$508,1-(1-$T$11)/2)</f>
        <v>134.24804260010842</v>
      </c>
      <c r="U14" s="1">
        <f>_xll.PDENSITY($T$14,SimDataTRI!$B$9:$B$508,$T$9,$T$10,0)</f>
        <v>3.1579024166924277E-3</v>
      </c>
    </row>
    <row r="15" spans="1:21" x14ac:dyDescent="0.45">
      <c r="A15">
        <v>7</v>
      </c>
      <c r="B15">
        <v>38.359694109862389</v>
      </c>
      <c r="I15">
        <f>SMALL(SimDataTRI!$B$9:$B$508,4)</f>
        <v>27.277365155048102</v>
      </c>
      <c r="J15">
        <f>IF(COUNT(J12:J14)&gt;=COUNT(SimDataTRI!$B$9:$B$508),NA(),1/(COUNT(SimDataTRI!$B$9:$B$508)-1)+J14)</f>
        <v>6.0120240480961915E-3</v>
      </c>
      <c r="S15">
        <v>1</v>
      </c>
      <c r="T15" s="1">
        <f>$T$7</f>
        <v>22.483232478087228</v>
      </c>
      <c r="U15" s="1">
        <f>_xll.PDENSITY($T$15,SimDataTRI!$B$9:$B$508,$T$9,$T$10,0)</f>
        <v>1.3610904562493199E-3</v>
      </c>
    </row>
    <row r="16" spans="1:21" x14ac:dyDescent="0.45">
      <c r="A16">
        <v>8</v>
      </c>
      <c r="B16">
        <v>60.437630743321961</v>
      </c>
      <c r="I16">
        <f>SMALL(SimDataTRI!$B$9:$B$508,5)</f>
        <v>28.135354511710386</v>
      </c>
      <c r="J16">
        <f>IF(COUNT(J12:J15)&gt;=COUNT(SimDataTRI!$B$9:$B$508),NA(),1/(COUNT(SimDataTRI!$B$9:$B$508)-1)+J15)</f>
        <v>8.0160320641282558E-3</v>
      </c>
      <c r="S16">
        <v>2</v>
      </c>
      <c r="T16" s="6">
        <f t="shared" ref="T16:T47" si="0">1/99*($T$8-$T$7)+T15</f>
        <v>23.742083328163616</v>
      </c>
      <c r="U16" s="1">
        <f>_xll.PDENSITY($T$16,SimDataTRI!$B$9:$B$508,$T$9,$T$10,0)</f>
        <v>1.5968217570998344E-3</v>
      </c>
    </row>
    <row r="17" spans="1:21" x14ac:dyDescent="0.45">
      <c r="A17">
        <v>9</v>
      </c>
      <c r="B17">
        <v>128.91048657597679</v>
      </c>
      <c r="I17">
        <f>SMALL(SimDataTRI!$B$9:$B$508,6)</f>
        <v>28.490961217177762</v>
      </c>
      <c r="J17">
        <f>IF(COUNT(J12:J16)&gt;=COUNT(SimDataTRI!$B$9:$B$508),NA(),1/(COUNT(SimDataTRI!$B$9:$B$508)-1)+J16)</f>
        <v>1.002004008016032E-2</v>
      </c>
      <c r="S17">
        <v>3</v>
      </c>
      <c r="T17" s="6">
        <f t="shared" si="0"/>
        <v>25.000934178240005</v>
      </c>
      <c r="U17" s="1">
        <f>_xll.PDENSITY($T$17,SimDataTRI!$B$9:$B$508,$T$9,$T$10,0)</f>
        <v>1.8521289601058557E-3</v>
      </c>
    </row>
    <row r="18" spans="1:21" x14ac:dyDescent="0.45">
      <c r="A18">
        <v>10</v>
      </c>
      <c r="B18">
        <v>89.526586350076258</v>
      </c>
      <c r="I18">
        <f>SMALL(SimDataTRI!$B$9:$B$508,7)</f>
        <v>29.149575758179608</v>
      </c>
      <c r="J18">
        <f>IF(COUNT(J12:J17)&gt;=COUNT(SimDataTRI!$B$9:$B$508),NA(),1/(COUNT(SimDataTRI!$B$9:$B$508)-1)+J17)</f>
        <v>1.2024048096192385E-2</v>
      </c>
      <c r="S18">
        <v>4</v>
      </c>
      <c r="T18" s="6">
        <f t="shared" si="0"/>
        <v>26.259785028316394</v>
      </c>
      <c r="U18" s="1">
        <f>_xll.PDENSITY($T$18,SimDataTRI!$B$9:$B$508,$T$9,$T$10,0)</f>
        <v>2.1254650454682316E-3</v>
      </c>
    </row>
    <row r="19" spans="1:21" x14ac:dyDescent="0.45">
      <c r="A19">
        <v>11</v>
      </c>
      <c r="B19">
        <v>90.005505657432906</v>
      </c>
      <c r="I19">
        <f>SMALL(SimDataTRI!$B$9:$B$508,8)</f>
        <v>29.997495500860261</v>
      </c>
      <c r="J19">
        <f>IF(COUNT(J12:J18)&gt;=COUNT(SimDataTRI!$B$9:$B$508),NA(),1/(COUNT(SimDataTRI!$B$9:$B$508)-1)+J18)</f>
        <v>1.4028056112224449E-2</v>
      </c>
      <c r="S19">
        <v>5</v>
      </c>
      <c r="T19" s="6">
        <f t="shared" si="0"/>
        <v>27.518635878392782</v>
      </c>
      <c r="U19" s="1">
        <f>_xll.PDENSITY($T$19,SimDataTRI!$B$9:$B$508,$T$9,$T$10,0)</f>
        <v>2.4150639528717076E-3</v>
      </c>
    </row>
    <row r="20" spans="1:21" x14ac:dyDescent="0.45">
      <c r="A20">
        <v>12</v>
      </c>
      <c r="B20">
        <v>54.060136279745883</v>
      </c>
      <c r="I20">
        <f>SMALL(SimDataTRI!$B$9:$B$508,9)</f>
        <v>30.543675549338289</v>
      </c>
      <c r="J20">
        <f>IF(COUNT(J12:J19)&gt;=COUNT(SimDataTRI!$B$9:$B$508),NA(),1/(COUNT(SimDataTRI!$B$9:$B$508)-1)+J19)</f>
        <v>1.6032064128256512E-2</v>
      </c>
      <c r="S20">
        <v>6</v>
      </c>
      <c r="T20" s="6">
        <f t="shared" si="0"/>
        <v>28.777486728469171</v>
      </c>
      <c r="U20" s="1">
        <f>_xll.PDENSITY($T$20,SimDataTRI!$B$9:$B$508,$T$9,$T$10,0)</f>
        <v>2.7190479947518148E-3</v>
      </c>
    </row>
    <row r="21" spans="1:21" x14ac:dyDescent="0.45">
      <c r="A21">
        <v>13</v>
      </c>
      <c r="B21">
        <v>120.8793984067438</v>
      </c>
      <c r="I21">
        <f>SMALL(SimDataTRI!$B$9:$B$508,10)</f>
        <v>31.185895962077701</v>
      </c>
      <c r="J21">
        <f>IF(COUNT(J12:J20)&gt;=COUNT(SimDataTRI!$B$9:$B$508),NA(),1/(COUNT(SimDataTRI!$B$9:$B$508)-1)+J20)</f>
        <v>1.8036072144288574E-2</v>
      </c>
      <c r="S21">
        <v>7</v>
      </c>
      <c r="T21" s="6">
        <f t="shared" si="0"/>
        <v>30.03633757854556</v>
      </c>
      <c r="U21" s="1">
        <f>_xll.PDENSITY($T$21,SimDataTRI!$B$9:$B$508,$T$9,$T$10,0)</f>
        <v>3.0355274231342751E-3</v>
      </c>
    </row>
    <row r="22" spans="1:21" x14ac:dyDescent="0.45">
      <c r="A22">
        <v>14</v>
      </c>
      <c r="B22">
        <v>37.068667291969206</v>
      </c>
      <c r="I22">
        <f>SMALL(SimDataTRI!$B$9:$B$508,11)</f>
        <v>31.953256529182759</v>
      </c>
      <c r="J22">
        <f>IF(COUNT(J12:J21)&gt;=COUNT(SimDataTRI!$B$9:$B$508),NA(),1/(COUNT(SimDataTRI!$B$9:$B$508)-1)+J21)</f>
        <v>2.0040080160320637E-2</v>
      </c>
      <c r="S22">
        <v>8</v>
      </c>
      <c r="T22" s="6">
        <f t="shared" si="0"/>
        <v>31.295188428621948</v>
      </c>
      <c r="U22" s="1">
        <f>_xll.PDENSITY($T$22,SimDataTRI!$B$9:$B$508,$T$9,$T$10,0)</f>
        <v>3.362683199360659E-3</v>
      </c>
    </row>
    <row r="23" spans="1:21" x14ac:dyDescent="0.45">
      <c r="A23">
        <v>15</v>
      </c>
      <c r="B23">
        <v>57.574175354271297</v>
      </c>
      <c r="I23">
        <f>SMALL(SimDataTRI!$B$9:$B$508,12)</f>
        <v>32.455906002452167</v>
      </c>
      <c r="J23">
        <f>IF(COUNT(J12:J22)&gt;=COUNT(SimDataTRI!$B$9:$B$508),NA(),1/(COUNT(SimDataTRI!$B$9:$B$508)-1)+J22)</f>
        <v>2.20440881763527E-2</v>
      </c>
      <c r="S23">
        <v>9</v>
      </c>
      <c r="T23" s="6">
        <f t="shared" si="0"/>
        <v>32.55403927869834</v>
      </c>
      <c r="U23" s="1">
        <f>_xll.PDENSITY($T$23,SimDataTRI!$B$9:$B$508,$T$9,$T$10,0)</f>
        <v>3.6988272932212698E-3</v>
      </c>
    </row>
    <row r="24" spans="1:21" x14ac:dyDescent="0.45">
      <c r="A24">
        <v>16</v>
      </c>
      <c r="B24">
        <v>72.466872138947238</v>
      </c>
      <c r="I24">
        <f>SMALL(SimDataTRI!$B$9:$B$508,13)</f>
        <v>32.934101006562351</v>
      </c>
      <c r="J24">
        <f>IF(COUNT(J12:J23)&gt;=COUNT(SimDataTRI!$B$9:$B$508),NA(),1/(COUNT(SimDataTRI!$B$9:$B$508)-1)+J23)</f>
        <v>2.4048096192384762E-2</v>
      </c>
      <c r="S24">
        <v>10</v>
      </c>
      <c r="T24" s="6">
        <f t="shared" si="0"/>
        <v>33.812890128774733</v>
      </c>
      <c r="U24" s="1">
        <f>_xll.PDENSITY($T$24,SimDataTRI!$B$9:$B$508,$T$9,$T$10,0)</f>
        <v>4.0424385824701431E-3</v>
      </c>
    </row>
    <row r="25" spans="1:21" x14ac:dyDescent="0.45">
      <c r="A25">
        <v>17</v>
      </c>
      <c r="B25">
        <v>27.277365155048102</v>
      </c>
      <c r="I25">
        <f>SMALL(SimDataTRI!$B$9:$B$508,14)</f>
        <v>33.499437388768271</v>
      </c>
      <c r="J25">
        <f>IF(COUNT(J12:J24)&gt;=COUNT(SimDataTRI!$B$9:$B$508),NA(),1/(COUNT(SimDataTRI!$B$9:$B$508)-1)+J24)</f>
        <v>2.6052104208416825E-2</v>
      </c>
      <c r="S25">
        <v>11</v>
      </c>
      <c r="T25" s="6">
        <f t="shared" si="0"/>
        <v>35.071740978851125</v>
      </c>
      <c r="U25" s="1">
        <f>_xll.PDENSITY($T$25,SimDataTRI!$B$9:$B$508,$T$9,$T$10,0)</f>
        <v>4.3921759681156969E-3</v>
      </c>
    </row>
    <row r="26" spans="1:21" x14ac:dyDescent="0.45">
      <c r="A26">
        <v>18</v>
      </c>
      <c r="B26">
        <v>77.756476844165874</v>
      </c>
      <c r="I26">
        <f>SMALL(SimDataTRI!$B$9:$B$508,15)</f>
        <v>34.224356584236403</v>
      </c>
      <c r="J26">
        <f>IF(COUNT(J12:J25)&gt;=COUNT(SimDataTRI!$B$9:$B$508),NA(),1/(COUNT(SimDataTRI!$B$9:$B$508)-1)+J25)</f>
        <v>2.8056112224448888E-2</v>
      </c>
      <c r="S26">
        <v>12</v>
      </c>
      <c r="T26" s="6">
        <f t="shared" si="0"/>
        <v>36.330591828927517</v>
      </c>
      <c r="U26" s="1">
        <f>_xll.PDENSITY($T$26,SimDataTRI!$B$9:$B$508,$T$9,$T$10,0)</f>
        <v>4.7468731024894245E-3</v>
      </c>
    </row>
    <row r="27" spans="1:21" x14ac:dyDescent="0.45">
      <c r="A27">
        <v>19</v>
      </c>
      <c r="B27">
        <v>98.052988730639484</v>
      </c>
      <c r="I27">
        <f>SMALL(SimDataTRI!$B$9:$B$508,16)</f>
        <v>34.649304705830808</v>
      </c>
      <c r="J27">
        <f>IF(COUNT(J12:J26)&gt;=COUNT(SimDataTRI!$B$9:$B$508),NA(),1/(COUNT(SimDataTRI!$B$9:$B$508)-1)+J26)</f>
        <v>3.006012024048095E-2</v>
      </c>
      <c r="S27">
        <v>13</v>
      </c>
      <c r="T27" s="6">
        <f t="shared" si="0"/>
        <v>37.589442679003909</v>
      </c>
      <c r="U27" s="1">
        <f>_xll.PDENSITY($T$27,SimDataTRI!$B$9:$B$508,$T$9,$T$10,0)</f>
        <v>5.1055207847849624E-3</v>
      </c>
    </row>
    <row r="28" spans="1:21" x14ac:dyDescent="0.45">
      <c r="A28">
        <v>20</v>
      </c>
      <c r="B28">
        <v>83.078206743376981</v>
      </c>
      <c r="I28">
        <f>SMALL(SimDataTRI!$B$9:$B$508,17)</f>
        <v>35.007547893664793</v>
      </c>
      <c r="J28">
        <f>IF(COUNT(J12:J27)&gt;=COUNT(SimDataTRI!$B$9:$B$508),NA(),1/(COUNT(SimDataTRI!$B$9:$B$508)-1)+J27)</f>
        <v>3.2064128256513016E-2</v>
      </c>
      <c r="S28">
        <v>14</v>
      </c>
      <c r="T28" s="6">
        <f t="shared" si="0"/>
        <v>38.848293529080301</v>
      </c>
      <c r="U28" s="1">
        <f>_xll.PDENSITY($T$28,SimDataTRI!$B$9:$B$508,$T$9,$T$10,0)</f>
        <v>5.4672434961068536E-3</v>
      </c>
    </row>
    <row r="29" spans="1:21" x14ac:dyDescent="0.45">
      <c r="A29">
        <v>21</v>
      </c>
      <c r="B29">
        <v>55.251335873343912</v>
      </c>
      <c r="I29">
        <f>SMALL(SimDataTRI!$B$9:$B$508,18)</f>
        <v>35.644597773686378</v>
      </c>
      <c r="J29">
        <f>IF(COUNT(J12:J28)&gt;=COUNT(SimDataTRI!$B$9:$B$508),NA(),1/(COUNT(SimDataTRI!$B$9:$B$508)-1)+J28)</f>
        <v>3.4068136272545083E-2</v>
      </c>
      <c r="S29">
        <v>15</v>
      </c>
      <c r="T29" s="6">
        <f t="shared" si="0"/>
        <v>40.107144379156694</v>
      </c>
      <c r="U29" s="1">
        <f>_xll.PDENSITY($T$29,SimDataTRI!$B$9:$B$508,$T$9,$T$10,0)</f>
        <v>5.8312758373199941E-3</v>
      </c>
    </row>
    <row r="30" spans="1:21" x14ac:dyDescent="0.45">
      <c r="A30">
        <v>22</v>
      </c>
      <c r="B30">
        <v>97.768763181655288</v>
      </c>
      <c r="I30">
        <f>SMALL(SimDataTRI!$B$9:$B$508,19)</f>
        <v>35.928257670624447</v>
      </c>
      <c r="J30">
        <f>IF(COUNT(J12:J29)&gt;=COUNT(SimDataTRI!$B$9:$B$508),NA(),1/(COUNT(SimDataTRI!$B$9:$B$508)-1)+J29)</f>
        <v>3.6072144288577149E-2</v>
      </c>
      <c r="S30">
        <v>16</v>
      </c>
      <c r="T30" s="6">
        <f t="shared" si="0"/>
        <v>41.365995229233086</v>
      </c>
      <c r="U30" s="1">
        <f>_xll.PDENSITY($T$30,SimDataTRI!$B$9:$B$508,$T$9,$T$10,0)</f>
        <v>6.1969430837896869E-3</v>
      </c>
    </row>
    <row r="31" spans="1:21" x14ac:dyDescent="0.45">
      <c r="A31">
        <v>23</v>
      </c>
      <c r="B31">
        <v>36.371280378646993</v>
      </c>
      <c r="I31">
        <f>SMALL(SimDataTRI!$B$9:$B$508,20)</f>
        <v>36.371280378646993</v>
      </c>
      <c r="J31">
        <f>IF(COUNT(J12:J30)&gt;=COUNT(SimDataTRI!$B$9:$B$508),NA(),1/(COUNT(SimDataTRI!$B$9:$B$508)-1)+J30)</f>
        <v>3.8076152304609215E-2</v>
      </c>
      <c r="S31">
        <v>17</v>
      </c>
      <c r="T31" s="6">
        <f t="shared" si="0"/>
        <v>42.624846079309478</v>
      </c>
      <c r="U31" s="1">
        <f>_xll.PDENSITY($T$31,SimDataTRI!$B$9:$B$508,$T$9,$T$10,0)</f>
        <v>6.5636480553387744E-3</v>
      </c>
    </row>
    <row r="32" spans="1:21" x14ac:dyDescent="0.45">
      <c r="A32">
        <v>24</v>
      </c>
      <c r="B32">
        <v>49.617655659779757</v>
      </c>
      <c r="I32">
        <f>SMALL(SimDataTRI!$B$9:$B$508,21)</f>
        <v>36.672948582129237</v>
      </c>
      <c r="J32">
        <f>IF(COUNT(J12:J31)&gt;=COUNT(SimDataTRI!$B$9:$B$508),NA(),1/(COUNT(SimDataTRI!$B$9:$B$508)-1)+J31)</f>
        <v>4.0080160320641281E-2</v>
      </c>
      <c r="S32">
        <v>18</v>
      </c>
      <c r="T32" s="6">
        <f t="shared" si="0"/>
        <v>43.88369692938587</v>
      </c>
      <c r="U32" s="1">
        <f>_xll.PDENSITY($T$32,SimDataTRI!$B$9:$B$508,$T$9,$T$10,0)</f>
        <v>6.9308643963666176E-3</v>
      </c>
    </row>
    <row r="33" spans="1:21" x14ac:dyDescent="0.45">
      <c r="A33">
        <v>25</v>
      </c>
      <c r="B33">
        <v>110.23095224061726</v>
      </c>
      <c r="I33">
        <f>SMALL(SimDataTRI!$B$9:$B$508,22)</f>
        <v>37.068667291969206</v>
      </c>
      <c r="J33">
        <f>IF(COUNT(J12:J32)&gt;=COUNT(SimDataTRI!$B$9:$B$508),NA(),1/(COUNT(SimDataTRI!$B$9:$B$508)-1)+J32)</f>
        <v>4.2084168336673347E-2</v>
      </c>
      <c r="S33">
        <v>19</v>
      </c>
      <c r="T33" s="6">
        <f t="shared" si="0"/>
        <v>45.142547779462262</v>
      </c>
      <c r="U33" s="1">
        <f>_xll.PDENSITY($T$33,SimDataTRI!$B$9:$B$508,$T$9,$T$10,0)</f>
        <v>7.2981344901261406E-3</v>
      </c>
    </row>
    <row r="34" spans="1:21" x14ac:dyDescent="0.45">
      <c r="A34">
        <v>26</v>
      </c>
      <c r="B34">
        <v>60.878091215757607</v>
      </c>
      <c r="I34">
        <f>SMALL(SimDataTRI!$B$9:$B$508,23)</f>
        <v>37.775857879339782</v>
      </c>
      <c r="J34">
        <f>IF(COUNT(J12:J33)&gt;=COUNT(SimDataTRI!$B$9:$B$508),NA(),1/(COUNT(SimDataTRI!$B$9:$B$508)-1)+J33)</f>
        <v>4.4088176352705413E-2</v>
      </c>
      <c r="S34">
        <v>20</v>
      </c>
      <c r="T34" s="6">
        <f t="shared" si="0"/>
        <v>46.401398629538654</v>
      </c>
      <c r="U34" s="1">
        <f>_xll.PDENSITY($T$34,SimDataTRI!$B$9:$B$508,$T$9,$T$10,0)</f>
        <v>7.6650688193369938E-3</v>
      </c>
    </row>
    <row r="35" spans="1:21" x14ac:dyDescent="0.45">
      <c r="A35">
        <v>27</v>
      </c>
      <c r="B35">
        <v>70.021714992157456</v>
      </c>
      <c r="I35">
        <f>SMALL(SimDataTRI!$B$9:$B$508,24)</f>
        <v>38.078997039836956</v>
      </c>
      <c r="J35">
        <f>IF(COUNT(J12:J34)&gt;=COUNT(SimDataTRI!$B$9:$B$508),NA(),1/(COUNT(SimDataTRI!$B$9:$B$508)-1)+J34)</f>
        <v>4.6092184368737479E-2</v>
      </c>
      <c r="S35">
        <v>21</v>
      </c>
      <c r="T35" s="6">
        <f t="shared" si="0"/>
        <v>47.660249479615047</v>
      </c>
      <c r="U35" s="1">
        <f>_xll.PDENSITY($T$35,SimDataTRI!$B$9:$B$508,$T$9,$T$10,0)</f>
        <v>8.0313427609766692E-3</v>
      </c>
    </row>
    <row r="36" spans="1:21" x14ac:dyDescent="0.45">
      <c r="A36">
        <v>28</v>
      </c>
      <c r="B36">
        <v>69.524802792372554</v>
      </c>
      <c r="I36">
        <f>SMALL(SimDataTRI!$B$9:$B$508,25)</f>
        <v>38.359694109862389</v>
      </c>
      <c r="J36">
        <f>IF(COUNT(J12:J35)&gt;=COUNT(SimDataTRI!$B$9:$B$508),NA(),1/(COUNT(SimDataTRI!$B$9:$B$508)-1)+J35)</f>
        <v>4.8096192384769546E-2</v>
      </c>
      <c r="S36">
        <v>22</v>
      </c>
      <c r="T36" s="6">
        <f t="shared" si="0"/>
        <v>48.919100329691439</v>
      </c>
      <c r="U36" s="1">
        <f>_xll.PDENSITY($T$36,SimDataTRI!$B$9:$B$508,$T$9,$T$10,0)</f>
        <v>8.3966866125388274E-3</v>
      </c>
    </row>
    <row r="37" spans="1:21" x14ac:dyDescent="0.45">
      <c r="A37">
        <v>29</v>
      </c>
      <c r="B37">
        <v>103.32152177663752</v>
      </c>
      <c r="I37">
        <f>SMALL(SimDataTRI!$B$9:$B$508,26)</f>
        <v>38.761529531408144</v>
      </c>
      <c r="J37">
        <f>IF(COUNT(J12:J36)&gt;=COUNT(SimDataTRI!$B$9:$B$508),NA(),1/(COUNT(SimDataTRI!$B$9:$B$508)-1)+J36)</f>
        <v>5.0100200400801612E-2</v>
      </c>
      <c r="S37">
        <v>23</v>
      </c>
      <c r="T37" s="6">
        <f t="shared" si="0"/>
        <v>50.177951179767831</v>
      </c>
      <c r="U37" s="1">
        <f>_xll.PDENSITY($T$37,SimDataTRI!$B$9:$B$508,$T$9,$T$10,0)</f>
        <v>8.7608650797940217E-3</v>
      </c>
    </row>
    <row r="38" spans="1:21" x14ac:dyDescent="0.45">
      <c r="A38">
        <v>30</v>
      </c>
      <c r="B38">
        <v>74.727947431041812</v>
      </c>
      <c r="I38">
        <f>SMALL(SimDataTRI!$B$9:$B$508,27)</f>
        <v>39.109167553257024</v>
      </c>
      <c r="J38">
        <f>IF(COUNT(J12:J37)&gt;=COUNT(SimDataTRI!$B$9:$B$508),NA(),1/(COUNT(SimDataTRI!$B$9:$B$508)-1)+J37)</f>
        <v>5.2104208416833678E-2</v>
      </c>
      <c r="S38">
        <v>24</v>
      </c>
      <c r="T38" s="6">
        <f t="shared" si="0"/>
        <v>51.436802029844223</v>
      </c>
      <c r="U38" s="1">
        <f>_xll.PDENSITY($T$38,SimDataTRI!$B$9:$B$508,$T$9,$T$10,0)</f>
        <v>9.1236434670965202E-3</v>
      </c>
    </row>
    <row r="39" spans="1:21" x14ac:dyDescent="0.45">
      <c r="A39">
        <v>31</v>
      </c>
      <c r="B39">
        <v>66.465043810997287</v>
      </c>
      <c r="I39">
        <f>SMALL(SimDataTRI!$B$9:$B$508,28)</f>
        <v>39.353956335583675</v>
      </c>
      <c r="J39">
        <f>IF(COUNT(J12:J38)&gt;=COUNT(SimDataTRI!$B$9:$B$508),NA(),1/(COUNT(SimDataTRI!$B$9:$B$508)-1)+J38)</f>
        <v>5.4108216432865744E-2</v>
      </c>
      <c r="S39">
        <v>25</v>
      </c>
      <c r="T39" s="6">
        <f t="shared" si="0"/>
        <v>52.695652879920615</v>
      </c>
      <c r="U39" s="1">
        <f>_xll.PDENSITY($T$39,SimDataTRI!$B$9:$B$508,$T$9,$T$10,0)</f>
        <v>9.4847393320791687E-3</v>
      </c>
    </row>
    <row r="40" spans="1:21" x14ac:dyDescent="0.45">
      <c r="A40">
        <v>32</v>
      </c>
      <c r="B40">
        <v>63.256263109905078</v>
      </c>
      <c r="I40">
        <f>SMALL(SimDataTRI!$B$9:$B$508,29)</f>
        <v>39.966783699399087</v>
      </c>
      <c r="J40">
        <f>IF(COUNT(J12:J39)&gt;=COUNT(SimDataTRI!$B$9:$B$508),NA(),1/(COUNT(SimDataTRI!$B$9:$B$508)-1)+J39)</f>
        <v>5.611222444889781E-2</v>
      </c>
      <c r="S40">
        <v>26</v>
      </c>
      <c r="T40" s="6">
        <f t="shared" si="0"/>
        <v>53.954503729997008</v>
      </c>
      <c r="U40" s="1">
        <f>_xll.PDENSITY($T$40,SimDataTRI!$B$9:$B$508,$T$9,$T$10,0)</f>
        <v>9.8437603028146449E-3</v>
      </c>
    </row>
    <row r="41" spans="1:21" x14ac:dyDescent="0.45">
      <c r="A41">
        <v>33</v>
      </c>
      <c r="B41">
        <v>61.16652639509855</v>
      </c>
      <c r="I41">
        <f>SMALL(SimDataTRI!$B$9:$B$508,30)</f>
        <v>40.132182166024776</v>
      </c>
      <c r="J41">
        <f>IF(COUNT(J12:J40)&gt;=COUNT(SimDataTRI!$B$9:$B$508),NA(),1/(COUNT(SimDataTRI!$B$9:$B$508)-1)+J40)</f>
        <v>5.8116232464929876E-2</v>
      </c>
      <c r="S41">
        <v>27</v>
      </c>
      <c r="T41" s="6">
        <f t="shared" si="0"/>
        <v>55.2133545800734</v>
      </c>
      <c r="U41" s="1">
        <f>_xll.PDENSITY($T$41,SimDataTRI!$B$9:$B$508,$T$9,$T$10,0)</f>
        <v>1.0200130974253518E-2</v>
      </c>
    </row>
    <row r="42" spans="1:21" x14ac:dyDescent="0.45">
      <c r="A42">
        <v>34</v>
      </c>
      <c r="B42">
        <v>129.13400043274905</v>
      </c>
      <c r="I42">
        <f>SMALL(SimDataTRI!$B$9:$B$508,31)</f>
        <v>40.397200014296608</v>
      </c>
      <c r="J42">
        <f>IF(COUNT(J12:J41)&gt;=COUNT(SimDataTRI!$B$9:$B$508),NA(),1/(COUNT(SimDataTRI!$B$9:$B$508)-1)+J41)</f>
        <v>6.0120240480961942E-2</v>
      </c>
      <c r="S42">
        <v>28</v>
      </c>
      <c r="T42" s="6">
        <f t="shared" si="0"/>
        <v>56.472205430149792</v>
      </c>
      <c r="U42" s="1">
        <f>_xll.PDENSITY($T$42,SimDataTRI!$B$9:$B$508,$T$9,$T$10,0)</f>
        <v>1.0553014114970234E-2</v>
      </c>
    </row>
    <row r="43" spans="1:21" x14ac:dyDescent="0.45">
      <c r="A43">
        <v>35</v>
      </c>
      <c r="B43">
        <v>35.928257670624447</v>
      </c>
      <c r="I43">
        <f>SMALL(SimDataTRI!$B$9:$B$508,32)</f>
        <v>40.799610239906869</v>
      </c>
      <c r="J43">
        <f>IF(COUNT(J12:J42)&gt;=COUNT(SimDataTRI!$B$9:$B$508),NA(),1/(COUNT(SimDataTRI!$B$9:$B$508)-1)+J42)</f>
        <v>6.2124248496994008E-2</v>
      </c>
      <c r="S43">
        <v>29</v>
      </c>
      <c r="T43" s="6">
        <f t="shared" si="0"/>
        <v>57.731056280226184</v>
      </c>
      <c r="U43" s="1">
        <f>_xll.PDENSITY($T$43,SimDataTRI!$B$9:$B$508,$T$9,$T$10,0)</f>
        <v>1.0901233575037004E-2</v>
      </c>
    </row>
    <row r="44" spans="1:21" x14ac:dyDescent="0.45">
      <c r="A44">
        <v>36</v>
      </c>
      <c r="B44">
        <v>39.109167553257024</v>
      </c>
      <c r="I44">
        <f>SMALL(SimDataTRI!$B$9:$B$508,33)</f>
        <v>41.316586323236436</v>
      </c>
      <c r="J44">
        <f>IF(COUNT(J12:J43)&gt;=COUNT(SimDataTRI!$B$9:$B$508),NA(),1/(COUNT(SimDataTRI!$B$9:$B$508)-1)+J43)</f>
        <v>6.4128256513026075E-2</v>
      </c>
      <c r="S44">
        <v>30</v>
      </c>
      <c r="T44" s="6">
        <f t="shared" si="0"/>
        <v>58.989907130302576</v>
      </c>
      <c r="U44" s="1">
        <f>_xll.PDENSITY($T$44,SimDataTRI!$B$9:$B$508,$T$9,$T$10,0)</f>
        <v>1.1243207984886809E-2</v>
      </c>
    </row>
    <row r="45" spans="1:21" x14ac:dyDescent="0.45">
      <c r="A45">
        <v>37</v>
      </c>
      <c r="B45">
        <v>115.5442062770292</v>
      </c>
      <c r="I45">
        <f>SMALL(SimDataTRI!$B$9:$B$508,34)</f>
        <v>41.633782862351588</v>
      </c>
      <c r="J45">
        <f>IF(COUNT(J12:J44)&gt;=COUNT(SimDataTRI!$B$9:$B$508),NA(),1/(COUNT(SimDataTRI!$B$9:$B$508)-1)+J44)</f>
        <v>6.6132264529058141E-2</v>
      </c>
      <c r="S45">
        <v>31</v>
      </c>
      <c r="T45" s="6">
        <f t="shared" si="0"/>
        <v>60.248757980378969</v>
      </c>
      <c r="U45" s="1">
        <f>_xll.PDENSITY($T$45,SimDataTRI!$B$9:$B$508,$T$9,$T$10,0)</f>
        <v>1.1576905238047101E-2</v>
      </c>
    </row>
    <row r="46" spans="1:21" x14ac:dyDescent="0.45">
      <c r="A46">
        <v>38</v>
      </c>
      <c r="B46">
        <v>102.48153600829077</v>
      </c>
      <c r="I46">
        <f>SMALL(SimDataTRI!$B$9:$B$508,35)</f>
        <v>41.917282294477332</v>
      </c>
      <c r="J46">
        <f>IF(COUNT(J12:J45)&gt;=COUNT(SimDataTRI!$B$9:$B$508),NA(),1/(COUNT(SimDataTRI!$B$9:$B$508)-1)+J45)</f>
        <v>6.8136272545090207E-2</v>
      </c>
      <c r="S46">
        <v>32</v>
      </c>
      <c r="T46" s="6">
        <f t="shared" si="0"/>
        <v>61.507608830455361</v>
      </c>
      <c r="U46" s="1">
        <f>_xll.PDENSITY($T$46,SimDataTRI!$B$9:$B$508,$T$9,$T$10,0)</f>
        <v>1.189982754240153E-2</v>
      </c>
    </row>
    <row r="47" spans="1:21" x14ac:dyDescent="0.45">
      <c r="A47">
        <v>39</v>
      </c>
      <c r="B47">
        <v>69.661217515538652</v>
      </c>
      <c r="I47">
        <f>SMALL(SimDataTRI!$B$9:$B$508,36)</f>
        <v>42.245256094341819</v>
      </c>
      <c r="J47">
        <f>IF(COUNT(J12:J46)&gt;=COUNT(SimDataTRI!$B$9:$B$508),NA(),1/(COUNT(SimDataTRI!$B$9:$B$508)-1)+J46)</f>
        <v>7.0140280561122273E-2</v>
      </c>
      <c r="S47">
        <v>33</v>
      </c>
      <c r="T47" s="6">
        <f t="shared" si="0"/>
        <v>62.766459680531753</v>
      </c>
      <c r="U47" s="1">
        <f>_xll.PDENSITY($T$47,SimDataTRI!$B$9:$B$508,$T$9,$T$10,0)</f>
        <v>1.2209035275200302E-2</v>
      </c>
    </row>
    <row r="48" spans="1:21" x14ac:dyDescent="0.45">
      <c r="A48">
        <v>40</v>
      </c>
      <c r="B48">
        <v>51.160578640014656</v>
      </c>
      <c r="I48">
        <f>SMALL(SimDataTRI!$B$9:$B$508,37)</f>
        <v>42.421001138928574</v>
      </c>
      <c r="J48">
        <f>IF(COUNT(J12:J47)&gt;=COUNT(SimDataTRI!$B$9:$B$508),NA(),1/(COUNT(SimDataTRI!$B$9:$B$508)-1)+J47)</f>
        <v>7.2144288577154339E-2</v>
      </c>
      <c r="S48">
        <v>34</v>
      </c>
      <c r="T48" s="6">
        <f t="shared" ref="T48:T79" si="1">1/99*($T$8-$T$7)+T47</f>
        <v>64.025310530608138</v>
      </c>
      <c r="U48" s="1">
        <f>_xll.PDENSITY($T$48,SimDataTRI!$B$9:$B$508,$T$9,$T$10,0)</f>
        <v>1.2501214911729348E-2</v>
      </c>
    </row>
    <row r="49" spans="1:21" x14ac:dyDescent="0.45">
      <c r="A49">
        <v>41</v>
      </c>
      <c r="B49">
        <v>147.10946663564982</v>
      </c>
      <c r="I49">
        <f>SMALL(SimDataTRI!$B$9:$B$508,38)</f>
        <v>42.677686587940414</v>
      </c>
      <c r="J49">
        <f>IF(COUNT(J12:J48)&gt;=COUNT(SimDataTRI!$B$9:$B$508),NA(),1/(COUNT(SimDataTRI!$B$9:$B$508)-1)+J48)</f>
        <v>7.4148296593186405E-2</v>
      </c>
      <c r="S49">
        <v>35</v>
      </c>
      <c r="T49" s="6">
        <f t="shared" si="1"/>
        <v>65.284161380684523</v>
      </c>
      <c r="U49" s="1">
        <f>_xll.PDENSITY($T$49,SimDataTRI!$B$9:$B$508,$T$9,$T$10,0)</f>
        <v>1.2772792056069791E-2</v>
      </c>
    </row>
    <row r="50" spans="1:21" x14ac:dyDescent="0.45">
      <c r="A50">
        <v>42</v>
      </c>
      <c r="B50">
        <v>22.483232478087228</v>
      </c>
      <c r="I50">
        <f>SMALL(SimDataTRI!$B$9:$B$508,39)</f>
        <v>42.942900902905528</v>
      </c>
      <c r="J50">
        <f>IF(COUNT(J12:J49)&gt;=COUNT(SimDataTRI!$B$9:$B$508),NA(),1/(COUNT(SimDataTRI!$B$9:$B$508)-1)+J49)</f>
        <v>7.6152304609218471E-2</v>
      </c>
      <c r="S50">
        <v>36</v>
      </c>
      <c r="T50" s="6">
        <f t="shared" si="1"/>
        <v>66.543012230760908</v>
      </c>
      <c r="U50" s="1">
        <f>_xll.PDENSITY($T$50,SimDataTRI!$B$9:$B$508,$T$9,$T$10,0)</f>
        <v>1.302008546903723E-2</v>
      </c>
    </row>
    <row r="51" spans="1:21" x14ac:dyDescent="0.45">
      <c r="A51">
        <v>43</v>
      </c>
      <c r="B51">
        <v>83.314723087581697</v>
      </c>
      <c r="I51">
        <f>SMALL(SimDataTRI!$B$9:$B$508,40)</f>
        <v>43.361511253860741</v>
      </c>
      <c r="J51">
        <f>IF(COUNT(J12:J50)&gt;=COUNT(SimDataTRI!$B$9:$B$508),NA(),1/(COUNT(SimDataTRI!$B$9:$B$508)-1)+J50)</f>
        <v>7.8156312625250537E-2</v>
      </c>
      <c r="S51">
        <v>37</v>
      </c>
      <c r="T51" s="6">
        <f t="shared" si="1"/>
        <v>67.801863080837293</v>
      </c>
      <c r="U51" s="1">
        <f>_xll.PDENSITY($T$51,SimDataTRI!$B$9:$B$508,$T$9,$T$10,0)</f>
        <v>1.3239492578066957E-2</v>
      </c>
    </row>
    <row r="52" spans="1:21" x14ac:dyDescent="0.45">
      <c r="A52">
        <v>44</v>
      </c>
      <c r="B52">
        <v>43.361511253860741</v>
      </c>
      <c r="I52">
        <f>SMALL(SimDataTRI!$B$9:$B$508,41)</f>
        <v>43.72539757622566</v>
      </c>
      <c r="J52">
        <f>IF(COUNT(J12:J51)&gt;=COUNT(SimDataTRI!$B$9:$B$508),NA(),1/(COUNT(SimDataTRI!$B$9:$B$508)-1)+J51)</f>
        <v>8.0160320641282604E-2</v>
      </c>
      <c r="S52">
        <v>38</v>
      </c>
      <c r="T52" s="6">
        <f t="shared" si="1"/>
        <v>69.060713930913678</v>
      </c>
      <c r="U52" s="1">
        <f>_xll.PDENSITY($T$52,SimDataTRI!$B$9:$B$508,$T$9,$T$10,0)</f>
        <v>1.3427692044982115E-2</v>
      </c>
    </row>
    <row r="53" spans="1:21" x14ac:dyDescent="0.45">
      <c r="A53">
        <v>45</v>
      </c>
      <c r="B53">
        <v>71.347552754226911</v>
      </c>
      <c r="I53">
        <f>SMALL(SimDataTRI!$B$9:$B$508,42)</f>
        <v>43.859805186614452</v>
      </c>
      <c r="J53">
        <f>IF(COUNT(J12:J52)&gt;=COUNT(SimDataTRI!$B$9:$B$508),NA(),1/(COUNT(SimDataTRI!$B$9:$B$508)-1)+J52)</f>
        <v>8.216432865731467E-2</v>
      </c>
      <c r="S53">
        <v>39</v>
      </c>
      <c r="T53" s="6">
        <f t="shared" si="1"/>
        <v>70.319564780990063</v>
      </c>
      <c r="U53" s="1">
        <f>_xll.PDENSITY($T$53,SimDataTRI!$B$9:$B$508,$T$9,$T$10,0)</f>
        <v>1.358184538508085E-2</v>
      </c>
    </row>
    <row r="54" spans="1:21" x14ac:dyDescent="0.45">
      <c r="A54">
        <v>46</v>
      </c>
      <c r="B54">
        <v>52.269018569735039</v>
      </c>
      <c r="I54">
        <f>SMALL(SimDataTRI!$B$9:$B$508,43)</f>
        <v>44.333499165117885</v>
      </c>
      <c r="J54">
        <f>IF(COUNT(J12:J53)&gt;=COUNT(SimDataTRI!$B$9:$B$508),NA(),1/(COUNT(SimDataTRI!$B$9:$B$508)-1)+J53)</f>
        <v>8.4168336673346736E-2</v>
      </c>
      <c r="S54">
        <v>40</v>
      </c>
      <c r="T54" s="6">
        <f t="shared" si="1"/>
        <v>71.578415631066449</v>
      </c>
      <c r="U54" s="1">
        <f>_xll.PDENSITY($T$54,SimDataTRI!$B$9:$B$508,$T$9,$T$10,0)</f>
        <v>1.3699778094681441E-2</v>
      </c>
    </row>
    <row r="55" spans="1:21" x14ac:dyDescent="0.45">
      <c r="A55">
        <v>47</v>
      </c>
      <c r="B55">
        <v>110.75998356275574</v>
      </c>
      <c r="I55">
        <f>SMALL(SimDataTRI!$B$9:$B$508,44)</f>
        <v>44.615435526389625</v>
      </c>
      <c r="J55">
        <f>IF(COUNT(J12:J54)&gt;=COUNT(SimDataTRI!$B$9:$B$508),NA(),1/(COUNT(SimDataTRI!$B$9:$B$508)-1)+J54)</f>
        <v>8.6172344689378802E-2</v>
      </c>
      <c r="S55">
        <v>41</v>
      </c>
      <c r="T55" s="6">
        <f t="shared" si="1"/>
        <v>72.837266481142834</v>
      </c>
      <c r="U55" s="1">
        <f>_xll.PDENSITY($T$55,SimDataTRI!$B$9:$B$508,$T$9,$T$10,0)</f>
        <v>1.3780121712649852E-2</v>
      </c>
    </row>
    <row r="56" spans="1:21" x14ac:dyDescent="0.45">
      <c r="A56">
        <v>48</v>
      </c>
      <c r="B56">
        <v>99.605215045459289</v>
      </c>
      <c r="I56">
        <f>SMALL(SimDataTRI!$B$9:$B$508,45)</f>
        <v>44.663802762248906</v>
      </c>
      <c r="J56">
        <f>IF(COUNT(J12:J55)&gt;=COUNT(SimDataTRI!$B$9:$B$508),NA(),1/(COUNT(SimDataTRI!$B$9:$B$508)-1)+J55)</f>
        <v>8.8176352705410868E-2</v>
      </c>
      <c r="S56">
        <v>42</v>
      </c>
      <c r="T56" s="6">
        <f t="shared" si="1"/>
        <v>74.096117331219219</v>
      </c>
      <c r="U56" s="1">
        <f>_xll.PDENSITY($T$56,SimDataTRI!$B$9:$B$508,$T$9,$T$10,0)</f>
        <v>1.3822401786404715E-2</v>
      </c>
    </row>
    <row r="57" spans="1:21" x14ac:dyDescent="0.45">
      <c r="A57">
        <v>49</v>
      </c>
      <c r="B57">
        <v>74.33806271684854</v>
      </c>
      <c r="I57">
        <f>SMALL(SimDataTRI!$B$9:$B$508,46)</f>
        <v>45.001863124949367</v>
      </c>
      <c r="J57">
        <f>IF(COUNT(J12:J56)&gt;=COUNT(SimDataTRI!$B$9:$B$508),NA(),1/(COUNT(SimDataTRI!$B$9:$B$508)-1)+J56)</f>
        <v>9.0180360721442934E-2</v>
      </c>
      <c r="S57">
        <v>43</v>
      </c>
      <c r="T57" s="6">
        <f t="shared" si="1"/>
        <v>75.354968181295604</v>
      </c>
      <c r="U57" s="1">
        <f>_xll.PDENSITY($T$57,SimDataTRI!$B$9:$B$508,$T$9,$T$10,0)</f>
        <v>1.3827062461121531E-2</v>
      </c>
    </row>
    <row r="58" spans="1:21" x14ac:dyDescent="0.45">
      <c r="A58">
        <v>50</v>
      </c>
      <c r="B58">
        <v>39.353956335583675</v>
      </c>
      <c r="I58">
        <f>SMALL(SimDataTRI!$B$9:$B$508,47)</f>
        <v>45.285904433394236</v>
      </c>
      <c r="J58">
        <f>IF(COUNT(J12:J57)&gt;=COUNT(SimDataTRI!$B$9:$B$508),NA(),1/(COUNT(SimDataTRI!$B$9:$B$508)-1)+J57)</f>
        <v>9.2184368737475E-2</v>
      </c>
      <c r="S58">
        <v>44</v>
      </c>
      <c r="T58" s="6">
        <f t="shared" si="1"/>
        <v>76.613819031371989</v>
      </c>
      <c r="U58" s="1">
        <f>_xll.PDENSITY($T$58,SimDataTRI!$B$9:$B$508,$T$9,$T$10,0)</f>
        <v>1.3795425575293762E-2</v>
      </c>
    </row>
    <row r="59" spans="1:21" x14ac:dyDescent="0.45">
      <c r="A59">
        <v>51</v>
      </c>
      <c r="B59">
        <v>103.50471408574433</v>
      </c>
      <c r="I59">
        <f>SMALL(SimDataTRI!$B$9:$B$508,48)</f>
        <v>45.673954682985787</v>
      </c>
      <c r="J59">
        <f>IF(COUNT(J12:J58)&gt;=COUNT(SimDataTRI!$B$9:$B$508),NA(),1/(COUNT(SimDataTRI!$B$9:$B$508)-1)+J58)</f>
        <v>9.4188376753507067E-2</v>
      </c>
      <c r="S59">
        <v>45</v>
      </c>
      <c r="T59" s="6">
        <f t="shared" si="1"/>
        <v>77.872669881448374</v>
      </c>
      <c r="U59" s="1">
        <f>_xll.PDENSITY($T$59,SimDataTRI!$B$9:$B$508,$T$9,$T$10,0)</f>
        <v>1.3729589650687001E-2</v>
      </c>
    </row>
    <row r="60" spans="1:21" x14ac:dyDescent="0.45">
      <c r="A60">
        <v>52</v>
      </c>
      <c r="B60">
        <v>75.464750909667345</v>
      </c>
      <c r="I60">
        <f>SMALL(SimDataTRI!$B$9:$B$508,49)</f>
        <v>45.944284244429902</v>
      </c>
      <c r="J60">
        <f>IF(COUNT(J12:J59)&gt;=COUNT(SimDataTRI!$B$9:$B$508),NA(),1/(COUNT(SimDataTRI!$B$9:$B$508)-1)+J59)</f>
        <v>9.6192384769539133E-2</v>
      </c>
      <c r="S60">
        <v>46</v>
      </c>
      <c r="T60" s="6">
        <f t="shared" si="1"/>
        <v>79.131520731524759</v>
      </c>
      <c r="U60" s="1">
        <f>_xll.PDENSITY($T$60,SimDataTRI!$B$9:$B$508,$T$9,$T$10,0)</f>
        <v>1.3632280843128421E-2</v>
      </c>
    </row>
    <row r="61" spans="1:21" x14ac:dyDescent="0.45">
      <c r="A61">
        <v>53</v>
      </c>
      <c r="B61">
        <v>75.164758251549046</v>
      </c>
      <c r="I61">
        <f>SMALL(SimDataTRI!$B$9:$B$508,50)</f>
        <v>46.140557724297253</v>
      </c>
      <c r="J61">
        <f>IF(COUNT(J12:J60)&gt;=COUNT(SimDataTRI!$B$9:$B$508),NA(),1/(COUNT(SimDataTRI!$B$9:$B$508)-1)+J60)</f>
        <v>9.8196392785571199E-2</v>
      </c>
      <c r="S61">
        <v>47</v>
      </c>
      <c r="T61" s="6">
        <f t="shared" si="1"/>
        <v>80.390371581601144</v>
      </c>
      <c r="U61" s="1">
        <f>_xll.PDENSITY($T$61,SimDataTRI!$B$9:$B$508,$T$9,$T$10,0)</f>
        <v>1.3506672742413819E-2</v>
      </c>
    </row>
    <row r="62" spans="1:21" x14ac:dyDescent="0.45">
      <c r="A62">
        <v>54</v>
      </c>
      <c r="B62">
        <v>60.817799125622351</v>
      </c>
      <c r="I62">
        <f>SMALL(SimDataTRI!$B$9:$B$508,51)</f>
        <v>46.366507957221714</v>
      </c>
      <c r="J62">
        <f>IF(COUNT(J12:J61)&gt;=COUNT(SimDataTRI!$B$9:$B$508),NA(),1/(COUNT(SimDataTRI!$B$9:$B$508)-1)+J61)</f>
        <v>0.10020040080160326</v>
      </c>
      <c r="S62">
        <v>48</v>
      </c>
      <c r="T62" s="6">
        <f t="shared" si="1"/>
        <v>81.649222431677529</v>
      </c>
      <c r="U62" s="1">
        <f>_xll.PDENSITY($T$62,SimDataTRI!$B$9:$B$508,$T$9,$T$10,0)</f>
        <v>1.3356194186777692E-2</v>
      </c>
    </row>
    <row r="63" spans="1:21" x14ac:dyDescent="0.45">
      <c r="A63">
        <v>55</v>
      </c>
      <c r="B63">
        <v>41.316586323236436</v>
      </c>
      <c r="I63">
        <f>SMALL(SimDataTRI!$B$9:$B$508,52)</f>
        <v>46.740039725643577</v>
      </c>
      <c r="J63">
        <f>IF(COUNT(J12:J62)&gt;=COUNT(SimDataTRI!$B$9:$B$508),NA(),1/(COUNT(SimDataTRI!$B$9:$B$508)-1)+J62)</f>
        <v>0.10220440881763533</v>
      </c>
      <c r="S63">
        <v>49</v>
      </c>
      <c r="T63" s="6">
        <f t="shared" si="1"/>
        <v>82.908073281753914</v>
      </c>
      <c r="U63" s="1">
        <f>_xll.PDENSITY($T$63,SimDataTRI!$B$9:$B$508,$T$9,$T$10,0)</f>
        <v>1.3184343776033143E-2</v>
      </c>
    </row>
    <row r="64" spans="1:21" x14ac:dyDescent="0.45">
      <c r="A64">
        <v>56</v>
      </c>
      <c r="B64">
        <v>110.70377256498297</v>
      </c>
      <c r="I64">
        <f>SMALL(SimDataTRI!$B$9:$B$508,53)</f>
        <v>46.896750190891865</v>
      </c>
      <c r="J64">
        <f>IF(COUNT(J12:J63)&gt;=COUNT(SimDataTRI!$B$9:$B$508),NA(),1/(COUNT(SimDataTRI!$B$9:$B$508)-1)+J63)</f>
        <v>0.1042084168336674</v>
      </c>
      <c r="S64">
        <v>50</v>
      </c>
      <c r="T64" s="6">
        <f t="shared" si="1"/>
        <v>84.166924131830299</v>
      </c>
      <c r="U64" s="1">
        <f>_xll.PDENSITY($T$64,SimDataTRI!$B$9:$B$508,$T$9,$T$10,0)</f>
        <v>1.2994526815076565E-2</v>
      </c>
    </row>
    <row r="65" spans="1:21" x14ac:dyDescent="0.45">
      <c r="A65">
        <v>57</v>
      </c>
      <c r="B65">
        <v>113.10266450485491</v>
      </c>
      <c r="I65">
        <f>SMALL(SimDataTRI!$B$9:$B$508,54)</f>
        <v>47.275071817995602</v>
      </c>
      <c r="J65">
        <f>IF(COUNT(J12:J64)&gt;=COUNT(SimDataTRI!$B$9:$B$508),NA(),1/(COUNT(SimDataTRI!$B$9:$B$508)-1)+J64)</f>
        <v>0.10621242484969946</v>
      </c>
      <c r="S65">
        <v>51</v>
      </c>
      <c r="T65" s="6">
        <f t="shared" si="1"/>
        <v>85.425774981906685</v>
      </c>
      <c r="U65" s="1">
        <f>_xll.PDENSITY($T$65,SimDataTRI!$B$9:$B$508,$T$9,$T$10,0)</f>
        <v>1.2789925701054994E-2</v>
      </c>
    </row>
    <row r="66" spans="1:21" x14ac:dyDescent="0.45">
      <c r="A66">
        <v>58</v>
      </c>
      <c r="B66">
        <v>94.909763621953346</v>
      </c>
      <c r="I66">
        <f>SMALL(SimDataTRI!$B$9:$B$508,55)</f>
        <v>47.393094732265197</v>
      </c>
      <c r="J66">
        <f>IF(COUNT(J12:J65)&gt;=COUNT(SimDataTRI!$B$9:$B$508),NA(),1/(COUNT(SimDataTRI!$B$9:$B$508)-1)+J65)</f>
        <v>0.10821643286573153</v>
      </c>
      <c r="S66">
        <v>52</v>
      </c>
      <c r="T66" s="6">
        <f t="shared" si="1"/>
        <v>86.68462583198307</v>
      </c>
      <c r="U66" s="1">
        <f>_xll.PDENSITY($T$66,SimDataTRI!$B$9:$B$508,$T$9,$T$10,0)</f>
        <v>1.2573409235081526E-2</v>
      </c>
    </row>
    <row r="67" spans="1:21" x14ac:dyDescent="0.45">
      <c r="A67">
        <v>59</v>
      </c>
      <c r="B67">
        <v>108.14559984038084</v>
      </c>
      <c r="I67">
        <f>SMALL(SimDataTRI!$B$9:$B$508,56)</f>
        <v>47.715545868933731</v>
      </c>
      <c r="J67">
        <f>IF(COUNT(J12:J66)&gt;=COUNT(SimDataTRI!$B$9:$B$508),NA(),1/(COUNT(SimDataTRI!$B$9:$B$508)-1)+J66)</f>
        <v>0.1102204408817636</v>
      </c>
      <c r="S67">
        <v>53</v>
      </c>
      <c r="T67" s="6">
        <f t="shared" si="1"/>
        <v>87.943476682059455</v>
      </c>
      <c r="U67" s="1">
        <f>_xll.PDENSITY($T$67,SimDataTRI!$B$9:$B$508,$T$9,$T$10,0)</f>
        <v>1.2347480979118834E-2</v>
      </c>
    </row>
    <row r="68" spans="1:21" x14ac:dyDescent="0.45">
      <c r="A68">
        <v>60</v>
      </c>
      <c r="B68">
        <v>73.5733211757384</v>
      </c>
      <c r="I68">
        <f>SMALL(SimDataTRI!$B$9:$B$508,57)</f>
        <v>47.779210827890822</v>
      </c>
      <c r="J68">
        <f>IF(COUNT(J12:J67)&gt;=COUNT(SimDataTRI!$B$9:$B$508),NA(),1/(COUNT(SimDataTRI!$B$9:$B$508)-1)+J67)</f>
        <v>0.11222444889779566</v>
      </c>
      <c r="S68">
        <v>54</v>
      </c>
      <c r="T68" s="6">
        <f t="shared" si="1"/>
        <v>89.20232753213584</v>
      </c>
      <c r="U68" s="1">
        <f>_xll.PDENSITY($T$68,SimDataTRI!$B$9:$B$508,$T$9,$T$10,0)</f>
        <v>1.2114262409911297E-2</v>
      </c>
    </row>
    <row r="69" spans="1:21" x14ac:dyDescent="0.45">
      <c r="A69">
        <v>61</v>
      </c>
      <c r="B69">
        <v>87.964639235399474</v>
      </c>
      <c r="I69">
        <f>SMALL(SimDataTRI!$B$9:$B$508,58)</f>
        <v>48.095308897786239</v>
      </c>
      <c r="J69">
        <f>IF(COUNT(J12:J68)&gt;=COUNT(SimDataTRI!$B$9:$B$508),NA(),1/(COUNT(SimDataTRI!$B$9:$B$508)-1)+J68)</f>
        <v>0.11422845691382773</v>
      </c>
      <c r="S69">
        <v>55</v>
      </c>
      <c r="T69" s="6">
        <f t="shared" si="1"/>
        <v>90.461178382212225</v>
      </c>
      <c r="U69" s="1">
        <f>_xll.PDENSITY($T$69,SimDataTRI!$B$9:$B$508,$T$9,$T$10,0)</f>
        <v>1.1875503754843869E-2</v>
      </c>
    </row>
    <row r="70" spans="1:21" x14ac:dyDescent="0.45">
      <c r="A70">
        <v>62</v>
      </c>
      <c r="B70">
        <v>78.720814699799149</v>
      </c>
      <c r="I70">
        <f>SMALL(SimDataTRI!$B$9:$B$508,59)</f>
        <v>48.303633621728352</v>
      </c>
      <c r="J70">
        <f>IF(COUNT(J12:J69)&gt;=COUNT(SimDataTRI!$B$9:$B$508),NA(),1/(COUNT(SimDataTRI!$B$9:$B$508)-1)+J69)</f>
        <v>0.11623246492985979</v>
      </c>
      <c r="S70">
        <v>56</v>
      </c>
      <c r="T70" s="6">
        <f t="shared" si="1"/>
        <v>91.72002923228861</v>
      </c>
      <c r="U70" s="1">
        <f>_xll.PDENSITY($T$70,SimDataTRI!$B$9:$B$508,$T$9,$T$10,0)</f>
        <v>1.1632614174414208E-2</v>
      </c>
    </row>
    <row r="71" spans="1:21" x14ac:dyDescent="0.45">
      <c r="A71">
        <v>63</v>
      </c>
      <c r="B71">
        <v>71.066559751862428</v>
      </c>
      <c r="I71">
        <f>SMALL(SimDataTRI!$B$9:$B$508,60)</f>
        <v>48.686958969556429</v>
      </c>
      <c r="J71">
        <f>IF(COUNT(J12:J70)&gt;=COUNT(SimDataTRI!$B$9:$B$508),NA(),1/(COUNT(SimDataTRI!$B$9:$B$508)-1)+J70)</f>
        <v>0.11823647294589186</v>
      </c>
      <c r="S71">
        <v>57</v>
      </c>
      <c r="T71" s="6">
        <f t="shared" si="1"/>
        <v>92.978880082364995</v>
      </c>
      <c r="U71" s="1">
        <f>_xll.PDENSITY($T$71,SimDataTRI!$B$9:$B$508,$T$9,$T$10,0)</f>
        <v>1.1386703195760028E-2</v>
      </c>
    </row>
    <row r="72" spans="1:21" x14ac:dyDescent="0.45">
      <c r="A72">
        <v>64</v>
      </c>
      <c r="B72">
        <v>119.77538241919615</v>
      </c>
      <c r="I72">
        <f>SMALL(SimDataTRI!$B$9:$B$508,61)</f>
        <v>48.82079653720735</v>
      </c>
      <c r="J72">
        <f>IF(COUNT(J12:J71)&gt;=COUNT(SimDataTRI!$B$9:$B$508),NA(),1/(COUNT(SimDataTRI!$B$9:$B$508)-1)+J71)</f>
        <v>0.12024048096192393</v>
      </c>
      <c r="S72">
        <v>58</v>
      </c>
      <c r="T72" s="6">
        <f t="shared" si="1"/>
        <v>94.23773093244138</v>
      </c>
      <c r="U72" s="1">
        <f>_xll.PDENSITY($T$72,SimDataTRI!$B$9:$B$508,$T$9,$T$10,0)</f>
        <v>1.1138626584646639E-2</v>
      </c>
    </row>
    <row r="73" spans="1:21" x14ac:dyDescent="0.45">
      <c r="A73">
        <v>65</v>
      </c>
      <c r="B73">
        <v>135.56207198686349</v>
      </c>
      <c r="I73">
        <f>SMALL(SimDataTRI!$B$9:$B$508,62)</f>
        <v>49.003043627599425</v>
      </c>
      <c r="J73">
        <f>IF(COUNT(J12:J72)&gt;=COUNT(SimDataTRI!$B$9:$B$508),NA(),1/(COUNT(SimDataTRI!$B$9:$B$508)-1)+J72)</f>
        <v>0.12224448897795599</v>
      </c>
      <c r="S73">
        <v>59</v>
      </c>
      <c r="T73" s="6">
        <f t="shared" si="1"/>
        <v>95.496581782517765</v>
      </c>
      <c r="U73" s="1">
        <f>_xll.PDENSITY($T$73,SimDataTRI!$B$9:$B$508,$T$9,$T$10,0)</f>
        <v>1.0889031658479591E-2</v>
      </c>
    </row>
    <row r="74" spans="1:21" x14ac:dyDescent="0.45">
      <c r="A74">
        <v>66</v>
      </c>
      <c r="B74">
        <v>108.30424185410678</v>
      </c>
      <c r="I74">
        <f>SMALL(SimDataTRI!$B$9:$B$508,63)</f>
        <v>49.313872180402768</v>
      </c>
      <c r="J74">
        <f>IF(COUNT(J12:J73)&gt;=COUNT(SimDataTRI!$B$9:$B$508),NA(),1/(COUNT(SimDataTRI!$B$9:$B$508)-1)+J73)</f>
        <v>0.12424849699398806</v>
      </c>
      <c r="S74">
        <v>60</v>
      </c>
      <c r="T74" s="6">
        <f t="shared" si="1"/>
        <v>96.75543263259415</v>
      </c>
      <c r="U74" s="1">
        <f>_xll.PDENSITY($T$74,SimDataTRI!$B$9:$B$508,$T$9,$T$10,0)</f>
        <v>1.0638398915401937E-2</v>
      </c>
    </row>
    <row r="75" spans="1:21" x14ac:dyDescent="0.45">
      <c r="A75">
        <v>67</v>
      </c>
      <c r="B75">
        <v>104.06041376805827</v>
      </c>
      <c r="I75">
        <f>SMALL(SimDataTRI!$B$9:$B$508,64)</f>
        <v>49.617655659779757</v>
      </c>
      <c r="J75">
        <f>IF(COUNT(J12:J74)&gt;=COUNT(SimDataTRI!$B$9:$B$508),NA(),1/(COUNT(SimDataTRI!$B$9:$B$508)-1)+J74)</f>
        <v>0.12625250501002011</v>
      </c>
      <c r="S75">
        <v>61</v>
      </c>
      <c r="T75" s="6">
        <f t="shared" si="1"/>
        <v>98.014283482670535</v>
      </c>
      <c r="U75" s="1">
        <f>_xll.PDENSITY($T$75,SimDataTRI!$B$9:$B$508,$T$9,$T$10,0)</f>
        <v>1.0387078439651377E-2</v>
      </c>
    </row>
    <row r="76" spans="1:21" x14ac:dyDescent="0.45">
      <c r="A76">
        <v>68</v>
      </c>
      <c r="B76">
        <v>93.167026244408532</v>
      </c>
      <c r="I76">
        <f>SMALL(SimDataTRI!$B$9:$B$508,65)</f>
        <v>49.915109913425326</v>
      </c>
      <c r="J76">
        <f>IF(COUNT(J12:J75)&gt;=COUNT(SimDataTRI!$B$9:$B$508),NA(),1/(COUNT(SimDataTRI!$B$9:$B$508)-1)+J75)</f>
        <v>0.12825651302605218</v>
      </c>
      <c r="S76">
        <v>62</v>
      </c>
      <c r="T76" s="6">
        <f t="shared" si="1"/>
        <v>99.27313433274692</v>
      </c>
      <c r="U76" s="1">
        <f>_xll.PDENSITY($T$76,SimDataTRI!$B$9:$B$508,$T$9,$T$10,0)</f>
        <v>1.0135320667713034E-2</v>
      </c>
    </row>
    <row r="77" spans="1:21" x14ac:dyDescent="0.45">
      <c r="A77">
        <v>69</v>
      </c>
      <c r="B77">
        <v>114.9672226433938</v>
      </c>
      <c r="I77">
        <f>SMALL(SimDataTRI!$B$9:$B$508,66)</f>
        <v>49.956613417729955</v>
      </c>
      <c r="J77">
        <f>IF(COUNT(J12:J76)&gt;=COUNT(SimDataTRI!$B$9:$B$508),NA(),1/(COUNT(SimDataTRI!$B$9:$B$508)-1)+J76)</f>
        <v>0.13026052104208424</v>
      </c>
      <c r="S77">
        <v>63</v>
      </c>
      <c r="T77" s="6">
        <f t="shared" si="1"/>
        <v>100.53198518282331</v>
      </c>
      <c r="U77" s="1">
        <f>_xll.PDENSITY($T$77,SimDataTRI!$B$9:$B$508,$T$9,$T$10,0)</f>
        <v>9.8833017503553618E-3</v>
      </c>
    </row>
    <row r="78" spans="1:21" x14ac:dyDescent="0.45">
      <c r="A78">
        <v>70</v>
      </c>
      <c r="B78">
        <v>91.880565785805516</v>
      </c>
      <c r="I78">
        <f>SMALL(SimDataTRI!$B$9:$B$508,67)</f>
        <v>50.277382348978037</v>
      </c>
      <c r="J78">
        <f>IF(COUNT(J12:J77)&gt;=COUNT(SimDataTRI!$B$9:$B$508),NA(),1/(COUNT(SimDataTRI!$B$9:$B$508)-1)+J77)</f>
        <v>0.13226452905811631</v>
      </c>
      <c r="S78">
        <v>64</v>
      </c>
      <c r="T78" s="6">
        <f t="shared" si="1"/>
        <v>101.79083603289969</v>
      </c>
      <c r="U78" s="1">
        <f>_xll.PDENSITY($T$78,SimDataTRI!$B$9:$B$508,$T$9,$T$10,0)</f>
        <v>9.6311440209610414E-3</v>
      </c>
    </row>
    <row r="79" spans="1:21" x14ac:dyDescent="0.45">
      <c r="A79">
        <v>71</v>
      </c>
      <c r="B79">
        <v>67.004233119402627</v>
      </c>
      <c r="I79">
        <f>SMALL(SimDataTRI!$B$9:$B$508,68)</f>
        <v>50.529342873812716</v>
      </c>
      <c r="J79">
        <f>IF(COUNT(J12:J78)&gt;=COUNT(SimDataTRI!$B$9:$B$508),NA(),1/(COUNT(SimDataTRI!$B$9:$B$508)-1)+J78)</f>
        <v>0.13426853707414838</v>
      </c>
      <c r="S79">
        <v>65</v>
      </c>
      <c r="T79" s="6">
        <f t="shared" si="1"/>
        <v>103.04968688297608</v>
      </c>
      <c r="U79" s="1">
        <f>_xll.PDENSITY($T$79,SimDataTRI!$B$9:$B$508,$T$9,$T$10,0)</f>
        <v>9.3789321266330456E-3</v>
      </c>
    </row>
    <row r="80" spans="1:21" x14ac:dyDescent="0.45">
      <c r="A80">
        <v>72</v>
      </c>
      <c r="B80">
        <v>76.579046343803881</v>
      </c>
      <c r="I80">
        <f>SMALL(SimDataTRI!$B$9:$B$508,69)</f>
        <v>50.715816325876936</v>
      </c>
      <c r="J80">
        <f>IF(COUNT(J12:J79)&gt;=COUNT(SimDataTRI!$B$9:$B$508),NA(),1/(COUNT(SimDataTRI!$B$9:$B$508)-1)+J79)</f>
        <v>0.13627254509018044</v>
      </c>
      <c r="S80">
        <v>66</v>
      </c>
      <c r="T80" s="6">
        <f t="shared" ref="T80:T114" si="2">1/99*($T$8-$T$7)+T79</f>
        <v>104.30853773305246</v>
      </c>
      <c r="U80" s="1">
        <f>_xll.PDENSITY($T$80,SimDataTRI!$B$9:$B$508,$T$9,$T$10,0)</f>
        <v>9.1267253308767761E-3</v>
      </c>
    </row>
    <row r="81" spans="1:21" x14ac:dyDescent="0.45">
      <c r="A81">
        <v>73</v>
      </c>
      <c r="B81">
        <v>72.057811836644987</v>
      </c>
      <c r="I81">
        <f>SMALL(SimDataTRI!$B$9:$B$508,70)</f>
        <v>50.965957892400766</v>
      </c>
      <c r="J81">
        <f>IF(COUNT(J12:J80)&gt;=COUNT(SimDataTRI!$B$9:$B$508),NA(),1/(COUNT(SimDataTRI!$B$9:$B$508)-1)+J80)</f>
        <v>0.13827655310621251</v>
      </c>
      <c r="S81">
        <v>67</v>
      </c>
      <c r="T81" s="6">
        <f t="shared" si="2"/>
        <v>105.56738858312885</v>
      </c>
      <c r="U81" s="1">
        <f>_xll.PDENSITY($T$81,SimDataTRI!$B$9:$B$508,$T$9,$T$10,0)</f>
        <v>8.8745664444069231E-3</v>
      </c>
    </row>
    <row r="82" spans="1:21" x14ac:dyDescent="0.45">
      <c r="A82">
        <v>74</v>
      </c>
      <c r="B82">
        <v>87.826687980917285</v>
      </c>
      <c r="I82">
        <f>SMALL(SimDataTRI!$B$9:$B$508,71)</f>
        <v>51.160578640014656</v>
      </c>
      <c r="J82">
        <f>IF(COUNT(J12:J81)&gt;=COUNT(SimDataTRI!$B$9:$B$508),NA(),1/(COUNT(SimDataTRI!$B$9:$B$508)-1)+J81)</f>
        <v>0.14028056112224457</v>
      </c>
      <c r="S82">
        <v>68</v>
      </c>
      <c r="T82" s="6">
        <f t="shared" si="2"/>
        <v>106.82623943320523</v>
      </c>
      <c r="U82" s="1">
        <f>_xll.PDENSITY($T$82,SimDataTRI!$B$9:$B$508,$T$9,$T$10,0)</f>
        <v>8.6224878182214922E-3</v>
      </c>
    </row>
    <row r="83" spans="1:21" x14ac:dyDescent="0.45">
      <c r="A83">
        <v>75</v>
      </c>
      <c r="B83">
        <v>94.465301308918185</v>
      </c>
      <c r="I83">
        <f>SMALL(SimDataTRI!$B$9:$B$508,72)</f>
        <v>51.425968394850365</v>
      </c>
      <c r="J83">
        <f>IF(COUNT(J12:J82)&gt;=COUNT(SimDataTRI!$B$9:$B$508),NA(),1/(COUNT(SimDataTRI!$B$9:$B$508)-1)+J82)</f>
        <v>0.14228456913827664</v>
      </c>
      <c r="S83">
        <v>69</v>
      </c>
      <c r="T83" s="6">
        <f t="shared" si="2"/>
        <v>108.08509028328162</v>
      </c>
      <c r="U83" s="1">
        <f>_xll.PDENSITY($T$83,SimDataTRI!$B$9:$B$508,$T$9,$T$10,0)</f>
        <v>8.3705148347527451E-3</v>
      </c>
    </row>
    <row r="84" spans="1:21" x14ac:dyDescent="0.45">
      <c r="A84">
        <v>76</v>
      </c>
      <c r="B84">
        <v>48.303633621728352</v>
      </c>
      <c r="I84">
        <f>SMALL(SimDataTRI!$B$9:$B$508,73)</f>
        <v>51.593027263687404</v>
      </c>
      <c r="J84">
        <f>IF(COUNT(J12:J83)&gt;=COUNT(SimDataTRI!$B$9:$B$508),NA(),1/(COUNT(SimDataTRI!$B$9:$B$508)-1)+J83)</f>
        <v>0.14428857715430871</v>
      </c>
      <c r="S84">
        <v>70</v>
      </c>
      <c r="T84" s="6">
        <f t="shared" si="2"/>
        <v>109.343941133358</v>
      </c>
      <c r="U84" s="1">
        <f>_xll.PDENSITY($T$84,SimDataTRI!$B$9:$B$508,$T$9,$T$10,0)</f>
        <v>8.1186673386554331E-3</v>
      </c>
    </row>
    <row r="85" spans="1:21" x14ac:dyDescent="0.45">
      <c r="A85">
        <v>77</v>
      </c>
      <c r="B85">
        <v>60.316541445851271</v>
      </c>
      <c r="I85">
        <f>SMALL(SimDataTRI!$B$9:$B$508,74)</f>
        <v>51.736586130719573</v>
      </c>
      <c r="J85">
        <f>IF(COUNT(J12:J84)&gt;=COUNT(SimDataTRI!$B$9:$B$508),NA(),1/(COUNT(SimDataTRI!$B$9:$B$508)-1)+J84)</f>
        <v>0.14629258517034077</v>
      </c>
      <c r="S85">
        <v>71</v>
      </c>
      <c r="T85" s="6">
        <f t="shared" si="2"/>
        <v>110.60279198343439</v>
      </c>
      <c r="U85" s="1">
        <f>_xll.PDENSITY($T$85,SimDataTRI!$B$9:$B$508,$T$9,$T$10,0)</f>
        <v>7.8669594481723098E-3</v>
      </c>
    </row>
    <row r="86" spans="1:21" x14ac:dyDescent="0.45">
      <c r="A86">
        <v>78</v>
      </c>
      <c r="B86">
        <v>34.649304705830808</v>
      </c>
      <c r="I86">
        <f>SMALL(SimDataTRI!$B$9:$B$508,75)</f>
        <v>52.035559928284009</v>
      </c>
      <c r="J86">
        <f>IF(COUNT(J12:J85)&gt;=COUNT(SimDataTRI!$B$9:$B$508),NA(),1/(COUNT(SimDataTRI!$B$9:$B$508)-1)+J85)</f>
        <v>0.14829659318637284</v>
      </c>
      <c r="S86">
        <v>72</v>
      </c>
      <c r="T86" s="6">
        <f t="shared" si="2"/>
        <v>111.86164283351077</v>
      </c>
      <c r="U86" s="1">
        <f>_xll.PDENSITY($T$86,SimDataTRI!$B$9:$B$508,$T$9,$T$10,0)</f>
        <v>7.6153981909323747E-3</v>
      </c>
    </row>
    <row r="87" spans="1:21" x14ac:dyDescent="0.45">
      <c r="A87">
        <v>79</v>
      </c>
      <c r="B87">
        <v>52.940911936868467</v>
      </c>
      <c r="I87">
        <f>SMALL(SimDataTRI!$B$9:$B$508,76)</f>
        <v>52.269018569735039</v>
      </c>
      <c r="J87">
        <f>IF(COUNT(J12:J86)&gt;=COUNT(SimDataTRI!$B$9:$B$508),NA(),1/(COUNT(SimDataTRI!$B$9:$B$508)-1)+J86)</f>
        <v>0.1503006012024049</v>
      </c>
      <c r="S87">
        <v>73</v>
      </c>
      <c r="T87" s="6">
        <f t="shared" si="2"/>
        <v>113.12049368358716</v>
      </c>
      <c r="U87" s="1">
        <f>_xll.PDENSITY($T$87,SimDataTRI!$B$9:$B$508,$T$9,$T$10,0)</f>
        <v>7.3639814387350738E-3</v>
      </c>
    </row>
    <row r="88" spans="1:21" x14ac:dyDescent="0.45">
      <c r="A88">
        <v>80</v>
      </c>
      <c r="B88">
        <v>45.944284244429902</v>
      </c>
      <c r="I88">
        <f>SMALL(SimDataTRI!$B$9:$B$508,77)</f>
        <v>52.526080944675833</v>
      </c>
      <c r="J88">
        <f>IF(COUNT(J12:J87)&gt;=COUNT(SimDataTRI!$B$9:$B$508),NA(),1/(COUNT(SimDataTRI!$B$9:$B$508)-1)+J87)</f>
        <v>0.15230460921843697</v>
      </c>
      <c r="S88">
        <v>74</v>
      </c>
      <c r="T88" s="6">
        <f t="shared" si="2"/>
        <v>114.37934453366354</v>
      </c>
      <c r="U88" s="1">
        <f>_xll.PDENSITY($T$88,SimDataTRI!$B$9:$B$508,$T$9,$T$10,0)</f>
        <v>7.1126956940400256E-3</v>
      </c>
    </row>
    <row r="89" spans="1:21" x14ac:dyDescent="0.45">
      <c r="A89">
        <v>81</v>
      </c>
      <c r="B89">
        <v>77.594944825935769</v>
      </c>
      <c r="I89">
        <f>SMALL(SimDataTRI!$B$9:$B$508,78)</f>
        <v>52.599829225520786</v>
      </c>
      <c r="J89">
        <f>IF(COUNT(J12:J88)&gt;=COUNT(SimDataTRI!$B$9:$B$508),NA(),1/(COUNT(SimDataTRI!$B$9:$B$508)-1)+J88)</f>
        <v>0.15430861723446904</v>
      </c>
      <c r="S89">
        <v>75</v>
      </c>
      <c r="T89" s="6">
        <f t="shared" si="2"/>
        <v>115.63819538373993</v>
      </c>
      <c r="U89" s="1">
        <f>_xll.PDENSITY($T$89,SimDataTRI!$B$9:$B$508,$T$9,$T$10,0)</f>
        <v>6.8615144000601066E-3</v>
      </c>
    </row>
    <row r="90" spans="1:21" x14ac:dyDescent="0.45">
      <c r="A90">
        <v>82</v>
      </c>
      <c r="B90">
        <v>112.40639597068335</v>
      </c>
      <c r="I90">
        <f>SMALL(SimDataTRI!$B$9:$B$508,79)</f>
        <v>52.940911936868467</v>
      </c>
      <c r="J90">
        <f>IF(COUNT(J12:J89)&gt;=COUNT(SimDataTRI!$B$9:$B$508),NA(),1/(COUNT(SimDataTRI!$B$9:$B$508)-1)+J89)</f>
        <v>0.1563126252505011</v>
      </c>
      <c r="S90">
        <v>76</v>
      </c>
      <c r="T90" s="6">
        <f t="shared" si="2"/>
        <v>116.89704623381631</v>
      </c>
      <c r="U90" s="1">
        <f>_xll.PDENSITY($T$90,SimDataTRI!$B$9:$B$508,$T$9,$T$10,0)</f>
        <v>6.6103975618827145E-3</v>
      </c>
    </row>
    <row r="91" spans="1:21" x14ac:dyDescent="0.45">
      <c r="A91">
        <v>83</v>
      </c>
      <c r="B91">
        <v>61.345479908258589</v>
      </c>
      <c r="I91">
        <f>SMALL(SimDataTRI!$B$9:$B$508,80)</f>
        <v>53.016221883491333</v>
      </c>
      <c r="J91">
        <f>IF(COUNT(J12:J90)&gt;=COUNT(SimDataTRI!$B$9:$B$508),NA(),1/(COUNT(SimDataTRI!$B$9:$B$508)-1)+J90)</f>
        <v>0.15831663326653317</v>
      </c>
      <c r="S91">
        <v>77</v>
      </c>
      <c r="T91" s="6">
        <f t="shared" si="2"/>
        <v>118.1558970838927</v>
      </c>
      <c r="U91" s="1">
        <f>_xll.PDENSITY($T$91,SimDataTRI!$B$9:$B$508,$T$9,$T$10,0)</f>
        <v>6.3592935014321009E-3</v>
      </c>
    </row>
    <row r="92" spans="1:21" x14ac:dyDescent="0.45">
      <c r="A92">
        <v>84</v>
      </c>
      <c r="B92">
        <v>73.316797023709242</v>
      </c>
      <c r="I92">
        <f>SMALL(SimDataTRI!$B$9:$B$508,81)</f>
        <v>53.232156046498829</v>
      </c>
      <c r="J92">
        <f>IF(COUNT(J12:J91)&gt;=COUNT(SimDataTRI!$B$9:$B$508),NA(),1/(COUNT(SimDataTRI!$B$9:$B$508)-1)+J91)</f>
        <v>0.16032064128256523</v>
      </c>
      <c r="S92">
        <v>78</v>
      </c>
      <c r="T92" s="6">
        <f t="shared" si="2"/>
        <v>119.41474793396908</v>
      </c>
      <c r="U92" s="1">
        <f>_xll.PDENSITY($T$92,SimDataTRI!$B$9:$B$508,$T$9,$T$10,0)</f>
        <v>6.1081434422079715E-3</v>
      </c>
    </row>
    <row r="93" spans="1:21" x14ac:dyDescent="0.45">
      <c r="A93">
        <v>85</v>
      </c>
      <c r="B93">
        <v>109.86609411877942</v>
      </c>
      <c r="I93">
        <f>SMALL(SimDataTRI!$B$9:$B$508,82)</f>
        <v>53.567572920921421</v>
      </c>
      <c r="J93">
        <f>IF(COUNT(J12:J92)&gt;=COUNT(SimDataTRI!$B$9:$B$508),NA(),1/(COUNT(SimDataTRI!$B$9:$B$508)-1)+J92)</f>
        <v>0.1623246492985973</v>
      </c>
      <c r="S93">
        <v>79</v>
      </c>
      <c r="T93" s="6">
        <f t="shared" si="2"/>
        <v>120.67359878404547</v>
      </c>
      <c r="U93" s="1">
        <f>_xll.PDENSITY($T$93,SimDataTRI!$B$9:$B$508,$T$9,$T$10,0)</f>
        <v>5.8568892809104274E-3</v>
      </c>
    </row>
    <row r="94" spans="1:21" x14ac:dyDescent="0.45">
      <c r="A94">
        <v>86</v>
      </c>
      <c r="B94">
        <v>88.209995222510429</v>
      </c>
      <c r="I94">
        <f>SMALL(SimDataTRI!$B$9:$B$508,83)</f>
        <v>53.617765996983302</v>
      </c>
      <c r="J94">
        <f>IF(COUNT(J12:J93)&gt;=COUNT(SimDataTRI!$B$9:$B$508),NA(),1/(COUNT(SimDataTRI!$B$9:$B$508)-1)+J93)</f>
        <v>0.16432865731462937</v>
      </c>
      <c r="S94">
        <v>80</v>
      </c>
      <c r="T94" s="6">
        <f t="shared" si="2"/>
        <v>121.93244963412185</v>
      </c>
      <c r="U94" s="1">
        <f>_xll.PDENSITY($T$94,SimDataTRI!$B$9:$B$508,$T$9,$T$10,0)</f>
        <v>5.605484370039898E-3</v>
      </c>
    </row>
    <row r="95" spans="1:21" x14ac:dyDescent="0.45">
      <c r="A95">
        <v>87</v>
      </c>
      <c r="B95">
        <v>68.059582369272121</v>
      </c>
      <c r="I95">
        <f>SMALL(SimDataTRI!$B$9:$B$508,84)</f>
        <v>53.836371623984</v>
      </c>
      <c r="J95">
        <f>IF(COUNT(J12:J94)&gt;=COUNT(SimDataTRI!$B$9:$B$508),NA(),1/(COUNT(SimDataTRI!$B$9:$B$508)-1)+J94)</f>
        <v>0.16633266533066143</v>
      </c>
      <c r="S95">
        <v>81</v>
      </c>
      <c r="T95" s="6">
        <f t="shared" si="2"/>
        <v>123.19130048419824</v>
      </c>
      <c r="U95" s="1">
        <f>_xll.PDENSITY($T$95,SimDataTRI!$B$9:$B$508,$T$9,$T$10,0)</f>
        <v>5.3539065088321321E-3</v>
      </c>
    </row>
    <row r="96" spans="1:21" x14ac:dyDescent="0.45">
      <c r="A96">
        <v>88</v>
      </c>
      <c r="B96">
        <v>63.559873317198786</v>
      </c>
      <c r="I96">
        <f>SMALL(SimDataTRI!$B$9:$B$508,85)</f>
        <v>54.060136279745883</v>
      </c>
      <c r="J96">
        <f>IF(COUNT(J12:J95)&gt;=COUNT(SimDataTRI!$B$9:$B$508),NA(),1/(COUNT(SimDataTRI!$B$9:$B$508)-1)+J95)</f>
        <v>0.1683366733466935</v>
      </c>
      <c r="S96">
        <v>82</v>
      </c>
      <c r="T96" s="6">
        <f t="shared" si="2"/>
        <v>124.45015133427462</v>
      </c>
      <c r="U96" s="1">
        <f>_xll.PDENSITY($T$96,SimDataTRI!$B$9:$B$508,$T$9,$T$10,0)</f>
        <v>5.1021717871001029E-3</v>
      </c>
    </row>
    <row r="97" spans="1:21" x14ac:dyDescent="0.45">
      <c r="A97">
        <v>89</v>
      </c>
      <c r="B97">
        <v>59.369957824788926</v>
      </c>
      <c r="I97">
        <f>SMALL(SimDataTRI!$B$9:$B$508,86)</f>
        <v>54.256026015544336</v>
      </c>
      <c r="J97">
        <f>IF(COUNT(J12:J96)&gt;=COUNT(SimDataTRI!$B$9:$B$508),NA(),1/(COUNT(SimDataTRI!$B$9:$B$508)-1)+J96)</f>
        <v>0.17034068136272557</v>
      </c>
      <c r="S97">
        <v>83</v>
      </c>
      <c r="T97" s="6">
        <f t="shared" si="2"/>
        <v>125.70900218435101</v>
      </c>
      <c r="U97" s="1">
        <f>_xll.PDENSITY($T$97,SimDataTRI!$B$9:$B$508,$T$9,$T$10,0)</f>
        <v>4.8503476358644701E-3</v>
      </c>
    </row>
    <row r="98" spans="1:21" x14ac:dyDescent="0.45">
      <c r="A98">
        <v>90</v>
      </c>
      <c r="B98">
        <v>133.62092182846868</v>
      </c>
      <c r="I98">
        <f>SMALL(SimDataTRI!$B$9:$B$508,87)</f>
        <v>54.439042635840771</v>
      </c>
      <c r="J98">
        <f>IF(COUNT(J12:J97)&gt;=COUNT(SimDataTRI!$B$9:$B$508),NA(),1/(COUNT(SimDataTRI!$B$9:$B$508)-1)+J97)</f>
        <v>0.17234468937875763</v>
      </c>
      <c r="S98">
        <v>84</v>
      </c>
      <c r="T98" s="6">
        <f t="shared" si="2"/>
        <v>126.96785303442739</v>
      </c>
      <c r="U98" s="1">
        <f>_xll.PDENSITY($T$98,SimDataTRI!$B$9:$B$508,$T$9,$T$10,0)</f>
        <v>4.5985635535913472E-3</v>
      </c>
    </row>
    <row r="99" spans="1:21" x14ac:dyDescent="0.45">
      <c r="A99">
        <v>91</v>
      </c>
      <c r="B99">
        <v>111.71712978750209</v>
      </c>
      <c r="I99">
        <f>SMALL(SimDataTRI!$B$9:$B$508,88)</f>
        <v>54.704833283130839</v>
      </c>
      <c r="J99">
        <f>IF(COUNT(J12:J98)&gt;=COUNT(SimDataTRI!$B$9:$B$508),NA(),1/(COUNT(SimDataTRI!$B$9:$B$508)-1)+J98)</f>
        <v>0.1743486973947897</v>
      </c>
      <c r="S99">
        <v>85</v>
      </c>
      <c r="T99" s="6">
        <f t="shared" si="2"/>
        <v>128.22670388450379</v>
      </c>
      <c r="U99" s="1">
        <f>_xll.PDENSITY($T$99,SimDataTRI!$B$9:$B$508,$T$9,$T$10,0)</f>
        <v>4.3470185346772966E-3</v>
      </c>
    </row>
    <row r="100" spans="1:21" x14ac:dyDescent="0.45">
      <c r="A100">
        <v>92</v>
      </c>
      <c r="B100">
        <v>58.841294482105518</v>
      </c>
      <c r="I100">
        <f>SMALL(SimDataTRI!$B$9:$B$508,89)</f>
        <v>54.915672545275513</v>
      </c>
      <c r="J100">
        <f>IF(COUNT(J12:J99)&gt;=COUNT(SimDataTRI!$B$9:$B$508),NA(),1/(COUNT(SimDataTRI!$B$9:$B$508)-1)+J99)</f>
        <v>0.17635270541082176</v>
      </c>
      <c r="S100">
        <v>86</v>
      </c>
      <c r="T100" s="6">
        <f t="shared" si="2"/>
        <v>129.48555473458018</v>
      </c>
      <c r="U100" s="1">
        <f>_xll.PDENSITY($T$100,SimDataTRI!$B$9:$B$508,$T$9,$T$10,0)</f>
        <v>4.0959851241538711E-3</v>
      </c>
    </row>
    <row r="101" spans="1:21" x14ac:dyDescent="0.45">
      <c r="A101">
        <v>93</v>
      </c>
      <c r="B101">
        <v>89.337479447425522</v>
      </c>
      <c r="I101">
        <f>SMALL(SimDataTRI!$B$9:$B$508,90)</f>
        <v>55.051811847324316</v>
      </c>
      <c r="J101">
        <f>IF(COUNT(J12:J100)&gt;=COUNT(SimDataTRI!$B$9:$B$508),NA(),1/(COUNT(SimDataTRI!$B$9:$B$508)-1)+J100)</f>
        <v>0.17835671342685383</v>
      </c>
      <c r="S101">
        <v>87</v>
      </c>
      <c r="T101" s="6">
        <f t="shared" si="2"/>
        <v>130.74440558465656</v>
      </c>
      <c r="U101" s="1">
        <f>_xll.PDENSITY($T$101,SimDataTRI!$B$9:$B$508,$T$9,$T$10,0)</f>
        <v>3.8458110249770159E-3</v>
      </c>
    </row>
    <row r="102" spans="1:21" x14ac:dyDescent="0.45">
      <c r="A102">
        <v>94</v>
      </c>
      <c r="B102">
        <v>111.80423972274025</v>
      </c>
      <c r="I102">
        <f>SMALL(SimDataTRI!$B$9:$B$508,91)</f>
        <v>55.251335873343912</v>
      </c>
      <c r="J102">
        <f>IF(COUNT(J12:J101)&gt;=COUNT(SimDataTRI!$B$9:$B$508),NA(),1/(COUNT(SimDataTRI!$B$9:$B$508)-1)+J101)</f>
        <v>0.1803607214428859</v>
      </c>
      <c r="S102">
        <v>88</v>
      </c>
      <c r="T102" s="6">
        <f t="shared" si="2"/>
        <v>132.00325643473295</v>
      </c>
      <c r="U102" s="1">
        <f>_xll.PDENSITY($T$102,SimDataTRI!$B$9:$B$508,$T$9,$T$10,0)</f>
        <v>3.5969199821208821E-3</v>
      </c>
    </row>
    <row r="103" spans="1:21" x14ac:dyDescent="0.45">
      <c r="A103">
        <v>95</v>
      </c>
      <c r="B103">
        <v>94.673974991383801</v>
      </c>
      <c r="I103">
        <f>SMALL(SimDataTRI!$B$9:$B$508,92)</f>
        <v>55.595469948324009</v>
      </c>
      <c r="J103">
        <f>IF(COUNT(J12:J102)&gt;=COUNT(SimDataTRI!$B$9:$B$508),NA(),1/(COUNT(SimDataTRI!$B$9:$B$508)-1)+J102)</f>
        <v>0.18236472945891796</v>
      </c>
      <c r="S103">
        <v>89</v>
      </c>
      <c r="T103" s="6">
        <f t="shared" si="2"/>
        <v>133.26210728480933</v>
      </c>
      <c r="U103" s="1">
        <f>_xll.PDENSITY($T$103,SimDataTRI!$B$9:$B$508,$T$9,$T$10,0)</f>
        <v>3.3498139648564487E-3</v>
      </c>
    </row>
    <row r="104" spans="1:21" x14ac:dyDescent="0.45">
      <c r="A104">
        <v>96</v>
      </c>
      <c r="B104">
        <v>68.152323436143575</v>
      </c>
      <c r="I104">
        <f>SMALL(SimDataTRI!$B$9:$B$508,93)</f>
        <v>55.760881126823932</v>
      </c>
      <c r="J104">
        <f>IF(COUNT(J12:J103)&gt;=COUNT(SimDataTRI!$B$9:$B$508),NA(),1/(COUNT(SimDataTRI!$B$9:$B$508)-1)+J103)</f>
        <v>0.18436873747495003</v>
      </c>
      <c r="S104">
        <v>90</v>
      </c>
      <c r="T104" s="6">
        <f t="shared" si="2"/>
        <v>134.52095813488572</v>
      </c>
      <c r="U104" s="1">
        <f>_xll.PDENSITY($T$104,SimDataTRI!$B$9:$B$508,$T$9,$T$10,0)</f>
        <v>3.1050782775655355E-3</v>
      </c>
    </row>
    <row r="105" spans="1:21" x14ac:dyDescent="0.45">
      <c r="A105">
        <v>97</v>
      </c>
      <c r="B105">
        <v>109.36915050664743</v>
      </c>
      <c r="I105">
        <f>SMALL(SimDataTRI!$B$9:$B$508,94)</f>
        <v>55.936741262439185</v>
      </c>
      <c r="J105">
        <f>IF(COUNT(J12:J104)&gt;=COUNT(SimDataTRI!$B$9:$B$508),NA(),1/(COUNT(SimDataTRI!$B$9:$B$508)-1)+J104)</f>
        <v>0.18637274549098209</v>
      </c>
      <c r="S105">
        <v>91</v>
      </c>
      <c r="T105" s="6">
        <f t="shared" si="2"/>
        <v>135.7798089849621</v>
      </c>
      <c r="U105" s="1">
        <f>_xll.PDENSITY($T$105,SimDataTRI!$B$9:$B$508,$T$9,$T$10,0)</f>
        <v>2.8633901431619471E-3</v>
      </c>
    </row>
    <row r="106" spans="1:21" x14ac:dyDescent="0.45">
      <c r="A106">
        <v>98</v>
      </c>
      <c r="B106">
        <v>72.707071303805563</v>
      </c>
      <c r="I106">
        <f>SMALL(SimDataTRI!$B$9:$B$508,95)</f>
        <v>56.067360803606213</v>
      </c>
      <c r="J106">
        <f>IF(COUNT(J12:J105)&gt;=COUNT(SimDataTRI!$B$9:$B$508),NA(),1/(COUNT(SimDataTRI!$B$9:$B$508)-1)+J105)</f>
        <v>0.18837675350701416</v>
      </c>
      <c r="S106">
        <v>92</v>
      </c>
      <c r="T106" s="6">
        <f t="shared" si="2"/>
        <v>137.03865983503849</v>
      </c>
      <c r="U106" s="1">
        <f>_xll.PDENSITY($T$106,SimDataTRI!$B$9:$B$508,$T$9,$T$10,0)</f>
        <v>2.6255297192731065E-3</v>
      </c>
    </row>
    <row r="107" spans="1:21" x14ac:dyDescent="0.45">
      <c r="A107">
        <v>99</v>
      </c>
      <c r="B107">
        <v>77.415941967421162</v>
      </c>
      <c r="I107">
        <f>SMALL(SimDataTRI!$B$9:$B$508,96)</f>
        <v>56.276641227664854</v>
      </c>
      <c r="J107">
        <f>IF(COUNT(J12:J106)&gt;=COUNT(SimDataTRI!$B$9:$B$508),NA(),1/(COUNT(SimDataTRI!$B$9:$B$508)-1)+J106)</f>
        <v>0.19038076152304623</v>
      </c>
      <c r="S107">
        <v>93</v>
      </c>
      <c r="T107" s="6">
        <f t="shared" si="2"/>
        <v>138.29751068511487</v>
      </c>
      <c r="U107" s="1">
        <f>_xll.PDENSITY($T$107,SimDataTRI!$B$9:$B$508,$T$9,$T$10,0)</f>
        <v>2.3923907943712644E-3</v>
      </c>
    </row>
    <row r="108" spans="1:21" x14ac:dyDescent="0.45">
      <c r="A108">
        <v>100</v>
      </c>
      <c r="B108">
        <v>65.448030250802773</v>
      </c>
      <c r="I108">
        <f>SMALL(SimDataTRI!$B$9:$B$508,97)</f>
        <v>56.453198736592391</v>
      </c>
      <c r="J108">
        <f>IF(COUNT(J12:J107)&gt;=COUNT(SimDataTRI!$B$9:$B$508),NA(),1/(COUNT(SimDataTRI!$B$9:$B$508)-1)+J107)</f>
        <v>0.19238476953907829</v>
      </c>
      <c r="S108">
        <v>94</v>
      </c>
      <c r="T108" s="6">
        <f t="shared" si="2"/>
        <v>139.55636153519126</v>
      </c>
      <c r="U108" s="1">
        <f>_xll.PDENSITY($T$108,SimDataTRI!$B$9:$B$508,$T$9,$T$10,0)</f>
        <v>2.164987023797321E-3</v>
      </c>
    </row>
    <row r="109" spans="1:21" x14ac:dyDescent="0.45">
      <c r="A109">
        <v>101</v>
      </c>
      <c r="B109">
        <v>115.2714392104495</v>
      </c>
      <c r="I109">
        <f>SMALL(SimDataTRI!$B$9:$B$508,98)</f>
        <v>56.643117648571952</v>
      </c>
      <c r="J109">
        <f>IF(COUNT(J12:J108)&gt;=COUNT(SimDataTRI!$B$9:$B$508),NA(),1/(COUNT(SimDataTRI!$B$9:$B$508)-1)+J108)</f>
        <v>0.19438877755511036</v>
      </c>
      <c r="S109">
        <v>95</v>
      </c>
      <c r="T109" s="6">
        <f t="shared" si="2"/>
        <v>140.81521238526764</v>
      </c>
      <c r="U109" s="1">
        <f>_xll.PDENSITY($T$109,SimDataTRI!$B$9:$B$508,$T$9,$T$10,0)</f>
        <v>1.9444489308239113E-3</v>
      </c>
    </row>
    <row r="110" spans="1:21" x14ac:dyDescent="0.45">
      <c r="A110">
        <v>102</v>
      </c>
      <c r="B110">
        <v>94.140520941956368</v>
      </c>
      <c r="I110">
        <f>SMALL(SimDataTRI!$B$9:$B$508,99)</f>
        <v>56.804538939706951</v>
      </c>
      <c r="J110">
        <f>IF(COUNT(J12:J109)&gt;=COUNT(SimDataTRI!$B$9:$B$508),NA(),1/(COUNT(SimDataTRI!$B$9:$B$508)-1)+J109)</f>
        <v>0.19639278557114243</v>
      </c>
      <c r="S110">
        <v>96</v>
      </c>
      <c r="T110" s="6">
        <f t="shared" si="2"/>
        <v>142.07406323534403</v>
      </c>
      <c r="U110" s="1">
        <f>_xll.PDENSITY($T$110,SimDataTRI!$B$9:$B$508,$T$9,$T$10,0)</f>
        <v>1.7320073008757503E-3</v>
      </c>
    </row>
    <row r="111" spans="1:21" x14ac:dyDescent="0.45">
      <c r="A111">
        <v>103</v>
      </c>
      <c r="B111">
        <v>90.610315873776017</v>
      </c>
      <c r="I111">
        <f>SMALL(SimDataTRI!$B$9:$B$508,100)</f>
        <v>56.961065569133766</v>
      </c>
      <c r="J111">
        <f>IF(COUNT(J12:J110)&gt;=COUNT(SimDataTRI!$B$9:$B$508),NA(),1/(COUNT(SimDataTRI!$B$9:$B$508)-1)+J110)</f>
        <v>0.19839679358717449</v>
      </c>
      <c r="S111">
        <v>97</v>
      </c>
      <c r="T111" s="6">
        <f t="shared" si="2"/>
        <v>143.33291408542041</v>
      </c>
      <c r="U111" s="1">
        <f>_xll.PDENSITY($T$111,SimDataTRI!$B$9:$B$508,$T$9,$T$10,0)</f>
        <v>1.5289600991308656E-3</v>
      </c>
    </row>
    <row r="112" spans="1:21" x14ac:dyDescent="0.45">
      <c r="A112">
        <v>104</v>
      </c>
      <c r="B112">
        <v>61.601076906136363</v>
      </c>
      <c r="I112">
        <f>SMALL(SimDataTRI!$B$9:$B$508,101)</f>
        <v>57.137339463798369</v>
      </c>
      <c r="J112">
        <f>IF(COUNT(J12:J111)&gt;=COUNT(SimDataTRI!$B$9:$B$508),NA(),1/(COUNT(SimDataTRI!$B$9:$B$508)-1)+J111)</f>
        <v>0.20040080160320656</v>
      </c>
      <c r="S112">
        <v>98</v>
      </c>
      <c r="T112" s="6">
        <f t="shared" si="2"/>
        <v>144.5917649354968</v>
      </c>
      <c r="U112" s="1">
        <f>_xll.PDENSITY($T$112,SimDataTRI!$B$9:$B$508,$T$9,$T$10,0)</f>
        <v>1.3366224504803427E-3</v>
      </c>
    </row>
    <row r="113" spans="1:21" x14ac:dyDescent="0.45">
      <c r="A113">
        <v>105</v>
      </c>
      <c r="B113">
        <v>90.823844562462909</v>
      </c>
      <c r="I113">
        <f>SMALL(SimDataTRI!$B$9:$B$508,102)</f>
        <v>57.37699806673654</v>
      </c>
      <c r="J113">
        <f>IF(COUNT(J12:J112)&gt;=COUNT(SimDataTRI!$B$9:$B$508),NA(),1/(COUNT(SimDataTRI!$B$9:$B$508)-1)+J112)</f>
        <v>0.20240480961923862</v>
      </c>
      <c r="S113">
        <v>99</v>
      </c>
      <c r="T113" s="6">
        <f t="shared" si="2"/>
        <v>145.85061578557318</v>
      </c>
      <c r="U113" s="1">
        <f>_xll.PDENSITY($T$113,SimDataTRI!$B$9:$B$508,$T$9,$T$10,0)</f>
        <v>1.156262120823717E-3</v>
      </c>
    </row>
    <row r="114" spans="1:21" x14ac:dyDescent="0.45">
      <c r="A114">
        <v>106</v>
      </c>
      <c r="B114">
        <v>72.960832266488353</v>
      </c>
      <c r="I114">
        <f>SMALL(SimDataTRI!$B$9:$B$508,103)</f>
        <v>57.574175354271297</v>
      </c>
      <c r="J114">
        <f>IF(COUNT(J12:J113)&gt;=COUNT(SimDataTRI!$B$9:$B$508),NA(),1/(COUNT(SimDataTRI!$B$9:$B$508)-1)+J113)</f>
        <v>0.20440881763527069</v>
      </c>
      <c r="S114">
        <v>100</v>
      </c>
      <c r="T114" s="6">
        <f t="shared" si="2"/>
        <v>147.10946663564957</v>
      </c>
      <c r="U114" s="1">
        <f>_xll.PDENSITY($T$114,SimDataTRI!$B$9:$B$508,$T$9,$T$10,0)</f>
        <v>9.8902577643710269E-4</v>
      </c>
    </row>
    <row r="115" spans="1:21" x14ac:dyDescent="0.45">
      <c r="A115">
        <v>107</v>
      </c>
      <c r="B115">
        <v>121.9292699459679</v>
      </c>
      <c r="I115">
        <f>SMALL(SimDataTRI!$B$9:$B$508,104)</f>
        <v>57.740783850460907</v>
      </c>
      <c r="J115">
        <f>IF(COUNT(J12:J114)&gt;=COUNT(SimDataTRI!$B$9:$B$508),NA(),1/(COUNT(SimDataTRI!$B$9:$B$508)-1)+J114)</f>
        <v>0.20641282565130276</v>
      </c>
    </row>
    <row r="116" spans="1:21" x14ac:dyDescent="0.45">
      <c r="A116">
        <v>108</v>
      </c>
      <c r="B116">
        <v>44.333499165117885</v>
      </c>
      <c r="I116">
        <f>SMALL(SimDataTRI!$B$9:$B$508,105)</f>
        <v>57.947288492159991</v>
      </c>
      <c r="J116">
        <f>IF(COUNT(J12:J115)&gt;=COUNT(SimDataTRI!$B$9:$B$508),NA(),1/(COUNT(SimDataTRI!$B$9:$B$508)-1)+J115)</f>
        <v>0.20841683366733482</v>
      </c>
    </row>
    <row r="117" spans="1:21" x14ac:dyDescent="0.45">
      <c r="A117">
        <v>109</v>
      </c>
      <c r="B117">
        <v>68.734989377334216</v>
      </c>
      <c r="I117">
        <f>SMALL(SimDataTRI!$B$9:$B$508,106)</f>
        <v>58.067171099886806</v>
      </c>
      <c r="J117">
        <f>IF(COUNT(J12:J116)&gt;=COUNT(SimDataTRI!$B$9:$B$508),NA(),1/(COUNT(SimDataTRI!$B$9:$B$508)-1)+J116)</f>
        <v>0.21042084168336689</v>
      </c>
    </row>
    <row r="118" spans="1:21" x14ac:dyDescent="0.45">
      <c r="A118">
        <v>110</v>
      </c>
      <c r="B118">
        <v>57.137339463798369</v>
      </c>
      <c r="I118">
        <f>SMALL(SimDataTRI!$B$9:$B$508,107)</f>
        <v>58.379817084089382</v>
      </c>
      <c r="J118">
        <f>IF(COUNT(J12:J117)&gt;=COUNT(SimDataTRI!$B$9:$B$508),NA(),1/(COUNT(SimDataTRI!$B$9:$B$508)-1)+J117)</f>
        <v>0.21242484969939895</v>
      </c>
    </row>
    <row r="119" spans="1:21" x14ac:dyDescent="0.45">
      <c r="A119">
        <v>111</v>
      </c>
      <c r="B119">
        <v>84.151120037992641</v>
      </c>
      <c r="I119">
        <f>SMALL(SimDataTRI!$B$9:$B$508,108)</f>
        <v>58.416348767588538</v>
      </c>
      <c r="J119">
        <f>IF(COUNT(J12:J118)&gt;=COUNT(SimDataTRI!$B$9:$B$508),NA(),1/(COUNT(SimDataTRI!$B$9:$B$508)-1)+J118)</f>
        <v>0.21442885771543102</v>
      </c>
    </row>
    <row r="120" spans="1:21" x14ac:dyDescent="0.45">
      <c r="A120">
        <v>112</v>
      </c>
      <c r="B120">
        <v>45.001863124949367</v>
      </c>
      <c r="I120">
        <f>SMALL(SimDataTRI!$B$9:$B$508,109)</f>
        <v>58.707665673597887</v>
      </c>
      <c r="J120">
        <f>IF(COUNT(J12:J119)&gt;=COUNT(SimDataTRI!$B$9:$B$508),NA(),1/(COUNT(SimDataTRI!$B$9:$B$508)-1)+J119)</f>
        <v>0.21643286573146309</v>
      </c>
    </row>
    <row r="121" spans="1:21" x14ac:dyDescent="0.45">
      <c r="A121">
        <v>113</v>
      </c>
      <c r="B121">
        <v>83.451086823502195</v>
      </c>
      <c r="I121">
        <f>SMALL(SimDataTRI!$B$9:$B$508,110)</f>
        <v>58.841294482105518</v>
      </c>
      <c r="J121">
        <f>IF(COUNT(J12:J120)&gt;=COUNT(SimDataTRI!$B$9:$B$508),NA(),1/(COUNT(SimDataTRI!$B$9:$B$508)-1)+J120)</f>
        <v>0.21843687374749515</v>
      </c>
    </row>
    <row r="122" spans="1:21" x14ac:dyDescent="0.45">
      <c r="A122">
        <v>114</v>
      </c>
      <c r="B122">
        <v>125.07065871479222</v>
      </c>
      <c r="I122">
        <f>SMALL(SimDataTRI!$B$9:$B$508,111)</f>
        <v>58.964070648377273</v>
      </c>
      <c r="J122">
        <f>IF(COUNT(J12:J121)&gt;=COUNT(SimDataTRI!$B$9:$B$508),NA(),1/(COUNT(SimDataTRI!$B$9:$B$508)-1)+J121)</f>
        <v>0.22044088176352722</v>
      </c>
    </row>
    <row r="123" spans="1:21" x14ac:dyDescent="0.45">
      <c r="A123">
        <v>115</v>
      </c>
      <c r="B123">
        <v>82.199169643103161</v>
      </c>
      <c r="I123">
        <f>SMALL(SimDataTRI!$B$9:$B$508,112)</f>
        <v>59.150901590712905</v>
      </c>
      <c r="J123">
        <f>IF(COUNT(J12:J122)&gt;=COUNT(SimDataTRI!$B$9:$B$508),NA(),1/(COUNT(SimDataTRI!$B$9:$B$508)-1)+J122)</f>
        <v>0.22244488977955928</v>
      </c>
    </row>
    <row r="124" spans="1:21" x14ac:dyDescent="0.45">
      <c r="A124">
        <v>116</v>
      </c>
      <c r="B124">
        <v>117.52700585082309</v>
      </c>
      <c r="I124">
        <f>SMALL(SimDataTRI!$B$9:$B$508,113)</f>
        <v>59.369957824788926</v>
      </c>
      <c r="J124">
        <f>IF(COUNT(J12:J123)&gt;=COUNT(SimDataTRI!$B$9:$B$508),NA(),1/(COUNT(SimDataTRI!$B$9:$B$508)-1)+J123)</f>
        <v>0.22444889779559135</v>
      </c>
    </row>
    <row r="125" spans="1:21" x14ac:dyDescent="0.45">
      <c r="A125">
        <v>117</v>
      </c>
      <c r="B125">
        <v>102.40594806048662</v>
      </c>
      <c r="I125">
        <f>SMALL(SimDataTRI!$B$9:$B$508,114)</f>
        <v>59.464135642369548</v>
      </c>
      <c r="J125">
        <f>IF(COUNT(J12:J124)&gt;=COUNT(SimDataTRI!$B$9:$B$508),NA(),1/(COUNT(SimDataTRI!$B$9:$B$508)-1)+J124)</f>
        <v>0.22645290581162342</v>
      </c>
    </row>
    <row r="126" spans="1:21" x14ac:dyDescent="0.45">
      <c r="A126">
        <v>118</v>
      </c>
      <c r="B126">
        <v>96.30770243737156</v>
      </c>
      <c r="I126">
        <f>SMALL(SimDataTRI!$B$9:$B$508,115)</f>
        <v>59.721351347509156</v>
      </c>
      <c r="J126">
        <f>IF(COUNT(J12:J125)&gt;=COUNT(SimDataTRI!$B$9:$B$508),NA(),1/(COUNT(SimDataTRI!$B$9:$B$508)-1)+J125)</f>
        <v>0.22845691382765548</v>
      </c>
    </row>
    <row r="127" spans="1:21" x14ac:dyDescent="0.45">
      <c r="A127">
        <v>119</v>
      </c>
      <c r="B127">
        <v>49.313872180402768</v>
      </c>
      <c r="I127">
        <f>SMALL(SimDataTRI!$B$9:$B$508,116)</f>
        <v>59.823339642196139</v>
      </c>
      <c r="J127">
        <f>IF(COUNT(J12:J126)&gt;=COUNT(SimDataTRI!$B$9:$B$508),NA(),1/(COUNT(SimDataTRI!$B$9:$B$508)-1)+J126)</f>
        <v>0.23046092184368755</v>
      </c>
    </row>
    <row r="128" spans="1:21" x14ac:dyDescent="0.45">
      <c r="A128">
        <v>120</v>
      </c>
      <c r="B128">
        <v>66.75400683200732</v>
      </c>
      <c r="I128">
        <f>SMALL(SimDataTRI!$B$9:$B$508,117)</f>
        <v>60.064732476632422</v>
      </c>
      <c r="J128">
        <f>IF(COUNT(J12:J127)&gt;=COUNT(SimDataTRI!$B$9:$B$508),NA(),1/(COUNT(SimDataTRI!$B$9:$B$508)-1)+J127)</f>
        <v>0.23246492985971962</v>
      </c>
    </row>
    <row r="129" spans="1:10" x14ac:dyDescent="0.45">
      <c r="A129">
        <v>121</v>
      </c>
      <c r="B129">
        <v>67.116198886453049</v>
      </c>
      <c r="I129">
        <f>SMALL(SimDataTRI!$B$9:$B$508,118)</f>
        <v>60.316541445851271</v>
      </c>
      <c r="J129">
        <f>IF(COUNT(J12:J128)&gt;=COUNT(SimDataTRI!$B$9:$B$508),NA(),1/(COUNT(SimDataTRI!$B$9:$B$508)-1)+J128)</f>
        <v>0.23446893787575168</v>
      </c>
    </row>
    <row r="130" spans="1:10" x14ac:dyDescent="0.45">
      <c r="A130">
        <v>122</v>
      </c>
      <c r="B130">
        <v>106.12033273283289</v>
      </c>
      <c r="I130">
        <f>SMALL(SimDataTRI!$B$9:$B$508,119)</f>
        <v>60.437630743321961</v>
      </c>
      <c r="J130">
        <f>IF(COUNT(J12:J129)&gt;=COUNT(SimDataTRI!$B$9:$B$508),NA(),1/(COUNT(SimDataTRI!$B$9:$B$508)-1)+J129)</f>
        <v>0.23647294589178375</v>
      </c>
    </row>
    <row r="131" spans="1:10" x14ac:dyDescent="0.45">
      <c r="A131">
        <v>123</v>
      </c>
      <c r="B131">
        <v>80.597357459448617</v>
      </c>
      <c r="I131">
        <f>SMALL(SimDataTRI!$B$9:$B$508,120)</f>
        <v>60.663090310690926</v>
      </c>
      <c r="J131">
        <f>IF(COUNT(J12:J130)&gt;=COUNT(SimDataTRI!$B$9:$B$508),NA(),1/(COUNT(SimDataTRI!$B$9:$B$508)-1)+J130)</f>
        <v>0.23847695390781581</v>
      </c>
    </row>
    <row r="132" spans="1:10" x14ac:dyDescent="0.45">
      <c r="A132">
        <v>124</v>
      </c>
      <c r="B132">
        <v>56.643117648571952</v>
      </c>
      <c r="I132">
        <f>SMALL(SimDataTRI!$B$9:$B$508,121)</f>
        <v>60.817799125622351</v>
      </c>
      <c r="J132">
        <f>IF(COUNT(J12:J131)&gt;=COUNT(SimDataTRI!$B$9:$B$508),NA(),1/(COUNT(SimDataTRI!$B$9:$B$508)-1)+J131)</f>
        <v>0.24048096192384788</v>
      </c>
    </row>
    <row r="133" spans="1:10" x14ac:dyDescent="0.45">
      <c r="A133">
        <v>125</v>
      </c>
      <c r="B133">
        <v>118.79373980000183</v>
      </c>
      <c r="I133">
        <f>SMALL(SimDataTRI!$B$9:$B$508,122)</f>
        <v>60.878091215757607</v>
      </c>
      <c r="J133">
        <f>IF(COUNT(J12:J132)&gt;=COUNT(SimDataTRI!$B$9:$B$508),NA(),1/(COUNT(SimDataTRI!$B$9:$B$508)-1)+J132)</f>
        <v>0.24248496993987995</v>
      </c>
    </row>
    <row r="134" spans="1:10" x14ac:dyDescent="0.45">
      <c r="A134">
        <v>126</v>
      </c>
      <c r="B134">
        <v>50.715816325876936</v>
      </c>
      <c r="I134">
        <f>SMALL(SimDataTRI!$B$9:$B$508,123)</f>
        <v>61.16652639509855</v>
      </c>
      <c r="J134">
        <f>IF(COUNT(J12:J133)&gt;=COUNT(SimDataTRI!$B$9:$B$508),NA(),1/(COUNT(SimDataTRI!$B$9:$B$508)-1)+J133)</f>
        <v>0.24448897795591201</v>
      </c>
    </row>
    <row r="135" spans="1:10" x14ac:dyDescent="0.45">
      <c r="A135">
        <v>127</v>
      </c>
      <c r="B135">
        <v>93.246671490875713</v>
      </c>
      <c r="I135">
        <f>SMALL(SimDataTRI!$B$9:$B$508,124)</f>
        <v>61.290194131765837</v>
      </c>
      <c r="J135">
        <f>IF(COUNT(J12:J134)&gt;=COUNT(SimDataTRI!$B$9:$B$508),NA(),1/(COUNT(SimDataTRI!$B$9:$B$508)-1)+J134)</f>
        <v>0.24649298597194408</v>
      </c>
    </row>
    <row r="136" spans="1:10" x14ac:dyDescent="0.45">
      <c r="A136">
        <v>128</v>
      </c>
      <c r="B136">
        <v>114.0747625657703</v>
      </c>
      <c r="I136">
        <f>SMALL(SimDataTRI!$B$9:$B$508,125)</f>
        <v>61.345479908258589</v>
      </c>
      <c r="J136">
        <f>IF(COUNT(J12:J135)&gt;=COUNT(SimDataTRI!$B$9:$B$508),NA(),1/(COUNT(SimDataTRI!$B$9:$B$508)-1)+J135)</f>
        <v>0.24849699398797614</v>
      </c>
    </row>
    <row r="137" spans="1:10" x14ac:dyDescent="0.45">
      <c r="A137">
        <v>129</v>
      </c>
      <c r="B137">
        <v>54.256026015544336</v>
      </c>
      <c r="I137">
        <f>SMALL(SimDataTRI!$B$9:$B$508,126)</f>
        <v>61.601076906136363</v>
      </c>
      <c r="J137">
        <f>IF(COUNT(J12:J136)&gt;=COUNT(SimDataTRI!$B$9:$B$508),NA(),1/(COUNT(SimDataTRI!$B$9:$B$508)-1)+J136)</f>
        <v>0.25050100200400821</v>
      </c>
    </row>
    <row r="138" spans="1:10" x14ac:dyDescent="0.45">
      <c r="A138">
        <v>130</v>
      </c>
      <c r="B138">
        <v>74.86569596019531</v>
      </c>
      <c r="I138">
        <f>SMALL(SimDataTRI!$B$9:$B$508,127)</f>
        <v>61.736160914649346</v>
      </c>
      <c r="J138">
        <f>IF(COUNT(J12:J137)&gt;=COUNT(SimDataTRI!$B$9:$B$508),NA(),1/(COUNT(SimDataTRI!$B$9:$B$508)-1)+J137)</f>
        <v>0.25250501002004028</v>
      </c>
    </row>
    <row r="139" spans="1:10" x14ac:dyDescent="0.45">
      <c r="A139">
        <v>131</v>
      </c>
      <c r="B139">
        <v>31.185895962077701</v>
      </c>
      <c r="I139">
        <f>SMALL(SimDataTRI!$B$9:$B$508,128)</f>
        <v>61.935548496547483</v>
      </c>
      <c r="J139">
        <f>IF(COUNT(J12:J138)&gt;=COUNT(SimDataTRI!$B$9:$B$508),NA(),1/(COUNT(SimDataTRI!$B$9:$B$508)-1)+J138)</f>
        <v>0.25450901803607234</v>
      </c>
    </row>
    <row r="140" spans="1:10" x14ac:dyDescent="0.45">
      <c r="A140">
        <v>132</v>
      </c>
      <c r="B140">
        <v>76.768808166778697</v>
      </c>
      <c r="I140">
        <f>SMALL(SimDataTRI!$B$9:$B$508,129)</f>
        <v>62.12004159890801</v>
      </c>
      <c r="J140">
        <f>IF(COUNT(J12:J139)&gt;=COUNT(SimDataTRI!$B$9:$B$508),NA(),1/(COUNT(SimDataTRI!$B$9:$B$508)-1)+J139)</f>
        <v>0.25651302605210441</v>
      </c>
    </row>
    <row r="141" spans="1:10" x14ac:dyDescent="0.45">
      <c r="A141">
        <v>133</v>
      </c>
      <c r="B141">
        <v>83.662696968277984</v>
      </c>
      <c r="I141">
        <f>SMALL(SimDataTRI!$B$9:$B$508,130)</f>
        <v>62.20795825761963</v>
      </c>
      <c r="J141">
        <f>IF(COUNT(J12:J140)&gt;=COUNT(SimDataTRI!$B$9:$B$508),NA(),1/(COUNT(SimDataTRI!$B$9:$B$508)-1)+J140)</f>
        <v>0.25851703406813648</v>
      </c>
    </row>
    <row r="142" spans="1:10" x14ac:dyDescent="0.45">
      <c r="A142">
        <v>134</v>
      </c>
      <c r="B142">
        <v>90.67573354189291</v>
      </c>
      <c r="I142">
        <f>SMALL(SimDataTRI!$B$9:$B$508,131)</f>
        <v>62.411732026104346</v>
      </c>
      <c r="J142">
        <f>IF(COUNT(J12:J141)&gt;=COUNT(SimDataTRI!$B$9:$B$508),NA(),1/(COUNT(SimDataTRI!$B$9:$B$508)-1)+J141)</f>
        <v>0.26052104208416854</v>
      </c>
    </row>
    <row r="143" spans="1:10" x14ac:dyDescent="0.45">
      <c r="A143">
        <v>135</v>
      </c>
      <c r="B143">
        <v>29.149575758179608</v>
      </c>
      <c r="I143">
        <f>SMALL(SimDataTRI!$B$9:$B$508,132)</f>
        <v>62.567798209043076</v>
      </c>
      <c r="J143">
        <f>IF(COUNT(J12:J142)&gt;=COUNT(SimDataTRI!$B$9:$B$508),NA(),1/(COUNT(SimDataTRI!$B$9:$B$508)-1)+J142)</f>
        <v>0.26252505010020061</v>
      </c>
    </row>
    <row r="144" spans="1:10" x14ac:dyDescent="0.45">
      <c r="A144">
        <v>136</v>
      </c>
      <c r="B144">
        <v>76.383300823175915</v>
      </c>
      <c r="I144">
        <f>SMALL(SimDataTRI!$B$9:$B$508,133)</f>
        <v>62.709713346831506</v>
      </c>
      <c r="J144">
        <f>IF(COUNT(J12:J143)&gt;=COUNT(SimDataTRI!$B$9:$B$508),NA(),1/(COUNT(SimDataTRI!$B$9:$B$508)-1)+J143)</f>
        <v>0.26452905811623267</v>
      </c>
    </row>
    <row r="145" spans="1:10" x14ac:dyDescent="0.45">
      <c r="A145">
        <v>137</v>
      </c>
      <c r="B145">
        <v>81.255998704263448</v>
      </c>
      <c r="I145">
        <f>SMALL(SimDataTRI!$B$9:$B$508,134)</f>
        <v>62.930154162867879</v>
      </c>
      <c r="J145">
        <f>IF(COUNT(J12:J144)&gt;=COUNT(SimDataTRI!$B$9:$B$508),NA(),1/(COUNT(SimDataTRI!$B$9:$B$508)-1)+J144)</f>
        <v>0.26653306613226474</v>
      </c>
    </row>
    <row r="146" spans="1:10" x14ac:dyDescent="0.45">
      <c r="A146">
        <v>138</v>
      </c>
      <c r="B146">
        <v>79.400147287185575</v>
      </c>
      <c r="I146">
        <f>SMALL(SimDataTRI!$B$9:$B$508,135)</f>
        <v>63.02254100118499</v>
      </c>
      <c r="J146">
        <f>IF(COUNT(J12:J145)&gt;=COUNT(SimDataTRI!$B$9:$B$508),NA(),1/(COUNT(SimDataTRI!$B$9:$B$508)-1)+J145)</f>
        <v>0.26853707414829681</v>
      </c>
    </row>
    <row r="147" spans="1:10" x14ac:dyDescent="0.45">
      <c r="A147">
        <v>139</v>
      </c>
      <c r="B147">
        <v>56.804538939706951</v>
      </c>
      <c r="I147">
        <f>SMALL(SimDataTRI!$B$9:$B$508,136)</f>
        <v>63.256263109905078</v>
      </c>
      <c r="J147">
        <f>IF(COUNT(J12:J146)&gt;=COUNT(SimDataTRI!$B$9:$B$508),NA(),1/(COUNT(SimDataTRI!$B$9:$B$508)-1)+J146)</f>
        <v>0.27054108216432887</v>
      </c>
    </row>
    <row r="148" spans="1:10" x14ac:dyDescent="0.45">
      <c r="A148">
        <v>140</v>
      </c>
      <c r="B148">
        <v>53.567572920921421</v>
      </c>
      <c r="I148">
        <f>SMALL(SimDataTRI!$B$9:$B$508,137)</f>
        <v>63.395320767691373</v>
      </c>
      <c r="J148">
        <f>IF(COUNT(J12:J147)&gt;=COUNT(SimDataTRI!$B$9:$B$508),NA(),1/(COUNT(SimDataTRI!$B$9:$B$508)-1)+J147)</f>
        <v>0.27254509018036094</v>
      </c>
    </row>
    <row r="149" spans="1:10" x14ac:dyDescent="0.45">
      <c r="A149">
        <v>141</v>
      </c>
      <c r="B149">
        <v>43.859805186614452</v>
      </c>
      <c r="I149">
        <f>SMALL(SimDataTRI!$B$9:$B$508,138)</f>
        <v>63.559873317198786</v>
      </c>
      <c r="J149">
        <f>IF(COUNT(J12:J148)&gt;=COUNT(SimDataTRI!$B$9:$B$508),NA(),1/(COUNT(SimDataTRI!$B$9:$B$508)-1)+J148)</f>
        <v>0.274549098196393</v>
      </c>
    </row>
    <row r="150" spans="1:10" x14ac:dyDescent="0.45">
      <c r="A150">
        <v>142</v>
      </c>
      <c r="B150">
        <v>124.43885398880882</v>
      </c>
      <c r="I150">
        <f>SMALL(SimDataTRI!$B$9:$B$508,139)</f>
        <v>63.729310046065038</v>
      </c>
      <c r="J150">
        <f>IF(COUNT(J12:J149)&gt;=COUNT(SimDataTRI!$B$9:$B$508),NA(),1/(COUNT(SimDataTRI!$B$9:$B$508)-1)+J149)</f>
        <v>0.27655310621242507</v>
      </c>
    </row>
    <row r="151" spans="1:10" x14ac:dyDescent="0.45">
      <c r="A151">
        <v>143</v>
      </c>
      <c r="B151">
        <v>66.346581893052203</v>
      </c>
      <c r="I151">
        <f>SMALL(SimDataTRI!$B$9:$B$508,140)</f>
        <v>63.887686455700063</v>
      </c>
      <c r="J151">
        <f>IF(COUNT(J12:J150)&gt;=COUNT(SimDataTRI!$B$9:$B$508),NA(),1/(COUNT(SimDataTRI!$B$9:$B$508)-1)+J150)</f>
        <v>0.27855711422845714</v>
      </c>
    </row>
    <row r="152" spans="1:10" x14ac:dyDescent="0.45">
      <c r="A152">
        <v>144</v>
      </c>
      <c r="B152">
        <v>42.677686587940414</v>
      </c>
      <c r="I152">
        <f>SMALL(SimDataTRI!$B$9:$B$508,141)</f>
        <v>64.016913182694339</v>
      </c>
      <c r="J152">
        <f>IF(COUNT(J12:J151)&gt;=COUNT(SimDataTRI!$B$9:$B$508),NA(),1/(COUNT(SimDataTRI!$B$9:$B$508)-1)+J151)</f>
        <v>0.2805611222444892</v>
      </c>
    </row>
    <row r="153" spans="1:10" x14ac:dyDescent="0.45">
      <c r="A153">
        <v>145</v>
      </c>
      <c r="B153">
        <v>41.633782862351588</v>
      </c>
      <c r="I153">
        <f>SMALL(SimDataTRI!$B$9:$B$508,142)</f>
        <v>64.195165086084444</v>
      </c>
      <c r="J153">
        <f>IF(COUNT(J12:J152)&gt;=COUNT(SimDataTRI!$B$9:$B$508),NA(),1/(COUNT(SimDataTRI!$B$9:$B$508)-1)+J152)</f>
        <v>0.28256513026052127</v>
      </c>
    </row>
    <row r="154" spans="1:10" x14ac:dyDescent="0.45">
      <c r="A154">
        <v>146</v>
      </c>
      <c r="B154">
        <v>105.20368999613085</v>
      </c>
      <c r="I154">
        <f>SMALL(SimDataTRI!$B$9:$B$508,143)</f>
        <v>64.383466683837611</v>
      </c>
      <c r="J154">
        <f>IF(COUNT(J12:J153)&gt;=COUNT(SimDataTRI!$B$9:$B$508),NA(),1/(COUNT(SimDataTRI!$B$9:$B$508)-1)+J153)</f>
        <v>0.28456913827655334</v>
      </c>
    </row>
    <row r="155" spans="1:10" x14ac:dyDescent="0.45">
      <c r="A155">
        <v>147</v>
      </c>
      <c r="B155">
        <v>88.652973373930422</v>
      </c>
      <c r="I155">
        <f>SMALL(SimDataTRI!$B$9:$B$508,144)</f>
        <v>64.490188263750483</v>
      </c>
      <c r="J155">
        <f>IF(COUNT(J12:J154)&gt;=COUNT(SimDataTRI!$B$9:$B$508),NA(),1/(COUNT(SimDataTRI!$B$9:$B$508)-1)+J154)</f>
        <v>0.2865731462925854</v>
      </c>
    </row>
    <row r="156" spans="1:10" x14ac:dyDescent="0.45">
      <c r="A156">
        <v>148</v>
      </c>
      <c r="B156">
        <v>70.429820242195021</v>
      </c>
      <c r="I156">
        <f>SMALL(SimDataTRI!$B$9:$B$508,145)</f>
        <v>64.658174552972497</v>
      </c>
      <c r="J156">
        <f>IF(COUNT(J12:J155)&gt;=COUNT(SimDataTRI!$B$9:$B$508),NA(),1/(COUNT(SimDataTRI!$B$9:$B$508)-1)+J155)</f>
        <v>0.28857715430861747</v>
      </c>
    </row>
    <row r="157" spans="1:10" x14ac:dyDescent="0.45">
      <c r="A157">
        <v>149</v>
      </c>
      <c r="B157">
        <v>83.830450851399476</v>
      </c>
      <c r="I157">
        <f>SMALL(SimDataTRI!$B$9:$B$508,146)</f>
        <v>64.799751898129358</v>
      </c>
      <c r="J157">
        <f>IF(COUNT(J12:J156)&gt;=COUNT(SimDataTRI!$B$9:$B$508),NA(),1/(COUNT(SimDataTRI!$B$9:$B$508)-1)+J156)</f>
        <v>0.29058116232464953</v>
      </c>
    </row>
    <row r="158" spans="1:10" x14ac:dyDescent="0.45">
      <c r="A158">
        <v>150</v>
      </c>
      <c r="B158">
        <v>80.720844134362906</v>
      </c>
      <c r="I158">
        <f>SMALL(SimDataTRI!$B$9:$B$508,147)</f>
        <v>64.971985838041874</v>
      </c>
      <c r="J158">
        <f>IF(COUNT(J12:J157)&gt;=COUNT(SimDataTRI!$B$9:$B$508),NA(),1/(COUNT(SimDataTRI!$B$9:$B$508)-1)+J157)</f>
        <v>0.2925851703406816</v>
      </c>
    </row>
    <row r="159" spans="1:10" x14ac:dyDescent="0.45">
      <c r="A159">
        <v>151</v>
      </c>
      <c r="B159">
        <v>99.864850538510041</v>
      </c>
      <c r="I159">
        <f>SMALL(SimDataTRI!$B$9:$B$508,148)</f>
        <v>65.151719700223325</v>
      </c>
      <c r="J159">
        <f>IF(COUNT(J12:J158)&gt;=COUNT(SimDataTRI!$B$9:$B$508),NA(),1/(COUNT(SimDataTRI!$B$9:$B$508)-1)+J158)</f>
        <v>0.29458917835671367</v>
      </c>
    </row>
    <row r="160" spans="1:10" x14ac:dyDescent="0.45">
      <c r="A160">
        <v>152</v>
      </c>
      <c r="B160">
        <v>92.573240977368258</v>
      </c>
      <c r="I160">
        <f>SMALL(SimDataTRI!$B$9:$B$508,149)</f>
        <v>65.283875226390819</v>
      </c>
      <c r="J160">
        <f>IF(COUNT(J12:J159)&gt;=COUNT(SimDataTRI!$B$9:$B$508),NA(),1/(COUNT(SimDataTRI!$B$9:$B$508)-1)+J159)</f>
        <v>0.29659318637274573</v>
      </c>
    </row>
    <row r="161" spans="1:10" x14ac:dyDescent="0.45">
      <c r="A161">
        <v>153</v>
      </c>
      <c r="B161">
        <v>93.580535212419335</v>
      </c>
      <c r="I161">
        <f>SMALL(SimDataTRI!$B$9:$B$508,150)</f>
        <v>65.448030250802773</v>
      </c>
      <c r="J161">
        <f>IF(COUNT(J12:J160)&gt;=COUNT(SimDataTRI!$B$9:$B$508),NA(),1/(COUNT(SimDataTRI!$B$9:$B$508)-1)+J160)</f>
        <v>0.2985971943887778</v>
      </c>
    </row>
    <row r="162" spans="1:10" x14ac:dyDescent="0.45">
      <c r="A162">
        <v>154</v>
      </c>
      <c r="B162">
        <v>58.379817084089382</v>
      </c>
      <c r="I162">
        <f>SMALL(SimDataTRI!$B$9:$B$508,151)</f>
        <v>65.469317597748386</v>
      </c>
      <c r="J162">
        <f>IF(COUNT(J12:J161)&gt;=COUNT(SimDataTRI!$B$9:$B$508),NA(),1/(COUNT(SimDataTRI!$B$9:$B$508)-1)+J161)</f>
        <v>0.30060120240480986</v>
      </c>
    </row>
    <row r="163" spans="1:10" x14ac:dyDescent="0.45">
      <c r="A163">
        <v>155</v>
      </c>
      <c r="B163">
        <v>53.016221883491333</v>
      </c>
      <c r="I163">
        <f>SMALL(SimDataTRI!$B$9:$B$508,152)</f>
        <v>65.634298909682684</v>
      </c>
      <c r="J163">
        <f>IF(COUNT(J12:J162)&gt;=COUNT(SimDataTRI!$B$9:$B$508),NA(),1/(COUNT(SimDataTRI!$B$9:$B$508)-1)+J162)</f>
        <v>0.30260521042084193</v>
      </c>
    </row>
    <row r="164" spans="1:10" x14ac:dyDescent="0.45">
      <c r="A164">
        <v>156</v>
      </c>
      <c r="B164">
        <v>130.67065228112125</v>
      </c>
      <c r="I164">
        <f>SMALL(SimDataTRI!$B$9:$B$508,153)</f>
        <v>65.812586764598677</v>
      </c>
      <c r="J164">
        <f>IF(COUNT(J12:J163)&gt;=COUNT(SimDataTRI!$B$9:$B$508),NA(),1/(COUNT(SimDataTRI!$B$9:$B$508)-1)+J163)</f>
        <v>0.304609218436874</v>
      </c>
    </row>
    <row r="165" spans="1:10" x14ac:dyDescent="0.45">
      <c r="A165">
        <v>157</v>
      </c>
      <c r="B165">
        <v>42.942900902905528</v>
      </c>
      <c r="I165">
        <f>SMALL(SimDataTRI!$B$9:$B$508,154)</f>
        <v>66.015307301305228</v>
      </c>
      <c r="J165">
        <f>IF(COUNT(J12:J164)&gt;=COUNT(SimDataTRI!$B$9:$B$508),NA(),1/(COUNT(SimDataTRI!$B$9:$B$508)-1)+J164)</f>
        <v>0.30661322645290606</v>
      </c>
    </row>
    <row r="166" spans="1:10" x14ac:dyDescent="0.45">
      <c r="A166">
        <v>158</v>
      </c>
      <c r="B166">
        <v>106.2411660569696</v>
      </c>
      <c r="I166">
        <f>SMALL(SimDataTRI!$B$9:$B$508,155)</f>
        <v>66.140466840111472</v>
      </c>
      <c r="J166">
        <f>IF(COUNT(J12:J165)&gt;=COUNT(SimDataTRI!$B$9:$B$508),NA(),1/(COUNT(SimDataTRI!$B$9:$B$508)-1)+J165)</f>
        <v>0.30861723446893813</v>
      </c>
    </row>
    <row r="167" spans="1:10" x14ac:dyDescent="0.45">
      <c r="A167">
        <v>159</v>
      </c>
      <c r="B167">
        <v>62.567798209043076</v>
      </c>
      <c r="I167">
        <f>SMALL(SimDataTRI!$B$9:$B$508,156)</f>
        <v>66.346581893052203</v>
      </c>
      <c r="J167">
        <f>IF(COUNT(J12:J166)&gt;=COUNT(SimDataTRI!$B$9:$B$508),NA(),1/(COUNT(SimDataTRI!$B$9:$B$508)-1)+J166)</f>
        <v>0.31062124248497019</v>
      </c>
    </row>
    <row r="168" spans="1:10" x14ac:dyDescent="0.45">
      <c r="A168">
        <v>160</v>
      </c>
      <c r="B168">
        <v>100.15492303121496</v>
      </c>
      <c r="I168">
        <f>SMALL(SimDataTRI!$B$9:$B$508,157)</f>
        <v>66.465043810997287</v>
      </c>
      <c r="J168">
        <f>IF(COUNT(J12:J167)&gt;=COUNT(SimDataTRI!$B$9:$B$508),NA(),1/(COUNT(SimDataTRI!$B$9:$B$508)-1)+J167)</f>
        <v>0.31262525050100226</v>
      </c>
    </row>
    <row r="169" spans="1:10" x14ac:dyDescent="0.45">
      <c r="A169">
        <v>161</v>
      </c>
      <c r="B169">
        <v>75.765735326142092</v>
      </c>
      <c r="I169">
        <f>SMALL(SimDataTRI!$B$9:$B$508,158)</f>
        <v>66.566015706401885</v>
      </c>
      <c r="J169">
        <f>IF(COUNT(J12:J168)&gt;=COUNT(SimDataTRI!$B$9:$B$508),NA(),1/(COUNT(SimDataTRI!$B$9:$B$508)-1)+J168)</f>
        <v>0.31462925851703433</v>
      </c>
    </row>
    <row r="170" spans="1:10" x14ac:dyDescent="0.45">
      <c r="A170">
        <v>162</v>
      </c>
      <c r="B170">
        <v>123.48259614520428</v>
      </c>
      <c r="I170">
        <f>SMALL(SimDataTRI!$B$9:$B$508,159)</f>
        <v>66.75400683200732</v>
      </c>
      <c r="J170">
        <f>IF(COUNT(J12:J169)&gt;=COUNT(SimDataTRI!$B$9:$B$508),NA(),1/(COUNT(SimDataTRI!$B$9:$B$508)-1)+J169)</f>
        <v>0.31663326653306639</v>
      </c>
    </row>
    <row r="171" spans="1:10" x14ac:dyDescent="0.45">
      <c r="A171">
        <v>163</v>
      </c>
      <c r="B171">
        <v>56.453198736592391</v>
      </c>
      <c r="I171">
        <f>SMALL(SimDataTRI!$B$9:$B$508,160)</f>
        <v>66.858052208627541</v>
      </c>
      <c r="J171">
        <f>IF(COUNT(J12:J170)&gt;=COUNT(SimDataTRI!$B$9:$B$508),NA(),1/(COUNT(SimDataTRI!$B$9:$B$508)-1)+J170)</f>
        <v>0.31863727454909846</v>
      </c>
    </row>
    <row r="172" spans="1:10" x14ac:dyDescent="0.45">
      <c r="A172">
        <v>164</v>
      </c>
      <c r="B172">
        <v>73.786939651003451</v>
      </c>
      <c r="I172">
        <f>SMALL(SimDataTRI!$B$9:$B$508,161)</f>
        <v>67.004233119402627</v>
      </c>
      <c r="J172">
        <f>IF(COUNT(J12:J171)&gt;=COUNT(SimDataTRI!$B$9:$B$508),NA(),1/(COUNT(SimDataTRI!$B$9:$B$508)-1)+J171)</f>
        <v>0.32064128256513053</v>
      </c>
    </row>
    <row r="173" spans="1:10" x14ac:dyDescent="0.45">
      <c r="A173">
        <v>165</v>
      </c>
      <c r="B173">
        <v>68.619169984900864</v>
      </c>
      <c r="I173">
        <f>SMALL(SimDataTRI!$B$9:$B$508,162)</f>
        <v>67.116198886453049</v>
      </c>
      <c r="J173">
        <f>IF(COUNT(J12:J172)&gt;=COUNT(SimDataTRI!$B$9:$B$508),NA(),1/(COUNT(SimDataTRI!$B$9:$B$508)-1)+J172)</f>
        <v>0.32264529058116259</v>
      </c>
    </row>
    <row r="174" spans="1:10" x14ac:dyDescent="0.45">
      <c r="A174">
        <v>166</v>
      </c>
      <c r="B174">
        <v>106.71802979781248</v>
      </c>
      <c r="I174">
        <f>SMALL(SimDataTRI!$B$9:$B$508,163)</f>
        <v>67.389313314028797</v>
      </c>
      <c r="J174">
        <f>IF(COUNT(J12:J173)&gt;=COUNT(SimDataTRI!$B$9:$B$508),NA(),1/(COUNT(SimDataTRI!$B$9:$B$508)-1)+J173)</f>
        <v>0.32464929859719466</v>
      </c>
    </row>
    <row r="175" spans="1:10" x14ac:dyDescent="0.45">
      <c r="A175">
        <v>167</v>
      </c>
      <c r="B175">
        <v>93.508523409406905</v>
      </c>
      <c r="I175">
        <f>SMALL(SimDataTRI!$B$9:$B$508,164)</f>
        <v>67.529234864591587</v>
      </c>
      <c r="J175">
        <f>IF(COUNT(J12:J174)&gt;=COUNT(SimDataTRI!$B$9:$B$508),NA(),1/(COUNT(SimDataTRI!$B$9:$B$508)-1)+J174)</f>
        <v>0.32665330661322672</v>
      </c>
    </row>
    <row r="176" spans="1:10" x14ac:dyDescent="0.45">
      <c r="A176">
        <v>168</v>
      </c>
      <c r="B176">
        <v>65.469317597748386</v>
      </c>
      <c r="I176">
        <f>SMALL(SimDataTRI!$B$9:$B$508,165)</f>
        <v>67.602155705540653</v>
      </c>
      <c r="J176">
        <f>IF(COUNT(J12:J175)&gt;=COUNT(SimDataTRI!$B$9:$B$508),NA(),1/(COUNT(SimDataTRI!$B$9:$B$508)-1)+J175)</f>
        <v>0.32865731462925879</v>
      </c>
    </row>
    <row r="177" spans="1:10" x14ac:dyDescent="0.45">
      <c r="A177">
        <v>169</v>
      </c>
      <c r="B177">
        <v>61.935548496547483</v>
      </c>
      <c r="I177">
        <f>SMALL(SimDataTRI!$B$9:$B$508,166)</f>
        <v>67.73562685550047</v>
      </c>
      <c r="J177">
        <f>IF(COUNT(J12:J176)&gt;=COUNT(SimDataTRI!$B$9:$B$508),NA(),1/(COUNT(SimDataTRI!$B$9:$B$508)-1)+J176)</f>
        <v>0.33066132264529086</v>
      </c>
    </row>
    <row r="178" spans="1:10" x14ac:dyDescent="0.45">
      <c r="A178">
        <v>170</v>
      </c>
      <c r="B178">
        <v>70.635347150037518</v>
      </c>
      <c r="I178">
        <f>SMALL(SimDataTRI!$B$9:$B$508,167)</f>
        <v>67.887534115269489</v>
      </c>
      <c r="J178">
        <f>IF(COUNT(J12:J177)&gt;=COUNT(SimDataTRI!$B$9:$B$508),NA(),1/(COUNT(SimDataTRI!$B$9:$B$508)-1)+J177)</f>
        <v>0.33266533066132292</v>
      </c>
    </row>
    <row r="179" spans="1:10" x14ac:dyDescent="0.45">
      <c r="A179">
        <v>171</v>
      </c>
      <c r="B179">
        <v>70.971189360888189</v>
      </c>
      <c r="I179">
        <f>SMALL(SimDataTRI!$B$9:$B$508,168)</f>
        <v>68.059582369272121</v>
      </c>
      <c r="J179">
        <f>IF(COUNT(J12:J178)&gt;=COUNT(SimDataTRI!$B$9:$B$508),NA(),1/(COUNT(SimDataTRI!$B$9:$B$508)-1)+J178)</f>
        <v>0.33466933867735499</v>
      </c>
    </row>
    <row r="180" spans="1:10" x14ac:dyDescent="0.45">
      <c r="A180">
        <v>172</v>
      </c>
      <c r="B180">
        <v>92.713065440040594</v>
      </c>
      <c r="I180">
        <f>SMALL(SimDataTRI!$B$9:$B$508,169)</f>
        <v>68.152323436143575</v>
      </c>
      <c r="J180">
        <f>IF(COUNT(J12:J179)&gt;=COUNT(SimDataTRI!$B$9:$B$508),NA(),1/(COUNT(SimDataTRI!$B$9:$B$508)-1)+J179)</f>
        <v>0.33667334669338705</v>
      </c>
    </row>
    <row r="181" spans="1:10" x14ac:dyDescent="0.45">
      <c r="A181">
        <v>173</v>
      </c>
      <c r="B181">
        <v>33.499437388768271</v>
      </c>
      <c r="I181">
        <f>SMALL(SimDataTRI!$B$9:$B$508,170)</f>
        <v>68.258716779006136</v>
      </c>
      <c r="J181">
        <f>IF(COUNT(J12:J180)&gt;=COUNT(SimDataTRI!$B$9:$B$508),NA(),1/(COUNT(SimDataTRI!$B$9:$B$508)-1)+J180)</f>
        <v>0.33867735470941912</v>
      </c>
    </row>
    <row r="182" spans="1:10" x14ac:dyDescent="0.45">
      <c r="A182">
        <v>174</v>
      </c>
      <c r="B182">
        <v>35.644597773686378</v>
      </c>
      <c r="I182">
        <f>SMALL(SimDataTRI!$B$9:$B$508,171)</f>
        <v>68.518209919111101</v>
      </c>
      <c r="J182">
        <f>IF(COUNT(J12:J181)&gt;=COUNT(SimDataTRI!$B$9:$B$508),NA(),1/(COUNT(SimDataTRI!$B$9:$B$508)-1)+J181)</f>
        <v>0.34068136272545119</v>
      </c>
    </row>
    <row r="183" spans="1:10" x14ac:dyDescent="0.45">
      <c r="A183">
        <v>175</v>
      </c>
      <c r="B183">
        <v>54.915672545275513</v>
      </c>
      <c r="I183">
        <f>SMALL(SimDataTRI!$B$9:$B$508,172)</f>
        <v>68.619169984900864</v>
      </c>
      <c r="J183">
        <f>IF(COUNT(J12:J182)&gt;=COUNT(SimDataTRI!$B$9:$B$508),NA(),1/(COUNT(SimDataTRI!$B$9:$B$508)-1)+J182)</f>
        <v>0.34268537074148325</v>
      </c>
    </row>
    <row r="184" spans="1:10" x14ac:dyDescent="0.45">
      <c r="A184">
        <v>176</v>
      </c>
      <c r="B184">
        <v>70.874511127919405</v>
      </c>
      <c r="I184">
        <f>SMALL(SimDataTRI!$B$9:$B$508,173)</f>
        <v>68.734989377334216</v>
      </c>
      <c r="J184">
        <f>IF(COUNT(J12:J183)&gt;=COUNT(SimDataTRI!$B$9:$B$508),NA(),1/(COUNT(SimDataTRI!$B$9:$B$508)-1)+J183)</f>
        <v>0.34468937875751532</v>
      </c>
    </row>
    <row r="185" spans="1:10" x14ac:dyDescent="0.45">
      <c r="A185">
        <v>177</v>
      </c>
      <c r="B185">
        <v>101.74112221653925</v>
      </c>
      <c r="I185">
        <f>SMALL(SimDataTRI!$B$9:$B$508,174)</f>
        <v>68.933052326728486</v>
      </c>
      <c r="J185">
        <f>IF(COUNT(J12:J184)&gt;=COUNT(SimDataTRI!$B$9:$B$508),NA(),1/(COUNT(SimDataTRI!$B$9:$B$508)-1)+J184)</f>
        <v>0.34669338677354739</v>
      </c>
    </row>
    <row r="186" spans="1:10" x14ac:dyDescent="0.45">
      <c r="A186">
        <v>178</v>
      </c>
      <c r="B186">
        <v>141.60755943465458</v>
      </c>
      <c r="I186">
        <f>SMALL(SimDataTRI!$B$9:$B$508,175)</f>
        <v>69.037678830566279</v>
      </c>
      <c r="J186">
        <f>IF(COUNT(J12:J185)&gt;=COUNT(SimDataTRI!$B$9:$B$508),NA(),1/(COUNT(SimDataTRI!$B$9:$B$508)-1)+J185)</f>
        <v>0.34869739478957945</v>
      </c>
    </row>
    <row r="187" spans="1:10" x14ac:dyDescent="0.45">
      <c r="A187">
        <v>179</v>
      </c>
      <c r="B187">
        <v>76.225891773325486</v>
      </c>
      <c r="I187">
        <f>SMALL(SimDataTRI!$B$9:$B$508,176)</f>
        <v>69.114106355275936</v>
      </c>
      <c r="J187">
        <f>IF(COUNT(J12:J186)&gt;=COUNT(SimDataTRI!$B$9:$B$508),NA(),1/(COUNT(SimDataTRI!$B$9:$B$508)-1)+J186)</f>
        <v>0.35070140280561152</v>
      </c>
    </row>
    <row r="188" spans="1:10" x14ac:dyDescent="0.45">
      <c r="A188">
        <v>180</v>
      </c>
      <c r="B188">
        <v>77.10025952116996</v>
      </c>
      <c r="I188">
        <f>SMALL(SimDataTRI!$B$9:$B$508,177)</f>
        <v>69.275561205978292</v>
      </c>
      <c r="J188">
        <f>IF(COUNT(J12:J187)&gt;=COUNT(SimDataTRI!$B$9:$B$508),NA(),1/(COUNT(SimDataTRI!$B$9:$B$508)-1)+J187)</f>
        <v>0.35270541082164358</v>
      </c>
    </row>
    <row r="189" spans="1:10" x14ac:dyDescent="0.45">
      <c r="A189">
        <v>181</v>
      </c>
      <c r="B189">
        <v>44.615435526389625</v>
      </c>
      <c r="I189">
        <f>SMALL(SimDataTRI!$B$9:$B$508,178)</f>
        <v>69.524802792372554</v>
      </c>
      <c r="J189">
        <f>IF(COUNT(J12:J188)&gt;=COUNT(SimDataTRI!$B$9:$B$508),NA(),1/(COUNT(SimDataTRI!$B$9:$B$508)-1)+J188)</f>
        <v>0.35470941883767565</v>
      </c>
    </row>
    <row r="190" spans="1:10" x14ac:dyDescent="0.45">
      <c r="A190">
        <v>182</v>
      </c>
      <c r="B190">
        <v>138.9190706350887</v>
      </c>
      <c r="I190">
        <f>SMALL(SimDataTRI!$B$9:$B$508,179)</f>
        <v>69.661217515538652</v>
      </c>
      <c r="J190">
        <f>IF(COUNT(J12:J189)&gt;=COUNT(SimDataTRI!$B$9:$B$508),NA(),1/(COUNT(SimDataTRI!$B$9:$B$508)-1)+J189)</f>
        <v>0.35671342685370772</v>
      </c>
    </row>
    <row r="191" spans="1:10" x14ac:dyDescent="0.45">
      <c r="A191">
        <v>183</v>
      </c>
      <c r="B191">
        <v>84.988489182514513</v>
      </c>
      <c r="I191">
        <f>SMALL(SimDataTRI!$B$9:$B$508,180)</f>
        <v>69.67839517748935</v>
      </c>
      <c r="J191">
        <f>IF(COUNT(J12:J190)&gt;=COUNT(SimDataTRI!$B$9:$B$508),NA(),1/(COUNT(SimDataTRI!$B$9:$B$508)-1)+J190)</f>
        <v>0.35871743486973978</v>
      </c>
    </row>
    <row r="192" spans="1:10" x14ac:dyDescent="0.45">
      <c r="A192">
        <v>184</v>
      </c>
      <c r="B192">
        <v>121.07195222761922</v>
      </c>
      <c r="I192">
        <f>SMALL(SimDataTRI!$B$9:$B$508,181)</f>
        <v>69.870825584498988</v>
      </c>
      <c r="J192">
        <f>IF(COUNT(J12:J191)&gt;=COUNT(SimDataTRI!$B$9:$B$508),NA(),1/(COUNT(SimDataTRI!$B$9:$B$508)-1)+J191)</f>
        <v>0.36072144288577185</v>
      </c>
    </row>
    <row r="193" spans="1:10" x14ac:dyDescent="0.45">
      <c r="A193">
        <v>185</v>
      </c>
      <c r="B193">
        <v>102.11098294083223</v>
      </c>
      <c r="I193">
        <f>SMALL(SimDataTRI!$B$9:$B$508,182)</f>
        <v>70.021714992157456</v>
      </c>
      <c r="J193">
        <f>IF(COUNT(J12:J192)&gt;=COUNT(SimDataTRI!$B$9:$B$508),NA(),1/(COUNT(SimDataTRI!$B$9:$B$508)-1)+J192)</f>
        <v>0.36272545090180391</v>
      </c>
    </row>
    <row r="194" spans="1:10" x14ac:dyDescent="0.45">
      <c r="A194">
        <v>186</v>
      </c>
      <c r="B194">
        <v>79.77982934806532</v>
      </c>
      <c r="I194">
        <f>SMALL(SimDataTRI!$B$9:$B$508,183)</f>
        <v>70.162581157235394</v>
      </c>
      <c r="J194">
        <f>IF(COUNT(J12:J193)&gt;=COUNT(SimDataTRI!$B$9:$B$508),NA(),1/(COUNT(SimDataTRI!$B$9:$B$508)-1)+J193)</f>
        <v>0.36472945891783598</v>
      </c>
    </row>
    <row r="195" spans="1:10" x14ac:dyDescent="0.45">
      <c r="A195">
        <v>187</v>
      </c>
      <c r="B195">
        <v>92.01115165664676</v>
      </c>
      <c r="I195">
        <f>SMALL(SimDataTRI!$B$9:$B$508,184)</f>
        <v>70.250591922008965</v>
      </c>
      <c r="J195">
        <f>IF(COUNT(J12:J194)&gt;=COUNT(SimDataTRI!$B$9:$B$508),NA(),1/(COUNT(SimDataTRI!$B$9:$B$508)-1)+J194)</f>
        <v>0.36673346693386805</v>
      </c>
    </row>
    <row r="196" spans="1:10" x14ac:dyDescent="0.45">
      <c r="A196">
        <v>188</v>
      </c>
      <c r="B196">
        <v>69.037678830566279</v>
      </c>
      <c r="I196">
        <f>SMALL(SimDataTRI!$B$9:$B$508,185)</f>
        <v>70.429820242195021</v>
      </c>
      <c r="J196">
        <f>IF(COUNT(J12:J195)&gt;=COUNT(SimDataTRI!$B$9:$B$508),NA(),1/(COUNT(SimDataTRI!$B$9:$B$508)-1)+J195)</f>
        <v>0.36873747494990011</v>
      </c>
    </row>
    <row r="197" spans="1:10" x14ac:dyDescent="0.45">
      <c r="A197">
        <v>189</v>
      </c>
      <c r="B197">
        <v>92.327477437446589</v>
      </c>
      <c r="I197">
        <f>SMALL(SimDataTRI!$B$9:$B$508,186)</f>
        <v>70.546098538223944</v>
      </c>
      <c r="J197">
        <f>IF(COUNT(J12:J196)&gt;=COUNT(SimDataTRI!$B$9:$B$508),NA(),1/(COUNT(SimDataTRI!$B$9:$B$508)-1)+J196)</f>
        <v>0.37074148296593218</v>
      </c>
    </row>
    <row r="198" spans="1:10" x14ac:dyDescent="0.45">
      <c r="A198">
        <v>190</v>
      </c>
      <c r="B198">
        <v>84.081936308841605</v>
      </c>
      <c r="I198">
        <f>SMALL(SimDataTRI!$B$9:$B$508,187)</f>
        <v>70.635347150037518</v>
      </c>
      <c r="J198">
        <f>IF(COUNT(J12:J197)&gt;=COUNT(SimDataTRI!$B$9:$B$508),NA(),1/(COUNT(SimDataTRI!$B$9:$B$508)-1)+J197)</f>
        <v>0.37274549098196424</v>
      </c>
    </row>
    <row r="199" spans="1:10" x14ac:dyDescent="0.45">
      <c r="A199">
        <v>191</v>
      </c>
      <c r="B199">
        <v>40.132182166024776</v>
      </c>
      <c r="I199">
        <f>SMALL(SimDataTRI!$B$9:$B$508,188)</f>
        <v>70.874511127919405</v>
      </c>
      <c r="J199">
        <f>IF(COUNT(J12:J198)&gt;=COUNT(SimDataTRI!$B$9:$B$508),NA(),1/(COUNT(SimDataTRI!$B$9:$B$508)-1)+J198)</f>
        <v>0.37474949899799631</v>
      </c>
    </row>
    <row r="200" spans="1:10" x14ac:dyDescent="0.45">
      <c r="A200">
        <v>192</v>
      </c>
      <c r="B200">
        <v>101.22538390825962</v>
      </c>
      <c r="I200">
        <f>SMALL(SimDataTRI!$B$9:$B$508,189)</f>
        <v>70.971189360888189</v>
      </c>
      <c r="J200">
        <f>IF(COUNT(J12:J199)&gt;=COUNT(SimDataTRI!$B$9:$B$508),NA(),1/(COUNT(SimDataTRI!$B$9:$B$508)-1)+J199)</f>
        <v>0.37675350701402838</v>
      </c>
    </row>
    <row r="201" spans="1:10" x14ac:dyDescent="0.45">
      <c r="A201">
        <v>193</v>
      </c>
      <c r="B201">
        <v>120.59573136147347</v>
      </c>
      <c r="I201">
        <f>SMALL(SimDataTRI!$B$9:$B$508,190)</f>
        <v>71.066559751862428</v>
      </c>
      <c r="J201">
        <f>IF(COUNT(J12:J200)&gt;=COUNT(SimDataTRI!$B$9:$B$508),NA(),1/(COUNT(SimDataTRI!$B$9:$B$508)-1)+J200)</f>
        <v>0.37875751503006044</v>
      </c>
    </row>
    <row r="202" spans="1:10" x14ac:dyDescent="0.45">
      <c r="A202">
        <v>194</v>
      </c>
      <c r="B202">
        <v>42.245256094341819</v>
      </c>
      <c r="I202">
        <f>SMALL(SimDataTRI!$B$9:$B$508,191)</f>
        <v>71.221421310494875</v>
      </c>
      <c r="J202">
        <f>IF(COUNT(J12:J201)&gt;=COUNT(SimDataTRI!$B$9:$B$508),NA(),1/(COUNT(SimDataTRI!$B$9:$B$508)-1)+J201)</f>
        <v>0.38076152304609251</v>
      </c>
    </row>
    <row r="203" spans="1:10" x14ac:dyDescent="0.45">
      <c r="A203">
        <v>195</v>
      </c>
      <c r="B203">
        <v>106.95309961124971</v>
      </c>
      <c r="I203">
        <f>SMALL(SimDataTRI!$B$9:$B$508,192)</f>
        <v>71.347552754226911</v>
      </c>
      <c r="J203">
        <f>IF(COUNT(J12:J202)&gt;=COUNT(SimDataTRI!$B$9:$B$508),NA(),1/(COUNT(SimDataTRI!$B$9:$B$508)-1)+J202)</f>
        <v>0.38276553106212458</v>
      </c>
    </row>
    <row r="204" spans="1:10" x14ac:dyDescent="0.45">
      <c r="A204">
        <v>196</v>
      </c>
      <c r="B204">
        <v>100.54779800673765</v>
      </c>
      <c r="I204">
        <f>SMALL(SimDataTRI!$B$9:$B$508,193)</f>
        <v>71.503455878728658</v>
      </c>
      <c r="J204">
        <f>IF(COUNT(J12:J203)&gt;=COUNT(SimDataTRI!$B$9:$B$508),NA(),1/(COUNT(SimDataTRI!$B$9:$B$508)-1)+J203)</f>
        <v>0.38476953907815664</v>
      </c>
    </row>
    <row r="205" spans="1:10" x14ac:dyDescent="0.45">
      <c r="A205">
        <v>197</v>
      </c>
      <c r="B205">
        <v>72.224909154013403</v>
      </c>
      <c r="I205">
        <f>SMALL(SimDataTRI!$B$9:$B$508,194)</f>
        <v>71.60812717262084</v>
      </c>
      <c r="J205">
        <f>IF(COUNT(J12:J204)&gt;=COUNT(SimDataTRI!$B$9:$B$508),NA(),1/(COUNT(SimDataTRI!$B$9:$B$508)-1)+J204)</f>
        <v>0.38677354709418871</v>
      </c>
    </row>
    <row r="206" spans="1:10" x14ac:dyDescent="0.45">
      <c r="A206">
        <v>198</v>
      </c>
      <c r="B206">
        <v>106.56362717202941</v>
      </c>
      <c r="I206">
        <f>SMALL(SimDataTRI!$B$9:$B$508,195)</f>
        <v>71.732326430643383</v>
      </c>
      <c r="J206">
        <f>IF(COUNT(J12:J205)&gt;=COUNT(SimDataTRI!$B$9:$B$508),NA(),1/(COUNT(SimDataTRI!$B$9:$B$508)-1)+J205)</f>
        <v>0.38877755511022077</v>
      </c>
    </row>
    <row r="207" spans="1:10" x14ac:dyDescent="0.45">
      <c r="A207">
        <v>199</v>
      </c>
      <c r="B207">
        <v>98.291332931611464</v>
      </c>
      <c r="I207">
        <f>SMALL(SimDataTRI!$B$9:$B$508,196)</f>
        <v>71.864190639199791</v>
      </c>
      <c r="J207">
        <f>IF(COUNT(J12:J206)&gt;=COUNT(SimDataTRI!$B$9:$B$508),NA(),1/(COUNT(SimDataTRI!$B$9:$B$508)-1)+J206)</f>
        <v>0.39078156312625284</v>
      </c>
    </row>
    <row r="208" spans="1:10" x14ac:dyDescent="0.45">
      <c r="A208">
        <v>200</v>
      </c>
      <c r="B208">
        <v>125.51733381473107</v>
      </c>
      <c r="I208">
        <f>SMALL(SimDataTRI!$B$9:$B$508,197)</f>
        <v>72.057811836644987</v>
      </c>
      <c r="J208">
        <f>IF(COUNT(J12:J207)&gt;=COUNT(SimDataTRI!$B$9:$B$508),NA(),1/(COUNT(SimDataTRI!$B$9:$B$508)-1)+J207)</f>
        <v>0.39278557114228491</v>
      </c>
    </row>
    <row r="209" spans="1:10" x14ac:dyDescent="0.45">
      <c r="A209">
        <v>201</v>
      </c>
      <c r="B209">
        <v>52.599829225520786</v>
      </c>
      <c r="I209">
        <f>SMALL(SimDataTRI!$B$9:$B$508,198)</f>
        <v>72.224909154013403</v>
      </c>
      <c r="J209">
        <f>IF(COUNT(J12:J208)&gt;=COUNT(SimDataTRI!$B$9:$B$508),NA(),1/(COUNT(SimDataTRI!$B$9:$B$508)-1)+J208)</f>
        <v>0.39478957915831697</v>
      </c>
    </row>
    <row r="210" spans="1:10" x14ac:dyDescent="0.45">
      <c r="A210">
        <v>202</v>
      </c>
      <c r="B210">
        <v>45.285904433394236</v>
      </c>
      <c r="I210">
        <f>SMALL(SimDataTRI!$B$9:$B$508,199)</f>
        <v>72.280384927123777</v>
      </c>
      <c r="J210">
        <f>IF(COUNT(J12:J209)&gt;=COUNT(SimDataTRI!$B$9:$B$508),NA(),1/(COUNT(SimDataTRI!$B$9:$B$508)-1)+J209)</f>
        <v>0.39679358717434904</v>
      </c>
    </row>
    <row r="211" spans="1:10" x14ac:dyDescent="0.45">
      <c r="A211">
        <v>203</v>
      </c>
      <c r="B211">
        <v>102.67095397576713</v>
      </c>
      <c r="I211">
        <f>SMALL(SimDataTRI!$B$9:$B$508,200)</f>
        <v>72.466872138947238</v>
      </c>
      <c r="J211">
        <f>IF(COUNT(J12:J210)&gt;=COUNT(SimDataTRI!$B$9:$B$508),NA(),1/(COUNT(SimDataTRI!$B$9:$B$508)-1)+J210)</f>
        <v>0.3987975951903811</v>
      </c>
    </row>
    <row r="212" spans="1:10" x14ac:dyDescent="0.45">
      <c r="A212">
        <v>204</v>
      </c>
      <c r="B212">
        <v>86.34807594263367</v>
      </c>
      <c r="I212">
        <f>SMALL(SimDataTRI!$B$9:$B$508,201)</f>
        <v>72.502708712780361</v>
      </c>
      <c r="J212">
        <f>IF(COUNT(J12:J211)&gt;=COUNT(SimDataTRI!$B$9:$B$508),NA(),1/(COUNT(SimDataTRI!$B$9:$B$508)-1)+J211)</f>
        <v>0.40080160320641317</v>
      </c>
    </row>
    <row r="213" spans="1:10" x14ac:dyDescent="0.45">
      <c r="A213">
        <v>205</v>
      </c>
      <c r="B213">
        <v>47.779210827890822</v>
      </c>
      <c r="I213">
        <f>SMALL(SimDataTRI!$B$9:$B$508,202)</f>
        <v>72.707071303805563</v>
      </c>
      <c r="J213">
        <f>IF(COUNT(J12:J212)&gt;=COUNT(SimDataTRI!$B$9:$B$508),NA(),1/(COUNT(SimDataTRI!$B$9:$B$508)-1)+J212)</f>
        <v>0.40280561122244524</v>
      </c>
    </row>
    <row r="214" spans="1:10" x14ac:dyDescent="0.45">
      <c r="A214">
        <v>206</v>
      </c>
      <c r="B214">
        <v>73.154146232395604</v>
      </c>
      <c r="I214">
        <f>SMALL(SimDataTRI!$B$9:$B$508,203)</f>
        <v>72.808173601546386</v>
      </c>
      <c r="J214">
        <f>IF(COUNT(J12:J213)&gt;=COUNT(SimDataTRI!$B$9:$B$508),NA(),1/(COUNT(SimDataTRI!$B$9:$B$508)-1)+J213)</f>
        <v>0.4048096192384773</v>
      </c>
    </row>
    <row r="215" spans="1:10" x14ac:dyDescent="0.45">
      <c r="A215">
        <v>207</v>
      </c>
      <c r="B215">
        <v>136.82001313027706</v>
      </c>
      <c r="I215">
        <f>SMALL(SimDataTRI!$B$9:$B$508,204)</f>
        <v>72.960832266488353</v>
      </c>
      <c r="J215">
        <f>IF(COUNT(J12:J214)&gt;=COUNT(SimDataTRI!$B$9:$B$508),NA(),1/(COUNT(SimDataTRI!$B$9:$B$508)-1)+J214)</f>
        <v>0.40681362725450937</v>
      </c>
    </row>
    <row r="216" spans="1:10" x14ac:dyDescent="0.45">
      <c r="A216">
        <v>208</v>
      </c>
      <c r="B216">
        <v>94.592119899463256</v>
      </c>
      <c r="I216">
        <f>SMALL(SimDataTRI!$B$9:$B$508,205)</f>
        <v>73.117362215114966</v>
      </c>
      <c r="J216">
        <f>IF(COUNT(J12:J215)&gt;=COUNT(SimDataTRI!$B$9:$B$508),NA(),1/(COUNT(SimDataTRI!$B$9:$B$508)-1)+J215)</f>
        <v>0.40881763527054144</v>
      </c>
    </row>
    <row r="217" spans="1:10" x14ac:dyDescent="0.45">
      <c r="A217">
        <v>209</v>
      </c>
      <c r="B217">
        <v>126.78297954479092</v>
      </c>
      <c r="I217">
        <f>SMALL(SimDataTRI!$B$9:$B$508,206)</f>
        <v>73.154146232395604</v>
      </c>
      <c r="J217">
        <f>IF(COUNT(J12:J216)&gt;=COUNT(SimDataTRI!$B$9:$B$508),NA(),1/(COUNT(SimDataTRI!$B$9:$B$508)-1)+J216)</f>
        <v>0.4108216432865735</v>
      </c>
    </row>
    <row r="218" spans="1:10" x14ac:dyDescent="0.45">
      <c r="A218">
        <v>210</v>
      </c>
      <c r="B218">
        <v>81.094229250741364</v>
      </c>
      <c r="I218">
        <f>SMALL(SimDataTRI!$B$9:$B$508,207)</f>
        <v>73.316797023709242</v>
      </c>
      <c r="J218">
        <f>IF(COUNT(J12:J217)&gt;=COUNT(SimDataTRI!$B$9:$B$508),NA(),1/(COUNT(SimDataTRI!$B$9:$B$508)-1)+J217)</f>
        <v>0.41282565130260557</v>
      </c>
    </row>
    <row r="219" spans="1:10" x14ac:dyDescent="0.45">
      <c r="A219">
        <v>211</v>
      </c>
      <c r="B219">
        <v>78.310489739340895</v>
      </c>
      <c r="I219">
        <f>SMALL(SimDataTRI!$B$9:$B$508,208)</f>
        <v>73.490883371226161</v>
      </c>
      <c r="J219">
        <f>IF(COUNT(J12:J218)&gt;=COUNT(SimDataTRI!$B$9:$B$508),NA(),1/(COUNT(SimDataTRI!$B$9:$B$508)-1)+J218)</f>
        <v>0.41482965931863763</v>
      </c>
    </row>
    <row r="220" spans="1:10" x14ac:dyDescent="0.45">
      <c r="A220">
        <v>212</v>
      </c>
      <c r="B220">
        <v>78.580868549306132</v>
      </c>
      <c r="I220">
        <f>SMALL(SimDataTRI!$B$9:$B$508,209)</f>
        <v>73.5733211757384</v>
      </c>
      <c r="J220">
        <f>IF(COUNT(J12:J219)&gt;=COUNT(SimDataTRI!$B$9:$B$508),NA(),1/(COUNT(SimDataTRI!$B$9:$B$508)-1)+J219)</f>
        <v>0.4168336673346697</v>
      </c>
    </row>
    <row r="221" spans="1:10" x14ac:dyDescent="0.45">
      <c r="A221">
        <v>213</v>
      </c>
      <c r="B221">
        <v>99.490377561655521</v>
      </c>
      <c r="I221">
        <f>SMALL(SimDataTRI!$B$9:$B$508,210)</f>
        <v>73.786939651003451</v>
      </c>
      <c r="J221">
        <f>IF(COUNT(J12:J220)&gt;=COUNT(SimDataTRI!$B$9:$B$508),NA(),1/(COUNT(SimDataTRI!$B$9:$B$508)-1)+J220)</f>
        <v>0.41883767535070177</v>
      </c>
    </row>
    <row r="222" spans="1:10" x14ac:dyDescent="0.45">
      <c r="A222">
        <v>214</v>
      </c>
      <c r="B222">
        <v>87.293874554302306</v>
      </c>
      <c r="I222">
        <f>SMALL(SimDataTRI!$B$9:$B$508,211)</f>
        <v>73.804442514636207</v>
      </c>
      <c r="J222">
        <f>IF(COUNT(J12:J221)&gt;=COUNT(SimDataTRI!$B$9:$B$508),NA(),1/(COUNT(SimDataTRI!$B$9:$B$508)-1)+J221)</f>
        <v>0.42084168336673383</v>
      </c>
    </row>
    <row r="223" spans="1:10" x14ac:dyDescent="0.45">
      <c r="A223">
        <v>215</v>
      </c>
      <c r="B223">
        <v>90.212372501894748</v>
      </c>
      <c r="I223">
        <f>SMALL(SimDataTRI!$B$9:$B$508,212)</f>
        <v>73.987191785414112</v>
      </c>
      <c r="J223">
        <f>IF(COUNT(J12:J222)&gt;=COUNT(SimDataTRI!$B$9:$B$508),NA(),1/(COUNT(SimDataTRI!$B$9:$B$508)-1)+J222)</f>
        <v>0.4228456913827659</v>
      </c>
    </row>
    <row r="224" spans="1:10" x14ac:dyDescent="0.45">
      <c r="A224">
        <v>216</v>
      </c>
      <c r="B224">
        <v>63.887686455700063</v>
      </c>
      <c r="I224">
        <f>SMALL(SimDataTRI!$B$9:$B$508,213)</f>
        <v>74.164159416136499</v>
      </c>
      <c r="J224">
        <f>IF(COUNT(J12:J223)&gt;=COUNT(SimDataTRI!$B$9:$B$508),NA(),1/(COUNT(SimDataTRI!$B$9:$B$508)-1)+J223)</f>
        <v>0.42484969939879796</v>
      </c>
    </row>
    <row r="225" spans="1:10" x14ac:dyDescent="0.45">
      <c r="A225">
        <v>217</v>
      </c>
      <c r="B225">
        <v>86.4595685336174</v>
      </c>
      <c r="I225">
        <f>SMALL(SimDataTRI!$B$9:$B$508,214)</f>
        <v>74.220674991491052</v>
      </c>
      <c r="J225">
        <f>IF(COUNT(J12:J224)&gt;=COUNT(SimDataTRI!$B$9:$B$508),NA(),1/(COUNT(SimDataTRI!$B$9:$B$508)-1)+J224)</f>
        <v>0.42685370741483003</v>
      </c>
    </row>
    <row r="226" spans="1:10" x14ac:dyDescent="0.45">
      <c r="A226">
        <v>218</v>
      </c>
      <c r="B226">
        <v>102.9582095798506</v>
      </c>
      <c r="I226">
        <f>SMALL(SimDataTRI!$B$9:$B$508,215)</f>
        <v>74.33806271684854</v>
      </c>
      <c r="J226">
        <f>IF(COUNT(J12:J225)&gt;=COUNT(SimDataTRI!$B$9:$B$508),NA(),1/(COUNT(SimDataTRI!$B$9:$B$508)-1)+J225)</f>
        <v>0.4288577154308621</v>
      </c>
    </row>
    <row r="227" spans="1:10" x14ac:dyDescent="0.45">
      <c r="A227">
        <v>219</v>
      </c>
      <c r="B227">
        <v>71.221421310494875</v>
      </c>
      <c r="I227">
        <f>SMALL(SimDataTRI!$B$9:$B$508,216)</f>
        <v>74.539497253735647</v>
      </c>
      <c r="J227">
        <f>IF(COUNT(J12:J226)&gt;=COUNT(SimDataTRI!$B$9:$B$508),NA(),1/(COUNT(SimDataTRI!$B$9:$B$508)-1)+J226)</f>
        <v>0.43086172344689416</v>
      </c>
    </row>
    <row r="228" spans="1:10" x14ac:dyDescent="0.45">
      <c r="A228">
        <v>220</v>
      </c>
      <c r="B228">
        <v>58.707665673597887</v>
      </c>
      <c r="I228">
        <f>SMALL(SimDataTRI!$B$9:$B$508,217)</f>
        <v>74.727947431041812</v>
      </c>
      <c r="J228">
        <f>IF(COUNT(J12:J227)&gt;=COUNT(SimDataTRI!$B$9:$B$508),NA(),1/(COUNT(SimDataTRI!$B$9:$B$508)-1)+J227)</f>
        <v>0.43286573146292623</v>
      </c>
    </row>
    <row r="229" spans="1:10" x14ac:dyDescent="0.45">
      <c r="A229">
        <v>221</v>
      </c>
      <c r="B229">
        <v>64.971985838041874</v>
      </c>
      <c r="I229">
        <f>SMALL(SimDataTRI!$B$9:$B$508,218)</f>
        <v>74.831757373055936</v>
      </c>
      <c r="J229">
        <f>IF(COUNT(J12:J228)&gt;=COUNT(SimDataTRI!$B$9:$B$508),NA(),1/(COUNT(SimDataTRI!$B$9:$B$508)-1)+J228)</f>
        <v>0.43486973947895829</v>
      </c>
    </row>
    <row r="230" spans="1:10" x14ac:dyDescent="0.45">
      <c r="A230">
        <v>222</v>
      </c>
      <c r="B230">
        <v>105.53366306135285</v>
      </c>
      <c r="I230">
        <f>SMALL(SimDataTRI!$B$9:$B$508,219)</f>
        <v>74.86569596019531</v>
      </c>
      <c r="J230">
        <f>IF(COUNT(J12:J229)&gt;=COUNT(SimDataTRI!$B$9:$B$508),NA(),1/(COUNT(SimDataTRI!$B$9:$B$508)-1)+J229)</f>
        <v>0.43687374749499036</v>
      </c>
    </row>
    <row r="231" spans="1:10" x14ac:dyDescent="0.45">
      <c r="A231">
        <v>223</v>
      </c>
      <c r="B231">
        <v>58.964070648377273</v>
      </c>
      <c r="I231">
        <f>SMALL(SimDataTRI!$B$9:$B$508,220)</f>
        <v>75.077941016315407</v>
      </c>
      <c r="J231">
        <f>IF(COUNT(J12:J230)&gt;=COUNT(SimDataTRI!$B$9:$B$508),NA(),1/(COUNT(SimDataTRI!$B$9:$B$508)-1)+J230)</f>
        <v>0.43887775551102243</v>
      </c>
    </row>
    <row r="232" spans="1:10" x14ac:dyDescent="0.45">
      <c r="A232">
        <v>224</v>
      </c>
      <c r="B232">
        <v>76.070454102619138</v>
      </c>
      <c r="I232">
        <f>SMALL(SimDataTRI!$B$9:$B$508,221)</f>
        <v>75.164758251549046</v>
      </c>
      <c r="J232">
        <f>IF(COUNT(J12:J231)&gt;=COUNT(SimDataTRI!$B$9:$B$508),NA(),1/(COUNT(SimDataTRI!$B$9:$B$508)-1)+J231)</f>
        <v>0.44088176352705449</v>
      </c>
    </row>
    <row r="233" spans="1:10" x14ac:dyDescent="0.45">
      <c r="A233">
        <v>225</v>
      </c>
      <c r="B233">
        <v>79.652510855533407</v>
      </c>
      <c r="I233">
        <f>SMALL(SimDataTRI!$B$9:$B$508,222)</f>
        <v>75.332403817834702</v>
      </c>
      <c r="J233">
        <f>IF(COUNT(J12:J232)&gt;=COUNT(SimDataTRI!$B$9:$B$508),NA(),1/(COUNT(SimDataTRI!$B$9:$B$508)-1)+J232)</f>
        <v>0.44288577154308656</v>
      </c>
    </row>
    <row r="234" spans="1:10" x14ac:dyDescent="0.45">
      <c r="A234">
        <v>226</v>
      </c>
      <c r="B234">
        <v>127.2509390335581</v>
      </c>
      <c r="I234">
        <f>SMALL(SimDataTRI!$B$9:$B$508,223)</f>
        <v>75.464750909667345</v>
      </c>
      <c r="J234">
        <f>IF(COUNT(J12:J233)&gt;=COUNT(SimDataTRI!$B$9:$B$508),NA(),1/(COUNT(SimDataTRI!$B$9:$B$508)-1)+J233)</f>
        <v>0.44488977955911863</v>
      </c>
    </row>
    <row r="235" spans="1:10" x14ac:dyDescent="0.45">
      <c r="A235">
        <v>227</v>
      </c>
      <c r="B235">
        <v>46.140557724297253</v>
      </c>
      <c r="I235">
        <f>SMALL(SimDataTRI!$B$9:$B$508,224)</f>
        <v>75.661599999649681</v>
      </c>
      <c r="J235">
        <f>IF(COUNT(J12:J234)&gt;=COUNT(SimDataTRI!$B$9:$B$508),NA(),1/(COUNT(SimDataTRI!$B$9:$B$508)-1)+J234)</f>
        <v>0.44689378757515069</v>
      </c>
    </row>
    <row r="236" spans="1:10" x14ac:dyDescent="0.45">
      <c r="A236">
        <v>228</v>
      </c>
      <c r="B236">
        <v>98.900751794193155</v>
      </c>
      <c r="I236">
        <f>SMALL(SimDataTRI!$B$9:$B$508,225)</f>
        <v>75.765735326142092</v>
      </c>
      <c r="J236">
        <f>IF(COUNT(J12:J235)&gt;=COUNT(SimDataTRI!$B$9:$B$508),NA(),1/(COUNT(SimDataTRI!$B$9:$B$508)-1)+J235)</f>
        <v>0.44889779559118276</v>
      </c>
    </row>
    <row r="237" spans="1:10" x14ac:dyDescent="0.45">
      <c r="A237">
        <v>229</v>
      </c>
      <c r="B237">
        <v>75.332403817834702</v>
      </c>
      <c r="I237">
        <f>SMALL(SimDataTRI!$B$9:$B$508,226)</f>
        <v>75.807501814247843</v>
      </c>
      <c r="J237">
        <f>IF(COUNT(J12:J236)&gt;=COUNT(SimDataTRI!$B$9:$B$508),NA(),1/(COUNT(SimDataTRI!$B$9:$B$508)-1)+J236)</f>
        <v>0.45090180360721482</v>
      </c>
    </row>
    <row r="238" spans="1:10" x14ac:dyDescent="0.45">
      <c r="A238">
        <v>230</v>
      </c>
      <c r="B238">
        <v>44.663802762248906</v>
      </c>
      <c r="I238">
        <f>SMALL(SimDataTRI!$B$9:$B$508,227)</f>
        <v>76.070454102619138</v>
      </c>
      <c r="J238">
        <f>IF(COUNT(J12:J237)&gt;=COUNT(SimDataTRI!$B$9:$B$508),NA(),1/(COUNT(SimDataTRI!$B$9:$B$508)-1)+J237)</f>
        <v>0.45290581162324689</v>
      </c>
    </row>
    <row r="239" spans="1:10" x14ac:dyDescent="0.45">
      <c r="A239">
        <v>231</v>
      </c>
      <c r="B239">
        <v>103.09339336851662</v>
      </c>
      <c r="I239">
        <f>SMALL(SimDataTRI!$B$9:$B$508,228)</f>
        <v>76.09397332050527</v>
      </c>
      <c r="J239">
        <f>IF(COUNT(J12:J238)&gt;=COUNT(SimDataTRI!$B$9:$B$508),NA(),1/(COUNT(SimDataTRI!$B$9:$B$508)-1)+J238)</f>
        <v>0.45490981963927896</v>
      </c>
    </row>
    <row r="240" spans="1:10" x14ac:dyDescent="0.45">
      <c r="A240">
        <v>232</v>
      </c>
      <c r="B240">
        <v>28.490961217177762</v>
      </c>
      <c r="I240">
        <f>SMALL(SimDataTRI!$B$9:$B$508,229)</f>
        <v>76.225891773325486</v>
      </c>
      <c r="J240">
        <f>IF(COUNT(J12:J239)&gt;=COUNT(SimDataTRI!$B$9:$B$508),NA(),1/(COUNT(SimDataTRI!$B$9:$B$508)-1)+J239)</f>
        <v>0.45691382765531102</v>
      </c>
    </row>
    <row r="241" spans="1:10" x14ac:dyDescent="0.45">
      <c r="A241">
        <v>233</v>
      </c>
      <c r="B241">
        <v>125.46028959246928</v>
      </c>
      <c r="I241">
        <f>SMALL(SimDataTRI!$B$9:$B$508,230)</f>
        <v>76.383300823175915</v>
      </c>
      <c r="J241">
        <f>IF(COUNT(J12:J240)&gt;=COUNT(SimDataTRI!$B$9:$B$508),NA(),1/(COUNT(SimDataTRI!$B$9:$B$508)-1)+J240)</f>
        <v>0.45891783567134309</v>
      </c>
    </row>
    <row r="242" spans="1:10" x14ac:dyDescent="0.45">
      <c r="A242">
        <v>234</v>
      </c>
      <c r="B242">
        <v>101.48661127910489</v>
      </c>
      <c r="I242">
        <f>SMALL(SimDataTRI!$B$9:$B$508,231)</f>
        <v>76.579046343803881</v>
      </c>
      <c r="J242">
        <f>IF(COUNT(J12:J241)&gt;=COUNT(SimDataTRI!$B$9:$B$508),NA(),1/(COUNT(SimDataTRI!$B$9:$B$508)-1)+J241)</f>
        <v>0.46092184368737515</v>
      </c>
    </row>
    <row r="243" spans="1:10" x14ac:dyDescent="0.45">
      <c r="A243">
        <v>235</v>
      </c>
      <c r="B243">
        <v>85.935976730728385</v>
      </c>
      <c r="I243">
        <f>SMALL(SimDataTRI!$B$9:$B$508,232)</f>
        <v>76.66999126012503</v>
      </c>
      <c r="J243">
        <f>IF(COUNT(J12:J242)&gt;=COUNT(SimDataTRI!$B$9:$B$508),NA(),1/(COUNT(SimDataTRI!$B$9:$B$508)-1)+J242)</f>
        <v>0.46292585170340722</v>
      </c>
    </row>
    <row r="244" spans="1:10" x14ac:dyDescent="0.45">
      <c r="A244">
        <v>236</v>
      </c>
      <c r="B244">
        <v>119.23337227885892</v>
      </c>
      <c r="I244">
        <f>SMALL(SimDataTRI!$B$9:$B$508,233)</f>
        <v>76.768808166778697</v>
      </c>
      <c r="J244">
        <f>IF(COUNT(J12:J243)&gt;=COUNT(SimDataTRI!$B$9:$B$508),NA(),1/(COUNT(SimDataTRI!$B$9:$B$508)-1)+J243)</f>
        <v>0.46492985971943929</v>
      </c>
    </row>
    <row r="245" spans="1:10" x14ac:dyDescent="0.45">
      <c r="A245">
        <v>237</v>
      </c>
      <c r="B245">
        <v>65.634298909682684</v>
      </c>
      <c r="I245">
        <f>SMALL(SimDataTRI!$B$9:$B$508,234)</f>
        <v>76.933528310501117</v>
      </c>
      <c r="J245">
        <f>IF(COUNT(J12:J244)&gt;=COUNT(SimDataTRI!$B$9:$B$508),NA(),1/(COUNT(SimDataTRI!$B$9:$B$508)-1)+J244)</f>
        <v>0.46693386773547135</v>
      </c>
    </row>
    <row r="246" spans="1:10" x14ac:dyDescent="0.45">
      <c r="A246">
        <v>238</v>
      </c>
      <c r="B246">
        <v>58.067171099886806</v>
      </c>
      <c r="I246">
        <f>SMALL(SimDataTRI!$B$9:$B$508,235)</f>
        <v>77.10025952116996</v>
      </c>
      <c r="J246">
        <f>IF(COUNT(J12:J245)&gt;=COUNT(SimDataTRI!$B$9:$B$508),NA(),1/(COUNT(SimDataTRI!$B$9:$B$508)-1)+J245)</f>
        <v>0.46893787575150342</v>
      </c>
    </row>
    <row r="247" spans="1:10" x14ac:dyDescent="0.45">
      <c r="A247">
        <v>239</v>
      </c>
      <c r="B247">
        <v>77.955838265495444</v>
      </c>
      <c r="I247">
        <f>SMALL(SimDataTRI!$B$9:$B$508,236)</f>
        <v>77.182310145745873</v>
      </c>
      <c r="J247">
        <f>IF(COUNT(J12:J246)&gt;=COUNT(SimDataTRI!$B$9:$B$508),NA(),1/(COUNT(SimDataTRI!$B$9:$B$508)-1)+J246)</f>
        <v>0.47094188376753549</v>
      </c>
    </row>
    <row r="248" spans="1:10" x14ac:dyDescent="0.45">
      <c r="A248">
        <v>240</v>
      </c>
      <c r="B248">
        <v>115.94991987041863</v>
      </c>
      <c r="I248">
        <f>SMALL(SimDataTRI!$B$9:$B$508,237)</f>
        <v>77.415941967421162</v>
      </c>
      <c r="J248">
        <f>IF(COUNT(J12:J247)&gt;=COUNT(SimDataTRI!$B$9:$B$508),NA(),1/(COUNT(SimDataTRI!$B$9:$B$508)-1)+J247)</f>
        <v>0.47294589178356755</v>
      </c>
    </row>
    <row r="249" spans="1:10" x14ac:dyDescent="0.45">
      <c r="A249">
        <v>241</v>
      </c>
      <c r="B249">
        <v>74.831757373055936</v>
      </c>
      <c r="I249">
        <f>SMALL(SimDataTRI!$B$9:$B$508,238)</f>
        <v>77.552018614447263</v>
      </c>
      <c r="J249">
        <f>IF(COUNT(J12:J248)&gt;=COUNT(SimDataTRI!$B$9:$B$508),NA(),1/(COUNT(SimDataTRI!$B$9:$B$508)-1)+J248)</f>
        <v>0.47494989979959962</v>
      </c>
    </row>
    <row r="250" spans="1:10" x14ac:dyDescent="0.45">
      <c r="A250">
        <v>242</v>
      </c>
      <c r="B250">
        <v>69.67839517748935</v>
      </c>
      <c r="I250">
        <f>SMALL(SimDataTRI!$B$9:$B$508,239)</f>
        <v>77.594944825935769</v>
      </c>
      <c r="J250">
        <f>IF(COUNT(J12:J249)&gt;=COUNT(SimDataTRI!$B$9:$B$508),NA(),1/(COUNT(SimDataTRI!$B$9:$B$508)-1)+J249)</f>
        <v>0.47695390781563168</v>
      </c>
    </row>
    <row r="251" spans="1:10" x14ac:dyDescent="0.45">
      <c r="A251">
        <v>243</v>
      </c>
      <c r="B251">
        <v>117.17015767606682</v>
      </c>
      <c r="I251">
        <f>SMALL(SimDataTRI!$B$9:$B$508,240)</f>
        <v>77.756476844165874</v>
      </c>
      <c r="J251">
        <f>IF(COUNT(J12:J250)&gt;=COUNT(SimDataTRI!$B$9:$B$508),NA(),1/(COUNT(SimDataTRI!$B$9:$B$508)-1)+J250)</f>
        <v>0.47895791583166375</v>
      </c>
    </row>
    <row r="252" spans="1:10" x14ac:dyDescent="0.45">
      <c r="A252">
        <v>244</v>
      </c>
      <c r="B252">
        <v>132.20382423654121</v>
      </c>
      <c r="I252">
        <f>SMALL(SimDataTRI!$B$9:$B$508,241)</f>
        <v>77.955838265495444</v>
      </c>
      <c r="J252">
        <f>IF(COUNT(J12:J251)&gt;=COUNT(SimDataTRI!$B$9:$B$508),NA(),1/(COUNT(SimDataTRI!$B$9:$B$508)-1)+J251)</f>
        <v>0.48096192384769582</v>
      </c>
    </row>
    <row r="253" spans="1:10" x14ac:dyDescent="0.45">
      <c r="A253">
        <v>245</v>
      </c>
      <c r="B253">
        <v>74.164159416136499</v>
      </c>
      <c r="I253">
        <f>SMALL(SimDataTRI!$B$9:$B$508,242)</f>
        <v>78.034942451484895</v>
      </c>
      <c r="J253">
        <f>IF(COUNT(J12:J252)&gt;=COUNT(SimDataTRI!$B$9:$B$508),NA(),1/(COUNT(SimDataTRI!$B$9:$B$508)-1)+J252)</f>
        <v>0.48296593186372788</v>
      </c>
    </row>
    <row r="254" spans="1:10" x14ac:dyDescent="0.45">
      <c r="A254">
        <v>246</v>
      </c>
      <c r="B254">
        <v>73.117362215114966</v>
      </c>
      <c r="I254">
        <f>SMALL(SimDataTRI!$B$9:$B$508,243)</f>
        <v>78.245225830397331</v>
      </c>
      <c r="J254">
        <f>IF(COUNT(J12:J253)&gt;=COUNT(SimDataTRI!$B$9:$B$508),NA(),1/(COUNT(SimDataTRI!$B$9:$B$508)-1)+J253)</f>
        <v>0.48496993987975995</v>
      </c>
    </row>
    <row r="255" spans="1:10" x14ac:dyDescent="0.45">
      <c r="A255">
        <v>247</v>
      </c>
      <c r="B255">
        <v>129.72644985306346</v>
      </c>
      <c r="I255">
        <f>SMALL(SimDataTRI!$B$9:$B$508,244)</f>
        <v>78.310489739340895</v>
      </c>
      <c r="J255">
        <f>IF(COUNT(J12:J254)&gt;=COUNT(SimDataTRI!$B$9:$B$508),NA(),1/(COUNT(SimDataTRI!$B$9:$B$508)-1)+J254)</f>
        <v>0.48697394789579201</v>
      </c>
    </row>
    <row r="256" spans="1:10" x14ac:dyDescent="0.45">
      <c r="A256">
        <v>248</v>
      </c>
      <c r="B256">
        <v>51.425968394850365</v>
      </c>
      <c r="I256">
        <f>SMALL(SimDataTRI!$B$9:$B$508,245)</f>
        <v>78.429308027740888</v>
      </c>
      <c r="J256">
        <f>IF(COUNT(J12:J255)&gt;=COUNT(SimDataTRI!$B$9:$B$508),NA(),1/(COUNT(SimDataTRI!$B$9:$B$508)-1)+J255)</f>
        <v>0.48897795591182408</v>
      </c>
    </row>
    <row r="257" spans="1:10" x14ac:dyDescent="0.45">
      <c r="A257">
        <v>249</v>
      </c>
      <c r="B257">
        <v>63.395320767691373</v>
      </c>
      <c r="I257">
        <f>SMALL(SimDataTRI!$B$9:$B$508,246)</f>
        <v>78.580868549306132</v>
      </c>
      <c r="J257">
        <f>IF(COUNT(J12:J256)&gt;=COUNT(SimDataTRI!$B$9:$B$508),NA(),1/(COUNT(SimDataTRI!$B$9:$B$508)-1)+J256)</f>
        <v>0.49098196392785615</v>
      </c>
    </row>
    <row r="258" spans="1:10" x14ac:dyDescent="0.45">
      <c r="A258">
        <v>250</v>
      </c>
      <c r="B258">
        <v>108.73931572307437</v>
      </c>
      <c r="I258">
        <f>SMALL(SimDataTRI!$B$9:$B$508,247)</f>
        <v>78.720814699799149</v>
      </c>
      <c r="J258">
        <f>IF(COUNT(J12:J257)&gt;=COUNT(SimDataTRI!$B$9:$B$508),NA(),1/(COUNT(SimDataTRI!$B$9:$B$508)-1)+J257)</f>
        <v>0.49298597194388821</v>
      </c>
    </row>
    <row r="259" spans="1:10" x14ac:dyDescent="0.45">
      <c r="A259">
        <v>251</v>
      </c>
      <c r="B259">
        <v>121.6250911892665</v>
      </c>
      <c r="I259">
        <f>SMALL(SimDataTRI!$B$9:$B$508,248)</f>
        <v>78.906426111296128</v>
      </c>
      <c r="J259">
        <f>IF(COUNT(J12:J258)&gt;=COUNT(SimDataTRI!$B$9:$B$508),NA(),1/(COUNT(SimDataTRI!$B$9:$B$508)-1)+J258)</f>
        <v>0.49498997995992028</v>
      </c>
    </row>
    <row r="260" spans="1:10" x14ac:dyDescent="0.45">
      <c r="A260">
        <v>252</v>
      </c>
      <c r="B260">
        <v>39.966783699399087</v>
      </c>
      <c r="I260">
        <f>SMALL(SimDataTRI!$B$9:$B$508,249)</f>
        <v>79.000321846093556</v>
      </c>
      <c r="J260">
        <f>IF(COUNT(J12:J259)&gt;=COUNT(SimDataTRI!$B$9:$B$508),NA(),1/(COUNT(SimDataTRI!$B$9:$B$508)-1)+J259)</f>
        <v>0.49699398797595234</v>
      </c>
    </row>
    <row r="261" spans="1:10" x14ac:dyDescent="0.45">
      <c r="A261">
        <v>253</v>
      </c>
      <c r="B261">
        <v>144.54080405042794</v>
      </c>
      <c r="I261">
        <f>SMALL(SimDataTRI!$B$9:$B$508,250)</f>
        <v>79.169353566653612</v>
      </c>
      <c r="J261">
        <f>IF(COUNT(J12:J260)&gt;=COUNT(SimDataTRI!$B$9:$B$508),NA(),1/(COUNT(SimDataTRI!$B$9:$B$508)-1)+J260)</f>
        <v>0.49899799599198441</v>
      </c>
    </row>
    <row r="262" spans="1:10" x14ac:dyDescent="0.45">
      <c r="A262">
        <v>254</v>
      </c>
      <c r="B262">
        <v>108.80533510382782</v>
      </c>
      <c r="I262">
        <f>SMALL(SimDataTRI!$B$9:$B$508,251)</f>
        <v>79.296796922889129</v>
      </c>
      <c r="J262">
        <f>IF(COUNT(J12:J261)&gt;=COUNT(SimDataTRI!$B$9:$B$508),NA(),1/(COUNT(SimDataTRI!$B$9:$B$508)-1)+J261)</f>
        <v>0.50100200400801642</v>
      </c>
    </row>
    <row r="263" spans="1:10" x14ac:dyDescent="0.45">
      <c r="A263">
        <v>255</v>
      </c>
      <c r="B263">
        <v>72.808173601546386</v>
      </c>
      <c r="I263">
        <f>SMALL(SimDataTRI!$B$9:$B$508,252)</f>
        <v>79.400147287185575</v>
      </c>
      <c r="J263">
        <f>IF(COUNT(J12:J262)&gt;=COUNT(SimDataTRI!$B$9:$B$508),NA(),1/(COUNT(SimDataTRI!$B$9:$B$508)-1)+J262)</f>
        <v>0.50300601202404849</v>
      </c>
    </row>
    <row r="264" spans="1:10" x14ac:dyDescent="0.45">
      <c r="A264">
        <v>256</v>
      </c>
      <c r="B264">
        <v>31.953256529182759</v>
      </c>
      <c r="I264">
        <f>SMALL(SimDataTRI!$B$9:$B$508,253)</f>
        <v>79.652510855533407</v>
      </c>
      <c r="J264">
        <f>IF(COUNT(J12:J263)&gt;=COUNT(SimDataTRI!$B$9:$B$508),NA(),1/(COUNT(SimDataTRI!$B$9:$B$508)-1)+J263)</f>
        <v>0.50501002004008055</v>
      </c>
    </row>
    <row r="265" spans="1:10" x14ac:dyDescent="0.45">
      <c r="A265">
        <v>257</v>
      </c>
      <c r="B265">
        <v>135.02279677613788</v>
      </c>
      <c r="I265">
        <f>SMALL(SimDataTRI!$B$9:$B$508,254)</f>
        <v>79.77982934806532</v>
      </c>
      <c r="J265">
        <f>IF(COUNT(J12:J264)&gt;=COUNT(SimDataTRI!$B$9:$B$508),NA(),1/(COUNT(SimDataTRI!$B$9:$B$508)-1)+J264)</f>
        <v>0.50701402805611262</v>
      </c>
    </row>
    <row r="266" spans="1:10" x14ac:dyDescent="0.45">
      <c r="A266">
        <v>258</v>
      </c>
      <c r="B266">
        <v>86.161990044712468</v>
      </c>
      <c r="I266">
        <f>SMALL(SimDataTRI!$B$9:$B$508,255)</f>
        <v>79.926184808599075</v>
      </c>
      <c r="J266">
        <f>IF(COUNT(J12:J265)&gt;=COUNT(SimDataTRI!$B$9:$B$508),NA(),1/(COUNT(SimDataTRI!$B$9:$B$508)-1)+J265)</f>
        <v>0.50901803607214469</v>
      </c>
    </row>
    <row r="267" spans="1:10" x14ac:dyDescent="0.45">
      <c r="A267">
        <v>259</v>
      </c>
      <c r="B267">
        <v>62.930154162867879</v>
      </c>
      <c r="I267">
        <f>SMALL(SimDataTRI!$B$9:$B$508,256)</f>
        <v>80.0821748448259</v>
      </c>
      <c r="J267">
        <f>IF(COUNT(J12:J266)&gt;=COUNT(SimDataTRI!$B$9:$B$508),NA(),1/(COUNT(SimDataTRI!$B$9:$B$508)-1)+J266)</f>
        <v>0.51102204408817675</v>
      </c>
    </row>
    <row r="268" spans="1:10" x14ac:dyDescent="0.45">
      <c r="A268">
        <v>260</v>
      </c>
      <c r="B268">
        <v>71.60812717262084</v>
      </c>
      <c r="I268">
        <f>SMALL(SimDataTRI!$B$9:$B$508,257)</f>
        <v>80.164863973022378</v>
      </c>
      <c r="J268">
        <f>IF(COUNT(J12:J267)&gt;=COUNT(SimDataTRI!$B$9:$B$508),NA(),1/(COUNT(SimDataTRI!$B$9:$B$508)-1)+J267)</f>
        <v>0.51302605210420882</v>
      </c>
    </row>
    <row r="269" spans="1:10" x14ac:dyDescent="0.45">
      <c r="A269">
        <v>261</v>
      </c>
      <c r="B269">
        <v>65.812586764598677</v>
      </c>
      <c r="I269">
        <f>SMALL(SimDataTRI!$B$9:$B$508,258)</f>
        <v>80.2558231273063</v>
      </c>
      <c r="J269">
        <f>IF(COUNT(J12:J268)&gt;=COUNT(SimDataTRI!$B$9:$B$508),NA(),1/(COUNT(SimDataTRI!$B$9:$B$508)-1)+J268)</f>
        <v>0.51503006012024088</v>
      </c>
    </row>
    <row r="270" spans="1:10" x14ac:dyDescent="0.45">
      <c r="A270">
        <v>262</v>
      </c>
      <c r="B270">
        <v>124.08293584522487</v>
      </c>
      <c r="I270">
        <f>SMALL(SimDataTRI!$B$9:$B$508,259)</f>
        <v>80.528434109568977</v>
      </c>
      <c r="J270">
        <f>IF(COUNT(J12:J269)&gt;=COUNT(SimDataTRI!$B$9:$B$508),NA(),1/(COUNT(SimDataTRI!$B$9:$B$508)-1)+J269)</f>
        <v>0.51703406813627295</v>
      </c>
    </row>
    <row r="271" spans="1:10" x14ac:dyDescent="0.45">
      <c r="A271">
        <v>263</v>
      </c>
      <c r="B271">
        <v>140.47484522478973</v>
      </c>
      <c r="I271">
        <f>SMALL(SimDataTRI!$B$9:$B$508,260)</f>
        <v>80.597357459448617</v>
      </c>
      <c r="J271">
        <f>IF(COUNT(J12:J270)&gt;=COUNT(SimDataTRI!$B$9:$B$508),NA(),1/(COUNT(SimDataTRI!$B$9:$B$508)-1)+J270)</f>
        <v>0.51903807615230502</v>
      </c>
    </row>
    <row r="272" spans="1:10" x14ac:dyDescent="0.45">
      <c r="A272">
        <v>264</v>
      </c>
      <c r="B272">
        <v>71.503455878728658</v>
      </c>
      <c r="I272">
        <f>SMALL(SimDataTRI!$B$9:$B$508,261)</f>
        <v>80.720844134362906</v>
      </c>
      <c r="J272">
        <f>IF(COUNT(J12:J271)&gt;=COUNT(SimDataTRI!$B$9:$B$508),NA(),1/(COUNT(SimDataTRI!$B$9:$B$508)-1)+J271)</f>
        <v>0.52104208416833708</v>
      </c>
    </row>
    <row r="273" spans="1:10" x14ac:dyDescent="0.45">
      <c r="A273">
        <v>265</v>
      </c>
      <c r="B273">
        <v>110.11800862114724</v>
      </c>
      <c r="I273">
        <f>SMALL(SimDataTRI!$B$9:$B$508,262)</f>
        <v>80.83881303103702</v>
      </c>
      <c r="J273">
        <f>IF(COUNT(J12:J272)&gt;=COUNT(SimDataTRI!$B$9:$B$508),NA(),1/(COUNT(SimDataTRI!$B$9:$B$508)-1)+J272)</f>
        <v>0.52304609218436915</v>
      </c>
    </row>
    <row r="274" spans="1:10" x14ac:dyDescent="0.45">
      <c r="A274">
        <v>266</v>
      </c>
      <c r="B274">
        <v>107.2773150145462</v>
      </c>
      <c r="I274">
        <f>SMALL(SimDataTRI!$B$9:$B$508,263)</f>
        <v>81.094229250741364</v>
      </c>
      <c r="J274">
        <f>IF(COUNT(J12:J273)&gt;=COUNT(SimDataTRI!$B$9:$B$508),NA(),1/(COUNT(SimDataTRI!$B$9:$B$508)-1)+J273)</f>
        <v>0.52505010020040122</v>
      </c>
    </row>
    <row r="275" spans="1:10" x14ac:dyDescent="0.45">
      <c r="A275">
        <v>267</v>
      </c>
      <c r="B275">
        <v>89.705891983124758</v>
      </c>
      <c r="I275">
        <f>SMALL(SimDataTRI!$B$9:$B$508,264)</f>
        <v>81.255998704263448</v>
      </c>
      <c r="J275">
        <f>IF(COUNT(J12:J274)&gt;=COUNT(SimDataTRI!$B$9:$B$508),NA(),1/(COUNT(SimDataTRI!$B$9:$B$508)-1)+J274)</f>
        <v>0.52705410821643328</v>
      </c>
    </row>
    <row r="276" spans="1:10" x14ac:dyDescent="0.45">
      <c r="A276">
        <v>268</v>
      </c>
      <c r="B276">
        <v>46.896750190891865</v>
      </c>
      <c r="I276">
        <f>SMALL(SimDataTRI!$B$9:$B$508,265)</f>
        <v>81.339466764887405</v>
      </c>
      <c r="J276">
        <f>IF(COUNT(J12:J275)&gt;=COUNT(SimDataTRI!$B$9:$B$508),NA(),1/(COUNT(SimDataTRI!$B$9:$B$508)-1)+J275)</f>
        <v>0.52905811623246535</v>
      </c>
    </row>
    <row r="277" spans="1:10" x14ac:dyDescent="0.45">
      <c r="A277">
        <v>269</v>
      </c>
      <c r="B277">
        <v>71.732326430643383</v>
      </c>
      <c r="I277">
        <f>SMALL(SimDataTRI!$B$9:$B$508,266)</f>
        <v>81.484565307085447</v>
      </c>
      <c r="J277">
        <f>IF(COUNT(J12:J276)&gt;=COUNT(SimDataTRI!$B$9:$B$508),NA(),1/(COUNT(SimDataTRI!$B$9:$B$508)-1)+J276)</f>
        <v>0.53106212424849741</v>
      </c>
    </row>
    <row r="278" spans="1:10" x14ac:dyDescent="0.45">
      <c r="A278">
        <v>270</v>
      </c>
      <c r="B278">
        <v>105.02845456732146</v>
      </c>
      <c r="I278">
        <f>SMALL(SimDataTRI!$B$9:$B$508,267)</f>
        <v>81.653470855946779</v>
      </c>
      <c r="J278">
        <f>IF(COUNT(J12:J277)&gt;=COUNT(SimDataTRI!$B$9:$B$508),NA(),1/(COUNT(SimDataTRI!$B$9:$B$508)-1)+J277)</f>
        <v>0.53306613226452948</v>
      </c>
    </row>
    <row r="279" spans="1:10" x14ac:dyDescent="0.45">
      <c r="A279">
        <v>271</v>
      </c>
      <c r="B279">
        <v>82.864028285896737</v>
      </c>
      <c r="I279">
        <f>SMALL(SimDataTRI!$B$9:$B$508,268)</f>
        <v>81.781314311275167</v>
      </c>
      <c r="J279">
        <f>IF(COUNT(J12:J278)&gt;=COUNT(SimDataTRI!$B$9:$B$508),NA(),1/(COUNT(SimDataTRI!$B$9:$B$508)-1)+J278)</f>
        <v>0.53507014028056155</v>
      </c>
    </row>
    <row r="280" spans="1:10" x14ac:dyDescent="0.45">
      <c r="A280">
        <v>272</v>
      </c>
      <c r="B280">
        <v>137.78151257295482</v>
      </c>
      <c r="I280">
        <f>SMALL(SimDataTRI!$B$9:$B$508,269)</f>
        <v>81.873860616805061</v>
      </c>
      <c r="J280">
        <f>IF(COUNT(J12:J279)&gt;=COUNT(SimDataTRI!$B$9:$B$508),NA(),1/(COUNT(SimDataTRI!$B$9:$B$508)-1)+J279)</f>
        <v>0.53707414829659361</v>
      </c>
    </row>
    <row r="281" spans="1:10" x14ac:dyDescent="0.45">
      <c r="A281">
        <v>273</v>
      </c>
      <c r="B281">
        <v>133.16285962735768</v>
      </c>
      <c r="I281">
        <f>SMALL(SimDataTRI!$B$9:$B$508,270)</f>
        <v>82.060696508354297</v>
      </c>
      <c r="J281">
        <f>IF(COUNT(J12:J280)&gt;=COUNT(SimDataTRI!$B$9:$B$508),NA(),1/(COUNT(SimDataTRI!$B$9:$B$508)-1)+J280)</f>
        <v>0.53907815631262568</v>
      </c>
    </row>
    <row r="282" spans="1:10" x14ac:dyDescent="0.45">
      <c r="A282">
        <v>274</v>
      </c>
      <c r="B282">
        <v>87.057880622243871</v>
      </c>
      <c r="I282">
        <f>SMALL(SimDataTRI!$B$9:$B$508,271)</f>
        <v>82.199169643103161</v>
      </c>
      <c r="J282">
        <f>IF(COUNT(J12:J281)&gt;=COUNT(SimDataTRI!$B$9:$B$508),NA(),1/(COUNT(SimDataTRI!$B$9:$B$508)-1)+J281)</f>
        <v>0.54108216432865774</v>
      </c>
    </row>
    <row r="283" spans="1:10" x14ac:dyDescent="0.45">
      <c r="A283">
        <v>275</v>
      </c>
      <c r="B283">
        <v>128.46120543711623</v>
      </c>
      <c r="I283">
        <f>SMALL(SimDataTRI!$B$9:$B$508,272)</f>
        <v>82.338264261646273</v>
      </c>
      <c r="J283">
        <f>IF(COUNT(J12:J282)&gt;=COUNT(SimDataTRI!$B$9:$B$508),NA(),1/(COUNT(SimDataTRI!$B$9:$B$508)-1)+J282)</f>
        <v>0.54308617234468981</v>
      </c>
    </row>
    <row r="284" spans="1:10" x14ac:dyDescent="0.45">
      <c r="A284">
        <v>276</v>
      </c>
      <c r="B284">
        <v>97.60535688713108</v>
      </c>
      <c r="I284">
        <f>SMALL(SimDataTRI!$B$9:$B$508,273)</f>
        <v>82.441276722712686</v>
      </c>
      <c r="J284">
        <f>IF(COUNT(J12:J283)&gt;=COUNT(SimDataTRI!$B$9:$B$508),NA(),1/(COUNT(SimDataTRI!$B$9:$B$508)-1)+J283)</f>
        <v>0.54509018036072188</v>
      </c>
    </row>
    <row r="285" spans="1:10" x14ac:dyDescent="0.45">
      <c r="A285">
        <v>277</v>
      </c>
      <c r="B285">
        <v>80.83881303103702</v>
      </c>
      <c r="I285">
        <f>SMALL(SimDataTRI!$B$9:$B$508,274)</f>
        <v>82.70593031029783</v>
      </c>
      <c r="J285">
        <f>IF(COUNT(J12:J284)&gt;=COUNT(SimDataTRI!$B$9:$B$508),NA(),1/(COUNT(SimDataTRI!$B$9:$B$508)-1)+J284)</f>
        <v>0.54709418837675394</v>
      </c>
    </row>
    <row r="286" spans="1:10" x14ac:dyDescent="0.45">
      <c r="A286">
        <v>278</v>
      </c>
      <c r="B286">
        <v>88.157623265363711</v>
      </c>
      <c r="I286">
        <f>SMALL(SimDataTRI!$B$9:$B$508,275)</f>
        <v>82.864028285896737</v>
      </c>
      <c r="J286">
        <f>IF(COUNT(J12:J285)&gt;=COUNT(SimDataTRI!$B$9:$B$508),NA(),1/(COUNT(SimDataTRI!$B$9:$B$508)-1)+J285)</f>
        <v>0.54909819639278601</v>
      </c>
    </row>
    <row r="287" spans="1:10" x14ac:dyDescent="0.45">
      <c r="A287">
        <v>279</v>
      </c>
      <c r="B287">
        <v>117.78609807460552</v>
      </c>
      <c r="I287">
        <f>SMALL(SimDataTRI!$B$9:$B$508,276)</f>
        <v>82.947988785761709</v>
      </c>
      <c r="J287">
        <f>IF(COUNT(J12:J286)&gt;=COUNT(SimDataTRI!$B$9:$B$508),NA(),1/(COUNT(SimDataTRI!$B$9:$B$508)-1)+J286)</f>
        <v>0.55110220440881807</v>
      </c>
    </row>
    <row r="288" spans="1:10" x14ac:dyDescent="0.45">
      <c r="A288">
        <v>280</v>
      </c>
      <c r="B288">
        <v>67.529234864591587</v>
      </c>
      <c r="I288">
        <f>SMALL(SimDataTRI!$B$9:$B$508,277)</f>
        <v>83.078206743376981</v>
      </c>
      <c r="J288">
        <f>IF(COUNT(J12:J287)&gt;=COUNT(SimDataTRI!$B$9:$B$508),NA(),1/(COUNT(SimDataTRI!$B$9:$B$508)-1)+J287)</f>
        <v>0.55310621242485014</v>
      </c>
    </row>
    <row r="289" spans="1:10" x14ac:dyDescent="0.45">
      <c r="A289">
        <v>281</v>
      </c>
      <c r="B289">
        <v>59.823339642196139</v>
      </c>
      <c r="I289">
        <f>SMALL(SimDataTRI!$B$9:$B$508,278)</f>
        <v>83.314723087581697</v>
      </c>
      <c r="J289">
        <f>IF(COUNT(J12:J288)&gt;=COUNT(SimDataTRI!$B$9:$B$508),NA(),1/(COUNT(SimDataTRI!$B$9:$B$508)-1)+J288)</f>
        <v>0.55511022044088221</v>
      </c>
    </row>
    <row r="290" spans="1:10" x14ac:dyDescent="0.45">
      <c r="A290">
        <v>282</v>
      </c>
      <c r="B290">
        <v>97.405355335323904</v>
      </c>
      <c r="I290">
        <f>SMALL(SimDataTRI!$B$9:$B$508,279)</f>
        <v>83.451086823502195</v>
      </c>
      <c r="J290">
        <f>IF(COUNT(J12:J289)&gt;=COUNT(SimDataTRI!$B$9:$B$508),NA(),1/(COUNT(SimDataTRI!$B$9:$B$508)-1)+J289)</f>
        <v>0.55711422845691427</v>
      </c>
    </row>
    <row r="291" spans="1:10" x14ac:dyDescent="0.45">
      <c r="A291">
        <v>283</v>
      </c>
      <c r="B291">
        <v>101.95955933082502</v>
      </c>
      <c r="I291">
        <f>SMALL(SimDataTRI!$B$9:$B$508,280)</f>
        <v>83.632594259764517</v>
      </c>
      <c r="J291">
        <f>IF(COUNT(J12:J290)&gt;=COUNT(SimDataTRI!$B$9:$B$508),NA(),1/(COUNT(SimDataTRI!$B$9:$B$508)-1)+J290)</f>
        <v>0.55911823647294634</v>
      </c>
    </row>
    <row r="292" spans="1:10" x14ac:dyDescent="0.45">
      <c r="A292">
        <v>284</v>
      </c>
      <c r="B292">
        <v>67.602155705540653</v>
      </c>
      <c r="I292">
        <f>SMALL(SimDataTRI!$B$9:$B$508,281)</f>
        <v>83.662696968277984</v>
      </c>
      <c r="J292">
        <f>IF(COUNT(J12:J291)&gt;=COUNT(SimDataTRI!$B$9:$B$508),NA(),1/(COUNT(SimDataTRI!$B$9:$B$508)-1)+J291)</f>
        <v>0.56112224448897841</v>
      </c>
    </row>
    <row r="293" spans="1:10" x14ac:dyDescent="0.45">
      <c r="A293">
        <v>285</v>
      </c>
      <c r="B293">
        <v>114.7674192019642</v>
      </c>
      <c r="I293">
        <f>SMALL(SimDataTRI!$B$9:$B$508,282)</f>
        <v>83.830450851399476</v>
      </c>
      <c r="J293">
        <f>IF(COUNT(J12:J292)&gt;=COUNT(SimDataTRI!$B$9:$B$508),NA(),1/(COUNT(SimDataTRI!$B$9:$B$508)-1)+J292)</f>
        <v>0.56312625250501047</v>
      </c>
    </row>
    <row r="294" spans="1:10" x14ac:dyDescent="0.45">
      <c r="A294">
        <v>286</v>
      </c>
      <c r="B294">
        <v>69.870825584498988</v>
      </c>
      <c r="I294">
        <f>SMALL(SimDataTRI!$B$9:$B$508,283)</f>
        <v>84.081936308841605</v>
      </c>
      <c r="J294">
        <f>IF(COUNT(J12:J293)&gt;=COUNT(SimDataTRI!$B$9:$B$508),NA(),1/(COUNT(SimDataTRI!$B$9:$B$508)-1)+J293)</f>
        <v>0.56513026052104254</v>
      </c>
    </row>
    <row r="295" spans="1:10" x14ac:dyDescent="0.45">
      <c r="A295">
        <v>287</v>
      </c>
      <c r="B295">
        <v>57.947288492159991</v>
      </c>
      <c r="I295">
        <f>SMALL(SimDataTRI!$B$9:$B$508,284)</f>
        <v>84.151120037992641</v>
      </c>
      <c r="J295">
        <f>IF(COUNT(J12:J294)&gt;=COUNT(SimDataTRI!$B$9:$B$508),NA(),1/(COUNT(SimDataTRI!$B$9:$B$508)-1)+J294)</f>
        <v>0.5671342685370746</v>
      </c>
    </row>
    <row r="296" spans="1:10" x14ac:dyDescent="0.45">
      <c r="A296">
        <v>288</v>
      </c>
      <c r="B296">
        <v>109.52246108453187</v>
      </c>
      <c r="I296">
        <f>SMALL(SimDataTRI!$B$9:$B$508,285)</f>
        <v>84.361372155973584</v>
      </c>
      <c r="J296">
        <f>IF(COUNT(J12:J295)&gt;=COUNT(SimDataTRI!$B$9:$B$508),NA(),1/(COUNT(SimDataTRI!$B$9:$B$508)-1)+J295)</f>
        <v>0.56913827655310667</v>
      </c>
    </row>
    <row r="297" spans="1:10" x14ac:dyDescent="0.45">
      <c r="A297">
        <v>289</v>
      </c>
      <c r="B297">
        <v>84.809739888493368</v>
      </c>
      <c r="I297">
        <f>SMALL(SimDataTRI!$B$9:$B$508,286)</f>
        <v>84.461482384232184</v>
      </c>
      <c r="J297">
        <f>IF(COUNT(J12:J296)&gt;=COUNT(SimDataTRI!$B$9:$B$508),NA(),1/(COUNT(SimDataTRI!$B$9:$B$508)-1)+J296)</f>
        <v>0.57114228456913874</v>
      </c>
    </row>
    <row r="298" spans="1:10" x14ac:dyDescent="0.45">
      <c r="A298">
        <v>290</v>
      </c>
      <c r="B298">
        <v>112.03837468606002</v>
      </c>
      <c r="I298">
        <f>SMALL(SimDataTRI!$B$9:$B$508,287)</f>
        <v>84.696799673055722</v>
      </c>
      <c r="J298">
        <f>IF(COUNT(J12:J297)&gt;=COUNT(SimDataTRI!$B$9:$B$508),NA(),1/(COUNT(SimDataTRI!$B$9:$B$508)-1)+J297)</f>
        <v>0.5731462925851708</v>
      </c>
    </row>
    <row r="299" spans="1:10" x14ac:dyDescent="0.45">
      <c r="A299">
        <v>291</v>
      </c>
      <c r="B299">
        <v>73.490883371226161</v>
      </c>
      <c r="I299">
        <f>SMALL(SimDataTRI!$B$9:$B$508,288)</f>
        <v>84.809739888493368</v>
      </c>
      <c r="J299">
        <f>IF(COUNT(J12:J298)&gt;=COUNT(SimDataTRI!$B$9:$B$508),NA(),1/(COUNT(SimDataTRI!$B$9:$B$508)-1)+J298)</f>
        <v>0.57515030060120287</v>
      </c>
    </row>
    <row r="300" spans="1:10" x14ac:dyDescent="0.45">
      <c r="A300">
        <v>292</v>
      </c>
      <c r="B300">
        <v>53.232156046498829</v>
      </c>
      <c r="I300">
        <f>SMALL(SimDataTRI!$B$9:$B$508,289)</f>
        <v>84.988489182514513</v>
      </c>
      <c r="J300">
        <f>IF(COUNT(J12:J299)&gt;=COUNT(SimDataTRI!$B$9:$B$508),NA(),1/(COUNT(SimDataTRI!$B$9:$B$508)-1)+J299)</f>
        <v>0.57715430861723493</v>
      </c>
    </row>
    <row r="301" spans="1:10" x14ac:dyDescent="0.45">
      <c r="A301">
        <v>293</v>
      </c>
      <c r="B301">
        <v>104.52877647070348</v>
      </c>
      <c r="I301">
        <f>SMALL(SimDataTRI!$B$9:$B$508,290)</f>
        <v>85.096264743612764</v>
      </c>
      <c r="J301">
        <f>IF(COUNT(J12:J300)&gt;=COUNT(SimDataTRI!$B$9:$B$508),NA(),1/(COUNT(SimDataTRI!$B$9:$B$508)-1)+J300)</f>
        <v>0.579158316633267</v>
      </c>
    </row>
    <row r="302" spans="1:10" x14ac:dyDescent="0.45">
      <c r="A302">
        <v>294</v>
      </c>
      <c r="B302">
        <v>81.653470855946779</v>
      </c>
      <c r="I302">
        <f>SMALL(SimDataTRI!$B$9:$B$508,291)</f>
        <v>85.258810513166949</v>
      </c>
      <c r="J302">
        <f>IF(COUNT(J12:J301)&gt;=COUNT(SimDataTRI!$B$9:$B$508),NA(),1/(COUNT(SimDataTRI!$B$9:$B$508)-1)+J301)</f>
        <v>0.58116232464929907</v>
      </c>
    </row>
    <row r="303" spans="1:10" x14ac:dyDescent="0.45">
      <c r="A303">
        <v>295</v>
      </c>
      <c r="B303">
        <v>24.117869513023177</v>
      </c>
      <c r="I303">
        <f>SMALL(SimDataTRI!$B$9:$B$508,292)</f>
        <v>85.413235775854545</v>
      </c>
      <c r="J303">
        <f>IF(COUNT(J12:J302)&gt;=COUNT(SimDataTRI!$B$9:$B$508),NA(),1/(COUNT(SimDataTRI!$B$9:$B$508)-1)+J302)</f>
        <v>0.58316633266533113</v>
      </c>
    </row>
    <row r="304" spans="1:10" x14ac:dyDescent="0.45">
      <c r="A304">
        <v>296</v>
      </c>
      <c r="B304">
        <v>104.69686832263554</v>
      </c>
      <c r="I304">
        <f>SMALL(SimDataTRI!$B$9:$B$508,293)</f>
        <v>85.585425066811354</v>
      </c>
      <c r="J304">
        <f>IF(COUNT(J12:J303)&gt;=COUNT(SimDataTRI!$B$9:$B$508),NA(),1/(COUNT(SimDataTRI!$B$9:$B$508)-1)+J303)</f>
        <v>0.5851703406813632</v>
      </c>
    </row>
    <row r="305" spans="1:10" x14ac:dyDescent="0.45">
      <c r="A305">
        <v>297</v>
      </c>
      <c r="B305">
        <v>80.0821748448259</v>
      </c>
      <c r="I305">
        <f>SMALL(SimDataTRI!$B$9:$B$508,294)</f>
        <v>85.652044061575268</v>
      </c>
      <c r="J305">
        <f>IF(COUNT(J12:J304)&gt;=COUNT(SimDataTRI!$B$9:$B$508),NA(),1/(COUNT(SimDataTRI!$B$9:$B$508)-1)+J304)</f>
        <v>0.58717434869739527</v>
      </c>
    </row>
    <row r="306" spans="1:10" x14ac:dyDescent="0.45">
      <c r="A306">
        <v>298</v>
      </c>
      <c r="B306">
        <v>32.934101006562351</v>
      </c>
      <c r="I306">
        <f>SMALL(SimDataTRI!$B$9:$B$508,295)</f>
        <v>85.935976730728385</v>
      </c>
      <c r="J306">
        <f>IF(COUNT(J12:J305)&gt;=COUNT(SimDataTRI!$B$9:$B$508),NA(),1/(COUNT(SimDataTRI!$B$9:$B$508)-1)+J305)</f>
        <v>0.58917835671342733</v>
      </c>
    </row>
    <row r="307" spans="1:10" x14ac:dyDescent="0.45">
      <c r="A307">
        <v>299</v>
      </c>
      <c r="B307">
        <v>116.88558185023744</v>
      </c>
      <c r="I307">
        <f>SMALL(SimDataTRI!$B$9:$B$508,296)</f>
        <v>86.047024835241757</v>
      </c>
      <c r="J307">
        <f>IF(COUNT(J12:J306)&gt;=COUNT(SimDataTRI!$B$9:$B$508),NA(),1/(COUNT(SimDataTRI!$B$9:$B$508)-1)+J306)</f>
        <v>0.5911823647294594</v>
      </c>
    </row>
    <row r="308" spans="1:10" x14ac:dyDescent="0.45">
      <c r="A308">
        <v>300</v>
      </c>
      <c r="B308">
        <v>90.43841964317096</v>
      </c>
      <c r="I308">
        <f>SMALL(SimDataTRI!$B$9:$B$508,297)</f>
        <v>86.161990044712468</v>
      </c>
      <c r="J308">
        <f>IF(COUNT(J12:J307)&gt;=COUNT(SimDataTRI!$B$9:$B$508),NA(),1/(COUNT(SimDataTRI!$B$9:$B$508)-1)+J307)</f>
        <v>0.59318637274549146</v>
      </c>
    </row>
    <row r="309" spans="1:10" x14ac:dyDescent="0.45">
      <c r="A309">
        <v>301</v>
      </c>
      <c r="B309">
        <v>123.62635380650801</v>
      </c>
      <c r="I309">
        <f>SMALL(SimDataTRI!$B$9:$B$508,298)</f>
        <v>86.34807594263367</v>
      </c>
      <c r="J309">
        <f>IF(COUNT(J12:J308)&gt;=COUNT(SimDataTRI!$B$9:$B$508),NA(),1/(COUNT(SimDataTRI!$B$9:$B$508)-1)+J308)</f>
        <v>0.59519038076152353</v>
      </c>
    </row>
    <row r="310" spans="1:10" x14ac:dyDescent="0.45">
      <c r="A310">
        <v>302</v>
      </c>
      <c r="B310">
        <v>113.63809398238375</v>
      </c>
      <c r="I310">
        <f>SMALL(SimDataTRI!$B$9:$B$508,299)</f>
        <v>86.4595685336174</v>
      </c>
      <c r="J310">
        <f>IF(COUNT(J12:J309)&gt;=COUNT(SimDataTRI!$B$9:$B$508),NA(),1/(COUNT(SimDataTRI!$B$9:$B$508)-1)+J309)</f>
        <v>0.5971943887775556</v>
      </c>
    </row>
    <row r="311" spans="1:10" x14ac:dyDescent="0.45">
      <c r="A311">
        <v>303</v>
      </c>
      <c r="B311">
        <v>51.736586130719573</v>
      </c>
      <c r="I311">
        <f>SMALL(SimDataTRI!$B$9:$B$508,300)</f>
        <v>86.707210696372641</v>
      </c>
      <c r="J311">
        <f>IF(COUNT(J12:J310)&gt;=COUNT(SimDataTRI!$B$9:$B$508),NA(),1/(COUNT(SimDataTRI!$B$9:$B$508)-1)+J310)</f>
        <v>0.59919839679358766</v>
      </c>
    </row>
    <row r="312" spans="1:10" x14ac:dyDescent="0.45">
      <c r="A312">
        <v>304</v>
      </c>
      <c r="B312">
        <v>96.65727282940361</v>
      </c>
      <c r="I312">
        <f>SMALL(SimDataTRI!$B$9:$B$508,301)</f>
        <v>86.779018943739445</v>
      </c>
      <c r="J312">
        <f>IF(COUNT(J12:J311)&gt;=COUNT(SimDataTRI!$B$9:$B$508),NA(),1/(COUNT(SimDataTRI!$B$9:$B$508)-1)+J311)</f>
        <v>0.60120240480961973</v>
      </c>
    </row>
    <row r="313" spans="1:10" x14ac:dyDescent="0.45">
      <c r="A313">
        <v>305</v>
      </c>
      <c r="B313">
        <v>53.836371623984</v>
      </c>
      <c r="I313">
        <f>SMALL(SimDataTRI!$B$9:$B$508,302)</f>
        <v>86.931747797598604</v>
      </c>
      <c r="J313">
        <f>IF(COUNT(J12:J312)&gt;=COUNT(SimDataTRI!$B$9:$B$508),NA(),1/(COUNT(SimDataTRI!$B$9:$B$508)-1)+J312)</f>
        <v>0.60320641282565179</v>
      </c>
    </row>
    <row r="314" spans="1:10" x14ac:dyDescent="0.45">
      <c r="A314">
        <v>306</v>
      </c>
      <c r="B314">
        <v>46.740039725643577</v>
      </c>
      <c r="I314">
        <f>SMALL(SimDataTRI!$B$9:$B$508,303)</f>
        <v>87.057880622243871</v>
      </c>
      <c r="J314">
        <f>IF(COUNT(J12:J313)&gt;=COUNT(SimDataTRI!$B$9:$B$508),NA(),1/(COUNT(SimDataTRI!$B$9:$B$508)-1)+J313)</f>
        <v>0.60521042084168386</v>
      </c>
    </row>
    <row r="315" spans="1:10" x14ac:dyDescent="0.45">
      <c r="A315">
        <v>307</v>
      </c>
      <c r="B315">
        <v>89.953388957068086</v>
      </c>
      <c r="I315">
        <f>SMALL(SimDataTRI!$B$9:$B$508,304)</f>
        <v>87.293874554302306</v>
      </c>
      <c r="J315">
        <f>IF(COUNT(J12:J314)&gt;=COUNT(SimDataTRI!$B$9:$B$508),NA(),1/(COUNT(SimDataTRI!$B$9:$B$508)-1)+J314)</f>
        <v>0.60721442885771593</v>
      </c>
    </row>
    <row r="316" spans="1:10" x14ac:dyDescent="0.45">
      <c r="A316">
        <v>308</v>
      </c>
      <c r="B316">
        <v>85.652044061575268</v>
      </c>
      <c r="I316">
        <f>SMALL(SimDataTRI!$B$9:$B$508,305)</f>
        <v>87.440024646442851</v>
      </c>
      <c r="J316">
        <f>IF(COUNT(J12:J315)&gt;=COUNT(SimDataTRI!$B$9:$B$508),NA(),1/(COUNT(SimDataTRI!$B$9:$B$508)-1)+J315)</f>
        <v>0.60921843687374799</v>
      </c>
    </row>
    <row r="317" spans="1:10" x14ac:dyDescent="0.45">
      <c r="A317">
        <v>309</v>
      </c>
      <c r="B317">
        <v>86.707210696372641</v>
      </c>
      <c r="I317">
        <f>SMALL(SimDataTRI!$B$9:$B$508,306)</f>
        <v>87.574622154703491</v>
      </c>
      <c r="J317">
        <f>IF(COUNT(J12:J316)&gt;=COUNT(SimDataTRI!$B$9:$B$508),NA(),1/(COUNT(SimDataTRI!$B$9:$B$508)-1)+J316)</f>
        <v>0.61122244488978006</v>
      </c>
    </row>
    <row r="318" spans="1:10" x14ac:dyDescent="0.45">
      <c r="A318">
        <v>310</v>
      </c>
      <c r="B318">
        <v>91.448506270277363</v>
      </c>
      <c r="I318">
        <f>SMALL(SimDataTRI!$B$9:$B$508,307)</f>
        <v>87.826687980917285</v>
      </c>
      <c r="J318">
        <f>IF(COUNT(J12:J317)&gt;=COUNT(SimDataTRI!$B$9:$B$508),NA(),1/(COUNT(SimDataTRI!$B$9:$B$508)-1)+J317)</f>
        <v>0.61322645290581212</v>
      </c>
    </row>
    <row r="319" spans="1:10" x14ac:dyDescent="0.45">
      <c r="A319">
        <v>311</v>
      </c>
      <c r="B319">
        <v>52.526080944675833</v>
      </c>
      <c r="I319">
        <f>SMALL(SimDataTRI!$B$9:$B$508,308)</f>
        <v>87.964639235399474</v>
      </c>
      <c r="J319">
        <f>IF(COUNT(J12:J318)&gt;=COUNT(SimDataTRI!$B$9:$B$508),NA(),1/(COUNT(SimDataTRI!$B$9:$B$508)-1)+J318)</f>
        <v>0.61523046092184419</v>
      </c>
    </row>
    <row r="320" spans="1:10" x14ac:dyDescent="0.45">
      <c r="A320">
        <v>312</v>
      </c>
      <c r="B320">
        <v>49.956613417729955</v>
      </c>
      <c r="I320">
        <f>SMALL(SimDataTRI!$B$9:$B$508,309)</f>
        <v>88.157623265363711</v>
      </c>
      <c r="J320">
        <f>IF(COUNT(J12:J319)&gt;=COUNT(SimDataTRI!$B$9:$B$508),NA(),1/(COUNT(SimDataTRI!$B$9:$B$508)-1)+J319)</f>
        <v>0.61723446893787626</v>
      </c>
    </row>
    <row r="321" spans="1:10" x14ac:dyDescent="0.45">
      <c r="A321">
        <v>313</v>
      </c>
      <c r="B321">
        <v>116.36617209041016</v>
      </c>
      <c r="I321">
        <f>SMALL(SimDataTRI!$B$9:$B$508,310)</f>
        <v>88.209995222510429</v>
      </c>
      <c r="J321">
        <f>IF(COUNT(J12:J320)&gt;=COUNT(SimDataTRI!$B$9:$B$508),NA(),1/(COUNT(SimDataTRI!$B$9:$B$508)-1)+J320)</f>
        <v>0.61923847695390832</v>
      </c>
    </row>
    <row r="322" spans="1:10" x14ac:dyDescent="0.45">
      <c r="A322">
        <v>314</v>
      </c>
      <c r="B322">
        <v>96.899974907046982</v>
      </c>
      <c r="I322">
        <f>SMALL(SimDataTRI!$B$9:$B$508,311)</f>
        <v>88.33903378405742</v>
      </c>
      <c r="J322">
        <f>IF(COUNT(J12:J321)&gt;=COUNT(SimDataTRI!$B$9:$B$508),NA(),1/(COUNT(SimDataTRI!$B$9:$B$508)-1)+J321)</f>
        <v>0.62124248496994039</v>
      </c>
    </row>
    <row r="323" spans="1:10" x14ac:dyDescent="0.45">
      <c r="A323">
        <v>315</v>
      </c>
      <c r="B323">
        <v>47.393094732265197</v>
      </c>
      <c r="I323">
        <f>SMALL(SimDataTRI!$B$9:$B$508,312)</f>
        <v>88.570388905606222</v>
      </c>
      <c r="J323">
        <f>IF(COUNT(J12:J322)&gt;=COUNT(SimDataTRI!$B$9:$B$508),NA(),1/(COUNT(SimDataTRI!$B$9:$B$508)-1)+J322)</f>
        <v>0.62324649298597246</v>
      </c>
    </row>
    <row r="324" spans="1:10" x14ac:dyDescent="0.45">
      <c r="A324">
        <v>316</v>
      </c>
      <c r="B324">
        <v>57.37699806673654</v>
      </c>
      <c r="I324">
        <f>SMALL(SimDataTRI!$B$9:$B$508,313)</f>
        <v>88.652973373930422</v>
      </c>
      <c r="J324">
        <f>IF(COUNT(J12:J323)&gt;=COUNT(SimDataTRI!$B$9:$B$508),NA(),1/(COUNT(SimDataTRI!$B$9:$B$508)-1)+J323)</f>
        <v>0.62525050100200452</v>
      </c>
    </row>
    <row r="325" spans="1:10" x14ac:dyDescent="0.45">
      <c r="A325">
        <v>317</v>
      </c>
      <c r="B325">
        <v>62.12004159890801</v>
      </c>
      <c r="I325">
        <f>SMALL(SimDataTRI!$B$9:$B$508,314)</f>
        <v>88.867279172324231</v>
      </c>
      <c r="J325">
        <f>IF(COUNT(J12:J324)&gt;=COUNT(SimDataTRI!$B$9:$B$508),NA(),1/(COUNT(SimDataTRI!$B$9:$B$508)-1)+J324)</f>
        <v>0.62725450901803659</v>
      </c>
    </row>
    <row r="326" spans="1:10" x14ac:dyDescent="0.45">
      <c r="A326">
        <v>318</v>
      </c>
      <c r="B326">
        <v>62.20795825761963</v>
      </c>
      <c r="I326">
        <f>SMALL(SimDataTRI!$B$9:$B$508,315)</f>
        <v>88.999005856705566</v>
      </c>
      <c r="J326">
        <f>IF(COUNT(J12:J325)&gt;=COUNT(SimDataTRI!$B$9:$B$508),NA(),1/(COUNT(SimDataTRI!$B$9:$B$508)-1)+J325)</f>
        <v>0.62925851703406865</v>
      </c>
    </row>
    <row r="327" spans="1:10" x14ac:dyDescent="0.45">
      <c r="A327">
        <v>319</v>
      </c>
      <c r="B327">
        <v>75.661599999649681</v>
      </c>
      <c r="I327">
        <f>SMALL(SimDataTRI!$B$9:$B$508,316)</f>
        <v>89.304503667029408</v>
      </c>
      <c r="J327">
        <f>IF(COUNT(J12:J326)&gt;=COUNT(SimDataTRI!$B$9:$B$508),NA(),1/(COUNT(SimDataTRI!$B$9:$B$508)-1)+J326)</f>
        <v>0.63126252505010072</v>
      </c>
    </row>
    <row r="328" spans="1:10" x14ac:dyDescent="0.45">
      <c r="A328">
        <v>320</v>
      </c>
      <c r="B328">
        <v>87.574622154703491</v>
      </c>
      <c r="I328">
        <f>SMALL(SimDataTRI!$B$9:$B$508,317)</f>
        <v>89.337479447425522</v>
      </c>
      <c r="J328">
        <f>IF(COUNT(J12:J327)&gt;=COUNT(SimDataTRI!$B$9:$B$508),NA(),1/(COUNT(SimDataTRI!$B$9:$B$508)-1)+J327)</f>
        <v>0.63326653306613279</v>
      </c>
    </row>
    <row r="329" spans="1:10" x14ac:dyDescent="0.45">
      <c r="A329">
        <v>321</v>
      </c>
      <c r="B329">
        <v>69.114106355275936</v>
      </c>
      <c r="I329">
        <f>SMALL(SimDataTRI!$B$9:$B$508,318)</f>
        <v>89.526586350076258</v>
      </c>
      <c r="J329">
        <f>IF(COUNT(J12:J328)&gt;=COUNT(SimDataTRI!$B$9:$B$508),NA(),1/(COUNT(SimDataTRI!$B$9:$B$508)-1)+J328)</f>
        <v>0.63527054108216485</v>
      </c>
    </row>
    <row r="330" spans="1:10" x14ac:dyDescent="0.45">
      <c r="A330">
        <v>322</v>
      </c>
      <c r="B330">
        <v>76.66999126012503</v>
      </c>
      <c r="I330">
        <f>SMALL(SimDataTRI!$B$9:$B$508,319)</f>
        <v>89.705891983124758</v>
      </c>
      <c r="J330">
        <f>IF(COUNT(J12:J329)&gt;=COUNT(SimDataTRI!$B$9:$B$508),NA(),1/(COUNT(SimDataTRI!$B$9:$B$508)-1)+J329)</f>
        <v>0.63727454909819692</v>
      </c>
    </row>
    <row r="331" spans="1:10" x14ac:dyDescent="0.45">
      <c r="A331">
        <v>323</v>
      </c>
      <c r="B331">
        <v>82.338264261646273</v>
      </c>
      <c r="I331">
        <f>SMALL(SimDataTRI!$B$9:$B$508,320)</f>
        <v>89.953388957068086</v>
      </c>
      <c r="J331">
        <f>IF(COUNT(J12:J330)&gt;=COUNT(SimDataTRI!$B$9:$B$508),NA(),1/(COUNT(SimDataTRI!$B$9:$B$508)-1)+J330)</f>
        <v>0.63927855711422898</v>
      </c>
    </row>
    <row r="332" spans="1:10" x14ac:dyDescent="0.45">
      <c r="A332">
        <v>324</v>
      </c>
      <c r="B332">
        <v>35.007547893664793</v>
      </c>
      <c r="I332">
        <f>SMALL(SimDataTRI!$B$9:$B$508,321)</f>
        <v>90.005505657432906</v>
      </c>
      <c r="J332">
        <f>IF(COUNT(J12:J331)&gt;=COUNT(SimDataTRI!$B$9:$B$508),NA(),1/(COUNT(SimDataTRI!$B$9:$B$508)-1)+J331)</f>
        <v>0.64128256513026105</v>
      </c>
    </row>
    <row r="333" spans="1:10" x14ac:dyDescent="0.45">
      <c r="A333">
        <v>325</v>
      </c>
      <c r="B333">
        <v>55.760881126823932</v>
      </c>
      <c r="I333">
        <f>SMALL(SimDataTRI!$B$9:$B$508,322)</f>
        <v>90.212372501894748</v>
      </c>
      <c r="J333">
        <f>IF(COUNT(J12:J332)&gt;=COUNT(SimDataTRI!$B$9:$B$508),NA(),1/(COUNT(SimDataTRI!$B$9:$B$508)-1)+J332)</f>
        <v>0.64328657314629312</v>
      </c>
    </row>
    <row r="334" spans="1:10" x14ac:dyDescent="0.45">
      <c r="A334">
        <v>326</v>
      </c>
      <c r="B334">
        <v>95.966190114605851</v>
      </c>
      <c r="I334">
        <f>SMALL(SimDataTRI!$B$9:$B$508,323)</f>
        <v>90.43841964317096</v>
      </c>
      <c r="J334">
        <f>IF(COUNT(J12:J333)&gt;=COUNT(SimDataTRI!$B$9:$B$508),NA(),1/(COUNT(SimDataTRI!$B$9:$B$508)-1)+J333)</f>
        <v>0.64529058116232518</v>
      </c>
    </row>
    <row r="335" spans="1:10" x14ac:dyDescent="0.45">
      <c r="A335">
        <v>327</v>
      </c>
      <c r="B335">
        <v>67.73562685550047</v>
      </c>
      <c r="I335">
        <f>SMALL(SimDataTRI!$B$9:$B$508,324)</f>
        <v>90.610315873776017</v>
      </c>
      <c r="J335">
        <f>IF(COUNT(J12:J334)&gt;=COUNT(SimDataTRI!$B$9:$B$508),NA(),1/(COUNT(SimDataTRI!$B$9:$B$508)-1)+J334)</f>
        <v>0.64729458917835725</v>
      </c>
    </row>
    <row r="336" spans="1:10" x14ac:dyDescent="0.45">
      <c r="A336">
        <v>328</v>
      </c>
      <c r="B336">
        <v>71.864190639199791</v>
      </c>
      <c r="I336">
        <f>SMALL(SimDataTRI!$B$9:$B$508,325)</f>
        <v>90.67573354189291</v>
      </c>
      <c r="J336">
        <f>IF(COUNT(J12:J335)&gt;=COUNT(SimDataTRI!$B$9:$B$508),NA(),1/(COUNT(SimDataTRI!$B$9:$B$508)-1)+J335)</f>
        <v>0.64929859719438932</v>
      </c>
    </row>
    <row r="337" spans="1:10" x14ac:dyDescent="0.45">
      <c r="A337">
        <v>329</v>
      </c>
      <c r="B337">
        <v>65.283875226390819</v>
      </c>
      <c r="I337">
        <f>SMALL(SimDataTRI!$B$9:$B$508,326)</f>
        <v>90.823844562462909</v>
      </c>
      <c r="J337">
        <f>IF(COUNT(J12:J336)&gt;=COUNT(SimDataTRI!$B$9:$B$508),NA(),1/(COUNT(SimDataTRI!$B$9:$B$508)-1)+J336)</f>
        <v>0.65130260521042138</v>
      </c>
    </row>
    <row r="338" spans="1:10" x14ac:dyDescent="0.45">
      <c r="A338">
        <v>330</v>
      </c>
      <c r="B338">
        <v>80.2558231273063</v>
      </c>
      <c r="I338">
        <f>SMALL(SimDataTRI!$B$9:$B$508,327)</f>
        <v>91.049189610362362</v>
      </c>
      <c r="J338">
        <f>IF(COUNT(J12:J337)&gt;=COUNT(SimDataTRI!$B$9:$B$508),NA(),1/(COUNT(SimDataTRI!$B$9:$B$508)-1)+J337)</f>
        <v>0.65330661322645345</v>
      </c>
    </row>
    <row r="339" spans="1:10" x14ac:dyDescent="0.45">
      <c r="A339">
        <v>331</v>
      </c>
      <c r="B339">
        <v>130.18533861715068</v>
      </c>
      <c r="I339">
        <f>SMALL(SimDataTRI!$B$9:$B$508,328)</f>
        <v>91.303588979299008</v>
      </c>
      <c r="J339">
        <f>IF(COUNT(J12:J338)&gt;=COUNT(SimDataTRI!$B$9:$B$508),NA(),1/(COUNT(SimDataTRI!$B$9:$B$508)-1)+J338)</f>
        <v>0.65531062124248551</v>
      </c>
    </row>
    <row r="340" spans="1:10" x14ac:dyDescent="0.45">
      <c r="A340">
        <v>332</v>
      </c>
      <c r="B340">
        <v>97.153884855810077</v>
      </c>
      <c r="I340">
        <f>SMALL(SimDataTRI!$B$9:$B$508,329)</f>
        <v>91.448506270277363</v>
      </c>
      <c r="J340">
        <f>IF(COUNT(J12:J339)&gt;=COUNT(SimDataTRI!$B$9:$B$508),NA(),1/(COUNT(SimDataTRI!$B$9:$B$508)-1)+J339)</f>
        <v>0.65731462925851758</v>
      </c>
    </row>
    <row r="341" spans="1:10" x14ac:dyDescent="0.45">
      <c r="A341">
        <v>333</v>
      </c>
      <c r="B341">
        <v>100.66710207701789</v>
      </c>
      <c r="I341">
        <f>SMALL(SimDataTRI!$B$9:$B$508,330)</f>
        <v>91.636691220105789</v>
      </c>
      <c r="J341">
        <f>IF(COUNT(J12:J340)&gt;=COUNT(SimDataTRI!$B$9:$B$508),NA(),1/(COUNT(SimDataTRI!$B$9:$B$508)-1)+J340)</f>
        <v>0.65931863727454965</v>
      </c>
    </row>
    <row r="342" spans="1:10" x14ac:dyDescent="0.45">
      <c r="A342">
        <v>334</v>
      </c>
      <c r="B342">
        <v>37.775857879339782</v>
      </c>
      <c r="I342">
        <f>SMALL(SimDataTRI!$B$9:$B$508,331)</f>
        <v>91.764267855176186</v>
      </c>
      <c r="J342">
        <f>IF(COUNT(J12:J341)&gt;=COUNT(SimDataTRI!$B$9:$B$508),NA(),1/(COUNT(SimDataTRI!$B$9:$B$508)-1)+J341)</f>
        <v>0.66132264529058171</v>
      </c>
    </row>
    <row r="343" spans="1:10" x14ac:dyDescent="0.45">
      <c r="A343">
        <v>335</v>
      </c>
      <c r="B343">
        <v>55.051811847324316</v>
      </c>
      <c r="I343">
        <f>SMALL(SimDataTRI!$B$9:$B$508,332)</f>
        <v>91.880565785805516</v>
      </c>
      <c r="J343">
        <f>IF(COUNT(J12:J342)&gt;=COUNT(SimDataTRI!$B$9:$B$508),NA(),1/(COUNT(SimDataTRI!$B$9:$B$508)-1)+J342)</f>
        <v>0.66332665330661378</v>
      </c>
    </row>
    <row r="344" spans="1:10" x14ac:dyDescent="0.45">
      <c r="A344">
        <v>336</v>
      </c>
      <c r="B344">
        <v>80.528434109568977</v>
      </c>
      <c r="I344">
        <f>SMALL(SimDataTRI!$B$9:$B$508,333)</f>
        <v>92.01115165664676</v>
      </c>
      <c r="J344">
        <f>IF(COUNT(J12:J343)&gt;=COUNT(SimDataTRI!$B$9:$B$508),NA(),1/(COUNT(SimDataTRI!$B$9:$B$508)-1)+J343)</f>
        <v>0.66533066132264584</v>
      </c>
    </row>
    <row r="345" spans="1:10" x14ac:dyDescent="0.45">
      <c r="A345">
        <v>337</v>
      </c>
      <c r="B345">
        <v>100.20953330876857</v>
      </c>
      <c r="I345">
        <f>SMALL(SimDataTRI!$B$9:$B$508,334)</f>
        <v>92.327477437446589</v>
      </c>
      <c r="J345">
        <f>IF(COUNT(J12:J344)&gt;=COUNT(SimDataTRI!$B$9:$B$508),NA(),1/(COUNT(SimDataTRI!$B$9:$B$508)-1)+J344)</f>
        <v>0.66733466933867791</v>
      </c>
    </row>
    <row r="346" spans="1:10" x14ac:dyDescent="0.45">
      <c r="A346">
        <v>338</v>
      </c>
      <c r="B346">
        <v>91.303588979299008</v>
      </c>
      <c r="I346">
        <f>SMALL(SimDataTRI!$B$9:$B$508,335)</f>
        <v>92.450389372650761</v>
      </c>
      <c r="J346">
        <f>IF(COUNT(J12:J345)&gt;=COUNT(SimDataTRI!$B$9:$B$508),NA(),1/(COUNT(SimDataTRI!$B$9:$B$508)-1)+J345)</f>
        <v>0.66933867735470998</v>
      </c>
    </row>
    <row r="347" spans="1:10" x14ac:dyDescent="0.45">
      <c r="A347">
        <v>339</v>
      </c>
      <c r="B347">
        <v>87.440024646442851</v>
      </c>
      <c r="I347">
        <f>SMALL(SimDataTRI!$B$9:$B$508,336)</f>
        <v>92.573240977368258</v>
      </c>
      <c r="J347">
        <f>IF(COUNT(J12:J346)&gt;=COUNT(SimDataTRI!$B$9:$B$508),NA(),1/(COUNT(SimDataTRI!$B$9:$B$508)-1)+J346)</f>
        <v>0.67134268537074204</v>
      </c>
    </row>
    <row r="348" spans="1:10" x14ac:dyDescent="0.45">
      <c r="A348">
        <v>340</v>
      </c>
      <c r="B348">
        <v>64.016913182694339</v>
      </c>
      <c r="I348">
        <f>SMALL(SimDataTRI!$B$9:$B$508,337)</f>
        <v>92.713065440040594</v>
      </c>
      <c r="J348">
        <f>IF(COUNT(J12:J347)&gt;=COUNT(SimDataTRI!$B$9:$B$508),NA(),1/(COUNT(SimDataTRI!$B$9:$B$508)-1)+J347)</f>
        <v>0.67334669338677411</v>
      </c>
    </row>
    <row r="349" spans="1:10" x14ac:dyDescent="0.45">
      <c r="A349">
        <v>341</v>
      </c>
      <c r="B349">
        <v>119.60332981595009</v>
      </c>
      <c r="I349">
        <f>SMALL(SimDataTRI!$B$9:$B$508,338)</f>
        <v>93.050206479365542</v>
      </c>
      <c r="J349">
        <f>IF(COUNT(J12:J348)&gt;=COUNT(SimDataTRI!$B$9:$B$508),NA(),1/(COUNT(SimDataTRI!$B$9:$B$508)-1)+J348)</f>
        <v>0.67535070140280618</v>
      </c>
    </row>
    <row r="350" spans="1:10" x14ac:dyDescent="0.45">
      <c r="A350">
        <v>342</v>
      </c>
      <c r="B350">
        <v>78.906426111296128</v>
      </c>
      <c r="I350">
        <f>SMALL(SimDataTRI!$B$9:$B$508,339)</f>
        <v>93.167026244408532</v>
      </c>
      <c r="J350">
        <f>IF(COUNT(J12:J349)&gt;=COUNT(SimDataTRI!$B$9:$B$508),NA(),1/(COUNT(SimDataTRI!$B$9:$B$508)-1)+J349)</f>
        <v>0.67735470941883824</v>
      </c>
    </row>
    <row r="351" spans="1:10" x14ac:dyDescent="0.45">
      <c r="A351">
        <v>343</v>
      </c>
      <c r="B351">
        <v>47.275071817995602</v>
      </c>
      <c r="I351">
        <f>SMALL(SimDataTRI!$B$9:$B$508,340)</f>
        <v>93.246671490875713</v>
      </c>
      <c r="J351">
        <f>IF(COUNT(J12:J350)&gt;=COUNT(SimDataTRI!$B$9:$B$508),NA(),1/(COUNT(SimDataTRI!$B$9:$B$508)-1)+J350)</f>
        <v>0.67935871743487031</v>
      </c>
    </row>
    <row r="352" spans="1:10" x14ac:dyDescent="0.45">
      <c r="A352">
        <v>344</v>
      </c>
      <c r="B352">
        <v>64.490188263750483</v>
      </c>
      <c r="I352">
        <f>SMALL(SimDataTRI!$B$9:$B$508,341)</f>
        <v>93.508523409406905</v>
      </c>
      <c r="J352">
        <f>IF(COUNT(J12:J351)&gt;=COUNT(SimDataTRI!$B$9:$B$508),NA(),1/(COUNT(SimDataTRI!$B$9:$B$508)-1)+J351)</f>
        <v>0.68136272545090237</v>
      </c>
    </row>
    <row r="353" spans="1:10" x14ac:dyDescent="0.45">
      <c r="A353">
        <v>345</v>
      </c>
      <c r="B353">
        <v>118.409897643085</v>
      </c>
      <c r="I353">
        <f>SMALL(SimDataTRI!$B$9:$B$508,342)</f>
        <v>93.580535212419335</v>
      </c>
      <c r="J353">
        <f>IF(COUNT(J12:J352)&gt;=COUNT(SimDataTRI!$B$9:$B$508),NA(),1/(COUNT(SimDataTRI!$B$9:$B$508)-1)+J352)</f>
        <v>0.68336673346693444</v>
      </c>
    </row>
    <row r="354" spans="1:10" x14ac:dyDescent="0.45">
      <c r="A354">
        <v>346</v>
      </c>
      <c r="B354">
        <v>59.721351347509156</v>
      </c>
      <c r="I354">
        <f>SMALL(SimDataTRI!$B$9:$B$508,343)</f>
        <v>93.900221189465157</v>
      </c>
      <c r="J354">
        <f>IF(COUNT(J12:J353)&gt;=COUNT(SimDataTRI!$B$9:$B$508),NA(),1/(COUNT(SimDataTRI!$B$9:$B$508)-1)+J353)</f>
        <v>0.68537074148296651</v>
      </c>
    </row>
    <row r="355" spans="1:10" x14ac:dyDescent="0.45">
      <c r="A355">
        <v>347</v>
      </c>
      <c r="B355">
        <v>68.258716779006136</v>
      </c>
      <c r="I355">
        <f>SMALL(SimDataTRI!$B$9:$B$508,344)</f>
        <v>93.991850865329241</v>
      </c>
      <c r="J355">
        <f>IF(COUNT(J12:J354)&gt;=COUNT(SimDataTRI!$B$9:$B$508),NA(),1/(COUNT(SimDataTRI!$B$9:$B$508)-1)+J354)</f>
        <v>0.68737474949899857</v>
      </c>
    </row>
    <row r="356" spans="1:10" x14ac:dyDescent="0.45">
      <c r="A356">
        <v>348</v>
      </c>
      <c r="B356">
        <v>78.034942451484895</v>
      </c>
      <c r="I356">
        <f>SMALL(SimDataTRI!$B$9:$B$508,345)</f>
        <v>94.140520941956368</v>
      </c>
      <c r="J356">
        <f>IF(COUNT(J12:J355)&gt;=COUNT(SimDataTRI!$B$9:$B$508),NA(),1/(COUNT(SimDataTRI!$B$9:$B$508)-1)+J355)</f>
        <v>0.68937875751503064</v>
      </c>
    </row>
    <row r="357" spans="1:10" x14ac:dyDescent="0.45">
      <c r="A357">
        <v>349</v>
      </c>
      <c r="B357">
        <v>112.79722106251343</v>
      </c>
      <c r="I357">
        <f>SMALL(SimDataTRI!$B$9:$B$508,346)</f>
        <v>94.465301308918185</v>
      </c>
      <c r="J357">
        <f>IF(COUNT(J12:J356)&gt;=COUNT(SimDataTRI!$B$9:$B$508),NA(),1/(COUNT(SimDataTRI!$B$9:$B$508)-1)+J356)</f>
        <v>0.6913827655310627</v>
      </c>
    </row>
    <row r="358" spans="1:10" x14ac:dyDescent="0.45">
      <c r="A358">
        <v>350</v>
      </c>
      <c r="B358">
        <v>88.867279172324231</v>
      </c>
      <c r="I358">
        <f>SMALL(SimDataTRI!$B$9:$B$508,347)</f>
        <v>94.592119899463256</v>
      </c>
      <c r="J358">
        <f>IF(COUNT(J12:J357)&gt;=COUNT(SimDataTRI!$B$9:$B$508),NA(),1/(COUNT(SimDataTRI!$B$9:$B$508)-1)+J357)</f>
        <v>0.69338677354709477</v>
      </c>
    </row>
    <row r="359" spans="1:10" x14ac:dyDescent="0.45">
      <c r="A359">
        <v>351</v>
      </c>
      <c r="B359">
        <v>45.673954682985787</v>
      </c>
      <c r="I359">
        <f>SMALL(SimDataTRI!$B$9:$B$508,348)</f>
        <v>94.673974991383801</v>
      </c>
      <c r="J359">
        <f>IF(COUNT(J12:J358)&gt;=COUNT(SimDataTRI!$B$9:$B$508),NA(),1/(COUNT(SimDataTRI!$B$9:$B$508)-1)+J358)</f>
        <v>0.69539078156312684</v>
      </c>
    </row>
    <row r="360" spans="1:10" x14ac:dyDescent="0.45">
      <c r="A360">
        <v>352</v>
      </c>
      <c r="B360">
        <v>76.09397332050527</v>
      </c>
      <c r="I360">
        <f>SMALL(SimDataTRI!$B$9:$B$508,349)</f>
        <v>94.909763621953346</v>
      </c>
      <c r="J360">
        <f>IF(COUNT(J12:J359)&gt;=COUNT(SimDataTRI!$B$9:$B$508),NA(),1/(COUNT(SimDataTRI!$B$9:$B$508)-1)+J359)</f>
        <v>0.6973947895791589</v>
      </c>
    </row>
    <row r="361" spans="1:10" x14ac:dyDescent="0.45">
      <c r="A361">
        <v>353</v>
      </c>
      <c r="B361">
        <v>93.900221189465157</v>
      </c>
      <c r="I361">
        <f>SMALL(SimDataTRI!$B$9:$B$508,350)</f>
        <v>95.023273614214929</v>
      </c>
      <c r="J361">
        <f>IF(COUNT(J12:J360)&gt;=COUNT(SimDataTRI!$B$9:$B$508),NA(),1/(COUNT(SimDataTRI!$B$9:$B$508)-1)+J360)</f>
        <v>0.69939879759519097</v>
      </c>
    </row>
    <row r="362" spans="1:10" x14ac:dyDescent="0.45">
      <c r="A362">
        <v>354</v>
      </c>
      <c r="B362">
        <v>78.245225830397331</v>
      </c>
      <c r="I362">
        <f>SMALL(SimDataTRI!$B$9:$B$508,351)</f>
        <v>95.235928921891684</v>
      </c>
      <c r="J362">
        <f>IF(COUNT(J12:J361)&gt;=COUNT(SimDataTRI!$B$9:$B$508),NA(),1/(COUNT(SimDataTRI!$B$9:$B$508)-1)+J361)</f>
        <v>0.70140280561122303</v>
      </c>
    </row>
    <row r="363" spans="1:10" x14ac:dyDescent="0.45">
      <c r="A363">
        <v>355</v>
      </c>
      <c r="B363">
        <v>32.455906002452167</v>
      </c>
      <c r="I363">
        <f>SMALL(SimDataTRI!$B$9:$B$508,352)</f>
        <v>95.395940016647131</v>
      </c>
      <c r="J363">
        <f>IF(COUNT(J12:J362)&gt;=COUNT(SimDataTRI!$B$9:$B$508),NA(),1/(COUNT(SimDataTRI!$B$9:$B$508)-1)+J362)</f>
        <v>0.7034068136272551</v>
      </c>
    </row>
    <row r="364" spans="1:10" x14ac:dyDescent="0.45">
      <c r="A364">
        <v>356</v>
      </c>
      <c r="B364">
        <v>38.761529531408144</v>
      </c>
      <c r="I364">
        <f>SMALL(SimDataTRI!$B$9:$B$508,353)</f>
        <v>95.626209812724625</v>
      </c>
      <c r="J364">
        <f>IF(COUNT(J12:J363)&gt;=COUNT(SimDataTRI!$B$9:$B$508),NA(),1/(COUNT(SimDataTRI!$B$9:$B$508)-1)+J363)</f>
        <v>0.70541082164328717</v>
      </c>
    </row>
    <row r="365" spans="1:10" x14ac:dyDescent="0.45">
      <c r="A365">
        <v>357</v>
      </c>
      <c r="B365">
        <v>66.140466840111472</v>
      </c>
      <c r="I365">
        <f>SMALL(SimDataTRI!$B$9:$B$508,354)</f>
        <v>95.915009672740723</v>
      </c>
      <c r="J365">
        <f>IF(COUNT(J12:J364)&gt;=COUNT(SimDataTRI!$B$9:$B$508),NA(),1/(COUNT(SimDataTRI!$B$9:$B$508)-1)+J364)</f>
        <v>0.70741482965931923</v>
      </c>
    </row>
    <row r="366" spans="1:10" x14ac:dyDescent="0.45">
      <c r="A366">
        <v>358</v>
      </c>
      <c r="B366">
        <v>118.26043382592195</v>
      </c>
      <c r="I366">
        <f>SMALL(SimDataTRI!$B$9:$B$508,355)</f>
        <v>95.966190114605851</v>
      </c>
      <c r="J366">
        <f>IF(COUNT(J12:J365)&gt;=COUNT(SimDataTRI!$B$9:$B$508),NA(),1/(COUNT(SimDataTRI!$B$9:$B$508)-1)+J365)</f>
        <v>0.7094188376753513</v>
      </c>
    </row>
    <row r="367" spans="1:10" x14ac:dyDescent="0.45">
      <c r="A367">
        <v>359</v>
      </c>
      <c r="B367">
        <v>70.250591922008965</v>
      </c>
      <c r="I367">
        <f>SMALL(SimDataTRI!$B$9:$B$508,356)</f>
        <v>96.291859572572463</v>
      </c>
      <c r="J367">
        <f>IF(COUNT(J12:J366)&gt;=COUNT(SimDataTRI!$B$9:$B$508),NA(),1/(COUNT(SimDataTRI!$B$9:$B$508)-1)+J366)</f>
        <v>0.71142284569138337</v>
      </c>
    </row>
    <row r="368" spans="1:10" x14ac:dyDescent="0.45">
      <c r="A368">
        <v>360</v>
      </c>
      <c r="B368">
        <v>64.383466683837611</v>
      </c>
      <c r="I368">
        <f>SMALL(SimDataTRI!$B$9:$B$508,357)</f>
        <v>96.30770243737156</v>
      </c>
      <c r="J368">
        <f>IF(COUNT(J12:J367)&gt;=COUNT(SimDataTRI!$B$9:$B$508),NA(),1/(COUNT(SimDataTRI!$B$9:$B$508)-1)+J367)</f>
        <v>0.71342685370741543</v>
      </c>
    </row>
    <row r="369" spans="1:10" x14ac:dyDescent="0.45">
      <c r="A369">
        <v>361</v>
      </c>
      <c r="B369">
        <v>74.539497253735647</v>
      </c>
      <c r="I369">
        <f>SMALL(SimDataTRI!$B$9:$B$508,358)</f>
        <v>96.65727282940361</v>
      </c>
      <c r="J369">
        <f>IF(COUNT(J12:J368)&gt;=COUNT(SimDataTRI!$B$9:$B$508),NA(),1/(COUNT(SimDataTRI!$B$9:$B$508)-1)+J368)</f>
        <v>0.7154308617234475</v>
      </c>
    </row>
    <row r="370" spans="1:10" x14ac:dyDescent="0.45">
      <c r="A370">
        <v>362</v>
      </c>
      <c r="B370">
        <v>127.90549034460997</v>
      </c>
      <c r="I370">
        <f>SMALL(SimDataTRI!$B$9:$B$508,359)</f>
        <v>96.720919003526276</v>
      </c>
      <c r="J370">
        <f>IF(COUNT(J12:J369)&gt;=COUNT(SimDataTRI!$B$9:$B$508),NA(),1/(COUNT(SimDataTRI!$B$9:$B$508)-1)+J369)</f>
        <v>0.71743486973947956</v>
      </c>
    </row>
    <row r="371" spans="1:10" x14ac:dyDescent="0.45">
      <c r="A371">
        <v>363</v>
      </c>
      <c r="B371">
        <v>86.779018943739445</v>
      </c>
      <c r="I371">
        <f>SMALL(SimDataTRI!$B$9:$B$508,360)</f>
        <v>96.899974907046982</v>
      </c>
      <c r="J371">
        <f>IF(COUNT(J12:J370)&gt;=COUNT(SimDataTRI!$B$9:$B$508),NA(),1/(COUNT(SimDataTRI!$B$9:$B$508)-1)+J370)</f>
        <v>0.71943887775551163</v>
      </c>
    </row>
    <row r="372" spans="1:10" x14ac:dyDescent="0.45">
      <c r="A372">
        <v>364</v>
      </c>
      <c r="B372">
        <v>42.421001138928574</v>
      </c>
      <c r="I372">
        <f>SMALL(SimDataTRI!$B$9:$B$508,361)</f>
        <v>97.153884855810077</v>
      </c>
      <c r="J372">
        <f>IF(COUNT(J12:J371)&gt;=COUNT(SimDataTRI!$B$9:$B$508),NA(),1/(COUNT(SimDataTRI!$B$9:$B$508)-1)+J371)</f>
        <v>0.7214428857715437</v>
      </c>
    </row>
    <row r="373" spans="1:10" x14ac:dyDescent="0.45">
      <c r="A373">
        <v>365</v>
      </c>
      <c r="B373">
        <v>69.275561205978292</v>
      </c>
      <c r="I373">
        <f>SMALL(SimDataTRI!$B$9:$B$508,362)</f>
        <v>97.405355335323904</v>
      </c>
      <c r="J373">
        <f>IF(COUNT(J12:J372)&gt;=COUNT(SimDataTRI!$B$9:$B$508),NA(),1/(COUNT(SimDataTRI!$B$9:$B$508)-1)+J372)</f>
        <v>0.72344689378757576</v>
      </c>
    </row>
    <row r="374" spans="1:10" x14ac:dyDescent="0.45">
      <c r="A374">
        <v>366</v>
      </c>
      <c r="B374">
        <v>84.461482384232184</v>
      </c>
      <c r="I374">
        <f>SMALL(SimDataTRI!$B$9:$B$508,363)</f>
        <v>97.60535688713108</v>
      </c>
      <c r="J374">
        <f>IF(COUNT(J12:J373)&gt;=COUNT(SimDataTRI!$B$9:$B$508),NA(),1/(COUNT(SimDataTRI!$B$9:$B$508)-1)+J373)</f>
        <v>0.72545090180360783</v>
      </c>
    </row>
    <row r="375" spans="1:10" x14ac:dyDescent="0.45">
      <c r="A375">
        <v>367</v>
      </c>
      <c r="B375">
        <v>57.740783850460907</v>
      </c>
      <c r="I375">
        <f>SMALL(SimDataTRI!$B$9:$B$508,364)</f>
        <v>97.768763181655288</v>
      </c>
      <c r="J375">
        <f>IF(COUNT(J12:J374)&gt;=COUNT(SimDataTRI!$B$9:$B$508),NA(),1/(COUNT(SimDataTRI!$B$9:$B$508)-1)+J374)</f>
        <v>0.72745490981963989</v>
      </c>
    </row>
    <row r="376" spans="1:10" x14ac:dyDescent="0.45">
      <c r="A376">
        <v>368</v>
      </c>
      <c r="B376">
        <v>93.050206479365542</v>
      </c>
      <c r="I376">
        <f>SMALL(SimDataTRI!$B$9:$B$508,365)</f>
        <v>97.947782916829738</v>
      </c>
      <c r="J376">
        <f>IF(COUNT(J12:J375)&gt;=COUNT(SimDataTRI!$B$9:$B$508),NA(),1/(COUNT(SimDataTRI!$B$9:$B$508)-1)+J375)</f>
        <v>0.72945891783567196</v>
      </c>
    </row>
    <row r="377" spans="1:10" x14ac:dyDescent="0.45">
      <c r="A377">
        <v>369</v>
      </c>
      <c r="B377">
        <v>114.34717091258875</v>
      </c>
      <c r="I377">
        <f>SMALL(SimDataTRI!$B$9:$B$508,366)</f>
        <v>98.052988730639484</v>
      </c>
      <c r="J377">
        <f>IF(COUNT(J12:J376)&gt;=COUNT(SimDataTRI!$B$9:$B$508),NA(),1/(COUNT(SimDataTRI!$B$9:$B$508)-1)+J376)</f>
        <v>0.73146292585170403</v>
      </c>
    </row>
    <row r="378" spans="1:10" x14ac:dyDescent="0.45">
      <c r="A378">
        <v>370</v>
      </c>
      <c r="B378">
        <v>50.965957892400766</v>
      </c>
      <c r="I378">
        <f>SMALL(SimDataTRI!$B$9:$B$508,367)</f>
        <v>98.291332931611464</v>
      </c>
      <c r="J378">
        <f>IF(COUNT(J12:J377)&gt;=COUNT(SimDataTRI!$B$9:$B$508),NA(),1/(COUNT(SimDataTRI!$B$9:$B$508)-1)+J377)</f>
        <v>0.73346693386773609</v>
      </c>
    </row>
    <row r="379" spans="1:10" x14ac:dyDescent="0.45">
      <c r="A379">
        <v>371</v>
      </c>
      <c r="B379">
        <v>113.88020333919022</v>
      </c>
      <c r="I379">
        <f>SMALL(SimDataTRI!$B$9:$B$508,368)</f>
        <v>98.590610629092481</v>
      </c>
      <c r="J379">
        <f>IF(COUNT(J12:J378)&gt;=COUNT(SimDataTRI!$B$9:$B$508),NA(),1/(COUNT(SimDataTRI!$B$9:$B$508)-1)+J378)</f>
        <v>0.73547094188376816</v>
      </c>
    </row>
    <row r="380" spans="1:10" x14ac:dyDescent="0.45">
      <c r="A380">
        <v>372</v>
      </c>
      <c r="B380">
        <v>136.51597010549534</v>
      </c>
      <c r="I380">
        <f>SMALL(SimDataTRI!$B$9:$B$508,369)</f>
        <v>98.63747753842523</v>
      </c>
      <c r="J380">
        <f>IF(COUNT(J12:J379)&gt;=COUNT(SimDataTRI!$B$9:$B$508),NA(),1/(COUNT(SimDataTRI!$B$9:$B$508)-1)+J379)</f>
        <v>0.73747494989980023</v>
      </c>
    </row>
    <row r="381" spans="1:10" x14ac:dyDescent="0.45">
      <c r="A381">
        <v>373</v>
      </c>
      <c r="B381">
        <v>34.224356584236403</v>
      </c>
      <c r="I381">
        <f>SMALL(SimDataTRI!$B$9:$B$508,370)</f>
        <v>98.900751794193155</v>
      </c>
      <c r="J381">
        <f>IF(COUNT(J12:J380)&gt;=COUNT(SimDataTRI!$B$9:$B$508),NA(),1/(COUNT(SimDataTRI!$B$9:$B$508)-1)+J380)</f>
        <v>0.73947895791583229</v>
      </c>
    </row>
    <row r="382" spans="1:10" x14ac:dyDescent="0.45">
      <c r="A382">
        <v>374</v>
      </c>
      <c r="B382">
        <v>66.566015706401885</v>
      </c>
      <c r="I382">
        <f>SMALL(SimDataTRI!$B$9:$B$508,371)</f>
        <v>99.097226743442945</v>
      </c>
      <c r="J382">
        <f>IF(COUNT(J12:J381)&gt;=COUNT(SimDataTRI!$B$9:$B$508),NA(),1/(COUNT(SimDataTRI!$B$9:$B$508)-1)+J381)</f>
        <v>0.74148296593186436</v>
      </c>
    </row>
    <row r="383" spans="1:10" x14ac:dyDescent="0.45">
      <c r="A383">
        <v>375</v>
      </c>
      <c r="B383">
        <v>43.72539757622566</v>
      </c>
      <c r="I383">
        <f>SMALL(SimDataTRI!$B$9:$B$508,372)</f>
        <v>99.368462742649399</v>
      </c>
      <c r="J383">
        <f>IF(COUNT(J12:J382)&gt;=COUNT(SimDataTRI!$B$9:$B$508),NA(),1/(COUNT(SimDataTRI!$B$9:$B$508)-1)+J382)</f>
        <v>0.74348697394789642</v>
      </c>
    </row>
    <row r="384" spans="1:10" x14ac:dyDescent="0.45">
      <c r="A384">
        <v>376</v>
      </c>
      <c r="B384">
        <v>60.064732476632422</v>
      </c>
      <c r="I384">
        <f>SMALL(SimDataTRI!$B$9:$B$508,373)</f>
        <v>99.490377561655521</v>
      </c>
      <c r="J384">
        <f>IF(COUNT(J12:J383)&gt;=COUNT(SimDataTRI!$B$9:$B$508),NA(),1/(COUNT(SimDataTRI!$B$9:$B$508)-1)+J383)</f>
        <v>0.74549098196392849</v>
      </c>
    </row>
    <row r="385" spans="1:10" x14ac:dyDescent="0.45">
      <c r="A385">
        <v>377</v>
      </c>
      <c r="B385">
        <v>95.626209812724625</v>
      </c>
      <c r="I385">
        <f>SMALL(SimDataTRI!$B$9:$B$508,374)</f>
        <v>99.605215045459289</v>
      </c>
      <c r="J385">
        <f>IF(COUNT(J12:J384)&gt;=COUNT(SimDataTRI!$B$9:$B$508),NA(),1/(COUNT(SimDataTRI!$B$9:$B$508)-1)+J384)</f>
        <v>0.74749498997996056</v>
      </c>
    </row>
    <row r="386" spans="1:10" x14ac:dyDescent="0.45">
      <c r="A386">
        <v>378</v>
      </c>
      <c r="B386">
        <v>131.60164896123155</v>
      </c>
      <c r="I386">
        <f>SMALL(SimDataTRI!$B$9:$B$508,375)</f>
        <v>99.864850538510041</v>
      </c>
      <c r="J386">
        <f>IF(COUNT(J12:J385)&gt;=COUNT(SimDataTRI!$B$9:$B$508),NA(),1/(COUNT(SimDataTRI!$B$9:$B$508)-1)+J385)</f>
        <v>0.74949899799599262</v>
      </c>
    </row>
    <row r="387" spans="1:10" x14ac:dyDescent="0.45">
      <c r="A387">
        <v>379</v>
      </c>
      <c r="B387">
        <v>65.151719700223325</v>
      </c>
      <c r="I387">
        <f>SMALL(SimDataTRI!$B$9:$B$508,376)</f>
        <v>100.15492303121496</v>
      </c>
      <c r="J387">
        <f>IF(COUNT(J12:J386)&gt;=COUNT(SimDataTRI!$B$9:$B$508),NA(),1/(COUNT(SimDataTRI!$B$9:$B$508)-1)+J386)</f>
        <v>0.75150300601202469</v>
      </c>
    </row>
    <row r="388" spans="1:10" x14ac:dyDescent="0.45">
      <c r="A388">
        <v>380</v>
      </c>
      <c r="B388">
        <v>97.947782916829738</v>
      </c>
      <c r="I388">
        <f>SMALL(SimDataTRI!$B$9:$B$508,377)</f>
        <v>100.20953330876857</v>
      </c>
      <c r="J388">
        <f>IF(COUNT(J12:J387)&gt;=COUNT(SimDataTRI!$B$9:$B$508),NA(),1/(COUNT(SimDataTRI!$B$9:$B$508)-1)+J387)</f>
        <v>0.75350701402805675</v>
      </c>
    </row>
    <row r="389" spans="1:10" x14ac:dyDescent="0.45">
      <c r="A389">
        <v>381</v>
      </c>
      <c r="B389">
        <v>116.52348071988609</v>
      </c>
      <c r="I389">
        <f>SMALL(SimDataTRI!$B$9:$B$508,378)</f>
        <v>100.54779800673765</v>
      </c>
      <c r="J389">
        <f>IF(COUNT(J12:J388)&gt;=COUNT(SimDataTRI!$B$9:$B$508),NA(),1/(COUNT(SimDataTRI!$B$9:$B$508)-1)+J388)</f>
        <v>0.75551102204408882</v>
      </c>
    </row>
    <row r="390" spans="1:10" x14ac:dyDescent="0.45">
      <c r="A390">
        <v>382</v>
      </c>
      <c r="B390">
        <v>82.060696508354297</v>
      </c>
      <c r="I390">
        <f>SMALL(SimDataTRI!$B$9:$B$508,379)</f>
        <v>100.66710207701789</v>
      </c>
      <c r="J390">
        <f>IF(COUNT(J12:J389)&gt;=COUNT(SimDataTRI!$B$9:$B$508),NA(),1/(COUNT(SimDataTRI!$B$9:$B$508)-1)+J389)</f>
        <v>0.75751503006012089</v>
      </c>
    </row>
    <row r="391" spans="1:10" x14ac:dyDescent="0.45">
      <c r="A391">
        <v>383</v>
      </c>
      <c r="B391">
        <v>51.593027263687404</v>
      </c>
      <c r="I391">
        <f>SMALL(SimDataTRI!$B$9:$B$508,380)</f>
        <v>100.87060681590057</v>
      </c>
      <c r="J391">
        <f>IF(COUNT(J12:J390)&gt;=COUNT(SimDataTRI!$B$9:$B$508),NA(),1/(COUNT(SimDataTRI!$B$9:$B$508)-1)+J390)</f>
        <v>0.75951903807615295</v>
      </c>
    </row>
    <row r="392" spans="1:10" x14ac:dyDescent="0.45">
      <c r="A392">
        <v>384</v>
      </c>
      <c r="B392">
        <v>61.290194131765837</v>
      </c>
      <c r="I392">
        <f>SMALL(SimDataTRI!$B$9:$B$508,381)</f>
        <v>100.99933401421893</v>
      </c>
      <c r="J392">
        <f>IF(COUNT(J12:J391)&gt;=COUNT(SimDataTRI!$B$9:$B$508),NA(),1/(COUNT(SimDataTRI!$B$9:$B$508)-1)+J391)</f>
        <v>0.76152304609218502</v>
      </c>
    </row>
    <row r="393" spans="1:10" x14ac:dyDescent="0.45">
      <c r="A393">
        <v>385</v>
      </c>
      <c r="B393">
        <v>91.764267855176186</v>
      </c>
      <c r="I393">
        <f>SMALL(SimDataTRI!$B$9:$B$508,382)</f>
        <v>101.22538390825962</v>
      </c>
      <c r="J393">
        <f>IF(COUNT(J12:J392)&gt;=COUNT(SimDataTRI!$B$9:$B$508),NA(),1/(COUNT(SimDataTRI!$B$9:$B$508)-1)+J392)</f>
        <v>0.76352705410821708</v>
      </c>
    </row>
    <row r="394" spans="1:10" x14ac:dyDescent="0.45">
      <c r="A394">
        <v>386</v>
      </c>
      <c r="B394">
        <v>108.02002312130469</v>
      </c>
      <c r="I394">
        <f>SMALL(SimDataTRI!$B$9:$B$508,383)</f>
        <v>101.48661127910489</v>
      </c>
      <c r="J394">
        <f>IF(COUNT(J12:J393)&gt;=COUNT(SimDataTRI!$B$9:$B$508),NA(),1/(COUNT(SimDataTRI!$B$9:$B$508)-1)+J393)</f>
        <v>0.76553106212424915</v>
      </c>
    </row>
    <row r="395" spans="1:10" x14ac:dyDescent="0.45">
      <c r="A395">
        <v>387</v>
      </c>
      <c r="B395">
        <v>55.595469948324009</v>
      </c>
      <c r="I395">
        <f>SMALL(SimDataTRI!$B$9:$B$508,384)</f>
        <v>101.74112221653925</v>
      </c>
      <c r="J395">
        <f>IF(COUNT(J12:J394)&gt;=COUNT(SimDataTRI!$B$9:$B$508),NA(),1/(COUNT(SimDataTRI!$B$9:$B$508)-1)+J394)</f>
        <v>0.76753507014028122</v>
      </c>
    </row>
    <row r="396" spans="1:10" x14ac:dyDescent="0.45">
      <c r="A396">
        <v>388</v>
      </c>
      <c r="B396">
        <v>96.720919003526276</v>
      </c>
      <c r="I396">
        <f>SMALL(SimDataTRI!$B$9:$B$508,385)</f>
        <v>101.95955933082502</v>
      </c>
      <c r="J396">
        <f>IF(COUNT(J12:J395)&gt;=COUNT(SimDataTRI!$B$9:$B$508),NA(),1/(COUNT(SimDataTRI!$B$9:$B$508)-1)+J395)</f>
        <v>0.76953907815631328</v>
      </c>
    </row>
    <row r="397" spans="1:10" x14ac:dyDescent="0.45">
      <c r="A397">
        <v>389</v>
      </c>
      <c r="B397">
        <v>115.72695136444986</v>
      </c>
      <c r="I397">
        <f>SMALL(SimDataTRI!$B$9:$B$508,386)</f>
        <v>102.11098294083223</v>
      </c>
      <c r="J397">
        <f>IF(COUNT(J12:J396)&gt;=COUNT(SimDataTRI!$B$9:$B$508),NA(),1/(COUNT(SimDataTRI!$B$9:$B$508)-1)+J396)</f>
        <v>0.77154308617234535</v>
      </c>
    </row>
    <row r="398" spans="1:10" x14ac:dyDescent="0.45">
      <c r="A398">
        <v>390</v>
      </c>
      <c r="B398">
        <v>105.29921512529042</v>
      </c>
      <c r="I398">
        <f>SMALL(SimDataTRI!$B$9:$B$508,387)</f>
        <v>102.40594806048662</v>
      </c>
      <c r="J398">
        <f>IF(COUNT(J12:J397)&gt;=COUNT(SimDataTRI!$B$9:$B$508),NA(),1/(COUNT(SimDataTRI!$B$9:$B$508)-1)+J397)</f>
        <v>0.77354709418837742</v>
      </c>
    </row>
    <row r="399" spans="1:10" x14ac:dyDescent="0.45">
      <c r="A399">
        <v>391</v>
      </c>
      <c r="B399">
        <v>63.729310046065038</v>
      </c>
      <c r="I399">
        <f>SMALL(SimDataTRI!$B$9:$B$508,388)</f>
        <v>102.48153600829077</v>
      </c>
      <c r="J399">
        <f>IF(COUNT(J12:J398)&gt;=COUNT(SimDataTRI!$B$9:$B$508),NA(),1/(COUNT(SimDataTRI!$B$9:$B$508)-1)+J398)</f>
        <v>0.77555110220440948</v>
      </c>
    </row>
    <row r="400" spans="1:10" x14ac:dyDescent="0.45">
      <c r="A400">
        <v>392</v>
      </c>
      <c r="B400">
        <v>75.807501814247843</v>
      </c>
      <c r="I400">
        <f>SMALL(SimDataTRI!$B$9:$B$508,389)</f>
        <v>102.67095397576713</v>
      </c>
      <c r="J400">
        <f>IF(COUNT(J12:J399)&gt;=COUNT(SimDataTRI!$B$9:$B$508),NA(),1/(COUNT(SimDataTRI!$B$9:$B$508)-1)+J399)</f>
        <v>0.77755511022044155</v>
      </c>
    </row>
    <row r="401" spans="1:10" x14ac:dyDescent="0.45">
      <c r="A401">
        <v>393</v>
      </c>
      <c r="B401">
        <v>54.704833283130839</v>
      </c>
      <c r="I401">
        <f>SMALL(SimDataTRI!$B$9:$B$508,390)</f>
        <v>102.9582095798506</v>
      </c>
      <c r="J401">
        <f>IF(COUNT(J12:J400)&gt;=COUNT(SimDataTRI!$B$9:$B$508),NA(),1/(COUNT(SimDataTRI!$B$9:$B$508)-1)+J400)</f>
        <v>0.77955911823647361</v>
      </c>
    </row>
    <row r="402" spans="1:10" x14ac:dyDescent="0.45">
      <c r="A402">
        <v>394</v>
      </c>
      <c r="B402">
        <v>122.59880109156191</v>
      </c>
      <c r="I402">
        <f>SMALL(SimDataTRI!$B$9:$B$508,391)</f>
        <v>103.09339336851662</v>
      </c>
      <c r="J402">
        <f>IF(COUNT(J12:J401)&gt;=COUNT(SimDataTRI!$B$9:$B$508),NA(),1/(COUNT(SimDataTRI!$B$9:$B$508)-1)+J401)</f>
        <v>0.78156312625250568</v>
      </c>
    </row>
    <row r="403" spans="1:10" x14ac:dyDescent="0.45">
      <c r="A403">
        <v>395</v>
      </c>
      <c r="B403">
        <v>72.280384927123777</v>
      </c>
      <c r="I403">
        <f>SMALL(SimDataTRI!$B$9:$B$508,392)</f>
        <v>103.32152177663752</v>
      </c>
      <c r="J403">
        <f>IF(COUNT(J12:J402)&gt;=COUNT(SimDataTRI!$B$9:$B$508),NA(),1/(COUNT(SimDataTRI!$B$9:$B$508)-1)+J402)</f>
        <v>0.78356713426853775</v>
      </c>
    </row>
    <row r="404" spans="1:10" x14ac:dyDescent="0.45">
      <c r="A404">
        <v>396</v>
      </c>
      <c r="B404">
        <v>46.366507957221714</v>
      </c>
      <c r="I404">
        <f>SMALL(SimDataTRI!$B$9:$B$508,393)</f>
        <v>103.50471408574433</v>
      </c>
      <c r="J404">
        <f>IF(COUNT(J12:J403)&gt;=COUNT(SimDataTRI!$B$9:$B$508),NA(),1/(COUNT(SimDataTRI!$B$9:$B$508)-1)+J403)</f>
        <v>0.78557114228456981</v>
      </c>
    </row>
    <row r="405" spans="1:10" x14ac:dyDescent="0.45">
      <c r="A405">
        <v>397</v>
      </c>
      <c r="B405">
        <v>75.077941016315407</v>
      </c>
      <c r="I405">
        <f>SMALL(SimDataTRI!$B$9:$B$508,394)</f>
        <v>103.87864233839136</v>
      </c>
      <c r="J405">
        <f>IF(COUNT(J12:J404)&gt;=COUNT(SimDataTRI!$B$9:$B$508),NA(),1/(COUNT(SimDataTRI!$B$9:$B$508)-1)+J404)</f>
        <v>0.78757515030060188</v>
      </c>
    </row>
    <row r="406" spans="1:10" x14ac:dyDescent="0.45">
      <c r="A406">
        <v>398</v>
      </c>
      <c r="B406">
        <v>82.70593031029783</v>
      </c>
      <c r="I406">
        <f>SMALL(SimDataTRI!$B$9:$B$508,395)</f>
        <v>104.06041376805827</v>
      </c>
      <c r="J406">
        <f>IF(COUNT(J12:J405)&gt;=COUNT(SimDataTRI!$B$9:$B$508),NA(),1/(COUNT(SimDataTRI!$B$9:$B$508)-1)+J405)</f>
        <v>0.78957915831663394</v>
      </c>
    </row>
    <row r="407" spans="1:10" x14ac:dyDescent="0.45">
      <c r="A407">
        <v>399</v>
      </c>
      <c r="B407">
        <v>100.99933401421893</v>
      </c>
      <c r="I407">
        <f>SMALL(SimDataTRI!$B$9:$B$508,396)</f>
        <v>104.15984408149828</v>
      </c>
      <c r="J407">
        <f>IF(COUNT(J12:J406)&gt;=COUNT(SimDataTRI!$B$9:$B$508),NA(),1/(COUNT(SimDataTRI!$B$9:$B$508)-1)+J406)</f>
        <v>0.79158316633266601</v>
      </c>
    </row>
    <row r="408" spans="1:10" x14ac:dyDescent="0.45">
      <c r="A408">
        <v>400</v>
      </c>
      <c r="B408">
        <v>38.078997039836956</v>
      </c>
      <c r="I408">
        <f>SMALL(SimDataTRI!$B$9:$B$508,397)</f>
        <v>104.52877647070348</v>
      </c>
      <c r="J408">
        <f>IF(COUNT(J12:J407)&gt;=COUNT(SimDataTRI!$B$9:$B$508),NA(),1/(COUNT(SimDataTRI!$B$9:$B$508)-1)+J407)</f>
        <v>0.79358717434869808</v>
      </c>
    </row>
    <row r="409" spans="1:10" x14ac:dyDescent="0.45">
      <c r="A409">
        <v>401</v>
      </c>
      <c r="B409">
        <v>73.804442514636207</v>
      </c>
      <c r="I409">
        <f>SMALL(SimDataTRI!$B$9:$B$508,398)</f>
        <v>104.69686832263554</v>
      </c>
      <c r="J409">
        <f>IF(COUNT(J12:J408)&gt;=COUNT(SimDataTRI!$B$9:$B$508),NA(),1/(COUNT(SimDataTRI!$B$9:$B$508)-1)+J408)</f>
        <v>0.79559118236473014</v>
      </c>
    </row>
    <row r="410" spans="1:10" x14ac:dyDescent="0.45">
      <c r="A410">
        <v>402</v>
      </c>
      <c r="B410">
        <v>89.304503667029408</v>
      </c>
      <c r="I410">
        <f>SMALL(SimDataTRI!$B$9:$B$508,399)</f>
        <v>105.02845456732146</v>
      </c>
      <c r="J410">
        <f>IF(COUNT(J12:J409)&gt;=COUNT(SimDataTRI!$B$9:$B$508),NA(),1/(COUNT(SimDataTRI!$B$9:$B$508)-1)+J409)</f>
        <v>0.79759519038076221</v>
      </c>
    </row>
    <row r="411" spans="1:10" x14ac:dyDescent="0.45">
      <c r="A411">
        <v>403</v>
      </c>
      <c r="B411">
        <v>64.658174552972497</v>
      </c>
      <c r="I411">
        <f>SMALL(SimDataTRI!$B$9:$B$508,400)</f>
        <v>105.20368999613085</v>
      </c>
      <c r="J411">
        <f>IF(COUNT(J12:J410)&gt;=COUNT(SimDataTRI!$B$9:$B$508),NA(),1/(COUNT(SimDataTRI!$B$9:$B$508)-1)+J410)</f>
        <v>0.79959919839679428</v>
      </c>
    </row>
    <row r="412" spans="1:10" x14ac:dyDescent="0.45">
      <c r="A412">
        <v>404</v>
      </c>
      <c r="B412">
        <v>109.01230342228116</v>
      </c>
      <c r="I412">
        <f>SMALL(SimDataTRI!$B$9:$B$508,401)</f>
        <v>105.29921512529042</v>
      </c>
      <c r="J412">
        <f>IF(COUNT(J12:J411)&gt;=COUNT(SimDataTRI!$B$9:$B$508),NA(),1/(COUNT(SimDataTRI!$B$9:$B$508)-1)+J411)</f>
        <v>0.80160320641282634</v>
      </c>
    </row>
    <row r="413" spans="1:10" x14ac:dyDescent="0.45">
      <c r="A413">
        <v>405</v>
      </c>
      <c r="B413">
        <v>79.169353566653612</v>
      </c>
      <c r="I413">
        <f>SMALL(SimDataTRI!$B$9:$B$508,402)</f>
        <v>105.53366306135285</v>
      </c>
      <c r="J413">
        <f>IF(COUNT(J12:J412)&gt;=COUNT(SimDataTRI!$B$9:$B$508),NA(),1/(COUNT(SimDataTRI!$B$9:$B$508)-1)+J412)</f>
        <v>0.80360721442885841</v>
      </c>
    </row>
    <row r="414" spans="1:10" x14ac:dyDescent="0.45">
      <c r="A414">
        <v>406</v>
      </c>
      <c r="B414">
        <v>50.529342873812716</v>
      </c>
      <c r="I414">
        <f>SMALL(SimDataTRI!$B$9:$B$508,403)</f>
        <v>105.7376347087795</v>
      </c>
      <c r="J414">
        <f>IF(COUNT(J12:J413)&gt;=COUNT(SimDataTRI!$B$9:$B$508),NA(),1/(COUNT(SimDataTRI!$B$9:$B$508)-1)+J413)</f>
        <v>0.80561122244489047</v>
      </c>
    </row>
    <row r="415" spans="1:10" x14ac:dyDescent="0.45">
      <c r="A415">
        <v>407</v>
      </c>
      <c r="B415">
        <v>30.543675549338289</v>
      </c>
      <c r="I415">
        <f>SMALL(SimDataTRI!$B$9:$B$508,404)</f>
        <v>106.12033273283289</v>
      </c>
      <c r="J415">
        <f>IF(COUNT(J12:J414)&gt;=COUNT(SimDataTRI!$B$9:$B$508),NA(),1/(COUNT(SimDataTRI!$B$9:$B$508)-1)+J414)</f>
        <v>0.80761523046092254</v>
      </c>
    </row>
    <row r="416" spans="1:10" x14ac:dyDescent="0.45">
      <c r="A416">
        <v>408</v>
      </c>
      <c r="B416">
        <v>82.947988785761709</v>
      </c>
      <c r="I416">
        <f>SMALL(SimDataTRI!$B$9:$B$508,405)</f>
        <v>106.2411660569696</v>
      </c>
      <c r="J416">
        <f>IF(COUNT(J12:J415)&gt;=COUNT(SimDataTRI!$B$9:$B$508),NA(),1/(COUNT(SimDataTRI!$B$9:$B$508)-1)+J415)</f>
        <v>0.80961923847695461</v>
      </c>
    </row>
    <row r="417" spans="1:10" x14ac:dyDescent="0.45">
      <c r="A417">
        <v>409</v>
      </c>
      <c r="B417">
        <v>66.858052208627541</v>
      </c>
      <c r="I417">
        <f>SMALL(SimDataTRI!$B$9:$B$508,406)</f>
        <v>106.56362717202941</v>
      </c>
      <c r="J417">
        <f>IF(COUNT(J12:J416)&gt;=COUNT(SimDataTRI!$B$9:$B$508),NA(),1/(COUNT(SimDataTRI!$B$9:$B$508)-1)+J416)</f>
        <v>0.81162324649298667</v>
      </c>
    </row>
    <row r="418" spans="1:10" x14ac:dyDescent="0.45">
      <c r="A418">
        <v>410</v>
      </c>
      <c r="B418">
        <v>131.23868643545381</v>
      </c>
      <c r="I418">
        <f>SMALL(SimDataTRI!$B$9:$B$508,407)</f>
        <v>106.71802979781248</v>
      </c>
      <c r="J418">
        <f>IF(COUNT(J12:J417)&gt;=COUNT(SimDataTRI!$B$9:$B$508),NA(),1/(COUNT(SimDataTRI!$B$9:$B$508)-1)+J417)</f>
        <v>0.81362725450901874</v>
      </c>
    </row>
    <row r="419" spans="1:10" x14ac:dyDescent="0.45">
      <c r="A419">
        <v>411</v>
      </c>
      <c r="B419">
        <v>81.339466764887405</v>
      </c>
      <c r="I419">
        <f>SMALL(SimDataTRI!$B$9:$B$508,408)</f>
        <v>106.95309961124971</v>
      </c>
      <c r="J419">
        <f>IF(COUNT(J12:J418)&gt;=COUNT(SimDataTRI!$B$9:$B$508),NA(),1/(COUNT(SimDataTRI!$B$9:$B$508)-1)+J418)</f>
        <v>0.8156312625250508</v>
      </c>
    </row>
    <row r="420" spans="1:10" x14ac:dyDescent="0.45">
      <c r="A420">
        <v>412</v>
      </c>
      <c r="B420">
        <v>99.097226743442945</v>
      </c>
      <c r="I420">
        <f>SMALL(SimDataTRI!$B$9:$B$508,409)</f>
        <v>107.2773150145462</v>
      </c>
      <c r="J420">
        <f>IF(COUNT(J12:J419)&gt;=COUNT(SimDataTRI!$B$9:$B$508),NA(),1/(COUNT(SimDataTRI!$B$9:$B$508)-1)+J419)</f>
        <v>0.81763527054108287</v>
      </c>
    </row>
    <row r="421" spans="1:10" x14ac:dyDescent="0.45">
      <c r="A421">
        <v>413</v>
      </c>
      <c r="B421">
        <v>81.873860616805061</v>
      </c>
      <c r="I421">
        <f>SMALL(SimDataTRI!$B$9:$B$508,410)</f>
        <v>107.40164744976174</v>
      </c>
      <c r="J421">
        <f>IF(COUNT(J12:J420)&gt;=COUNT(SimDataTRI!$B$9:$B$508),NA(),1/(COUNT(SimDataTRI!$B$9:$B$508)-1)+J420)</f>
        <v>0.81963927855711494</v>
      </c>
    </row>
    <row r="422" spans="1:10" x14ac:dyDescent="0.45">
      <c r="A422">
        <v>414</v>
      </c>
      <c r="B422">
        <v>79.926184808599075</v>
      </c>
      <c r="I422">
        <f>SMALL(SimDataTRI!$B$9:$B$508,411)</f>
        <v>107.75847215675478</v>
      </c>
      <c r="J422">
        <f>IF(COUNT(J12:J421)&gt;=COUNT(SimDataTRI!$B$9:$B$508),NA(),1/(COUNT(SimDataTRI!$B$9:$B$508)-1)+J421)</f>
        <v>0.821643286573147</v>
      </c>
    </row>
    <row r="423" spans="1:10" x14ac:dyDescent="0.45">
      <c r="A423">
        <v>415</v>
      </c>
      <c r="B423">
        <v>62.411732026104346</v>
      </c>
      <c r="I423">
        <f>SMALL(SimDataTRI!$B$9:$B$508,412)</f>
        <v>108.02002312130469</v>
      </c>
      <c r="J423">
        <f>IF(COUNT(J12:J422)&gt;=COUNT(SimDataTRI!$B$9:$B$508),NA(),1/(COUNT(SimDataTRI!$B$9:$B$508)-1)+J422)</f>
        <v>0.82364729458917907</v>
      </c>
    </row>
    <row r="424" spans="1:10" x14ac:dyDescent="0.45">
      <c r="A424">
        <v>416</v>
      </c>
      <c r="B424">
        <v>61.736160914649346</v>
      </c>
      <c r="I424">
        <f>SMALL(SimDataTRI!$B$9:$B$508,413)</f>
        <v>108.14559984038084</v>
      </c>
      <c r="J424">
        <f>IF(COUNT(J12:J423)&gt;=COUNT(SimDataTRI!$B$9:$B$508),NA(),1/(COUNT(SimDataTRI!$B$9:$B$508)-1)+J423)</f>
        <v>0.82565130260521113</v>
      </c>
    </row>
    <row r="425" spans="1:10" x14ac:dyDescent="0.45">
      <c r="A425">
        <v>417</v>
      </c>
      <c r="B425">
        <v>49.003043627599425</v>
      </c>
      <c r="I425">
        <f>SMALL(SimDataTRI!$B$9:$B$508,414)</f>
        <v>108.30424185410678</v>
      </c>
      <c r="J425">
        <f>IF(COUNT(J12:J424)&gt;=COUNT(SimDataTRI!$B$9:$B$508),NA(),1/(COUNT(SimDataTRI!$B$9:$B$508)-1)+J424)</f>
        <v>0.8276553106212432</v>
      </c>
    </row>
    <row r="426" spans="1:10" x14ac:dyDescent="0.45">
      <c r="A426">
        <v>418</v>
      </c>
      <c r="B426">
        <v>47.715545868933731</v>
      </c>
      <c r="I426">
        <f>SMALL(SimDataTRI!$B$9:$B$508,415)</f>
        <v>108.73931572307437</v>
      </c>
      <c r="J426">
        <f>IF(COUNT(J12:J425)&gt;=COUNT(SimDataTRI!$B$9:$B$508),NA(),1/(COUNT(SimDataTRI!$B$9:$B$508)-1)+J425)</f>
        <v>0.82965931863727527</v>
      </c>
    </row>
    <row r="427" spans="1:10" x14ac:dyDescent="0.45">
      <c r="A427">
        <v>419</v>
      </c>
      <c r="B427">
        <v>86.931747797598604</v>
      </c>
      <c r="I427">
        <f>SMALL(SimDataTRI!$B$9:$B$508,416)</f>
        <v>108.80533510382782</v>
      </c>
      <c r="J427">
        <f>IF(COUNT(J12:J426)&gt;=COUNT(SimDataTRI!$B$9:$B$508),NA(),1/(COUNT(SimDataTRI!$B$9:$B$508)-1)+J426)</f>
        <v>0.83166332665330733</v>
      </c>
    </row>
    <row r="428" spans="1:10" x14ac:dyDescent="0.45">
      <c r="A428">
        <v>420</v>
      </c>
      <c r="B428">
        <v>143.13120851378105</v>
      </c>
      <c r="I428">
        <f>SMALL(SimDataTRI!$B$9:$B$508,417)</f>
        <v>109.01230342228116</v>
      </c>
      <c r="J428">
        <f>IF(COUNT(J12:J427)&gt;=COUNT(SimDataTRI!$B$9:$B$508),NA(),1/(COUNT(SimDataTRI!$B$9:$B$508)-1)+J427)</f>
        <v>0.8336673346693394</v>
      </c>
    </row>
    <row r="429" spans="1:10" x14ac:dyDescent="0.45">
      <c r="A429">
        <v>421</v>
      </c>
      <c r="B429">
        <v>72.502708712780361</v>
      </c>
      <c r="I429">
        <f>SMALL(SimDataTRI!$B$9:$B$508,418)</f>
        <v>109.36915050664743</v>
      </c>
      <c r="J429">
        <f>IF(COUNT(J12:J428)&gt;=COUNT(SimDataTRI!$B$9:$B$508),NA(),1/(COUNT(SimDataTRI!$B$9:$B$508)-1)+J428)</f>
        <v>0.83567134268537147</v>
      </c>
    </row>
    <row r="430" spans="1:10" x14ac:dyDescent="0.45">
      <c r="A430">
        <v>422</v>
      </c>
      <c r="B430">
        <v>49.915109913425326</v>
      </c>
      <c r="I430">
        <f>SMALL(SimDataTRI!$B$9:$B$508,419)</f>
        <v>109.52246108453187</v>
      </c>
      <c r="J430">
        <f>IF(COUNT(J12:J429)&gt;=COUNT(SimDataTRI!$B$9:$B$508),NA(),1/(COUNT(SimDataTRI!$B$9:$B$508)-1)+J429)</f>
        <v>0.83767535070140353</v>
      </c>
    </row>
    <row r="431" spans="1:10" x14ac:dyDescent="0.45">
      <c r="A431">
        <v>423</v>
      </c>
      <c r="B431">
        <v>104.15984408149828</v>
      </c>
      <c r="I431">
        <f>SMALL(SimDataTRI!$B$9:$B$508,420)</f>
        <v>109.86609411877942</v>
      </c>
      <c r="J431">
        <f>IF(COUNT(J12:J430)&gt;=COUNT(SimDataTRI!$B$9:$B$508),NA(),1/(COUNT(SimDataTRI!$B$9:$B$508)-1)+J430)</f>
        <v>0.8396793587174356</v>
      </c>
    </row>
    <row r="432" spans="1:10" x14ac:dyDescent="0.45">
      <c r="A432">
        <v>424</v>
      </c>
      <c r="B432">
        <v>56.276641227664854</v>
      </c>
      <c r="I432">
        <f>SMALL(SimDataTRI!$B$9:$B$508,421)</f>
        <v>110.11800862114724</v>
      </c>
      <c r="J432">
        <f>IF(COUNT(J12:J431)&gt;=COUNT(SimDataTRI!$B$9:$B$508),NA(),1/(COUNT(SimDataTRI!$B$9:$B$508)-1)+J431)</f>
        <v>0.84168336673346766</v>
      </c>
    </row>
    <row r="433" spans="1:10" x14ac:dyDescent="0.45">
      <c r="A433">
        <v>425</v>
      </c>
      <c r="B433">
        <v>120.20434580979057</v>
      </c>
      <c r="I433">
        <f>SMALL(SimDataTRI!$B$9:$B$508,422)</f>
        <v>110.23095224061726</v>
      </c>
      <c r="J433">
        <f>IF(COUNT(J12:J432)&gt;=COUNT(SimDataTRI!$B$9:$B$508),NA(),1/(COUNT(SimDataTRI!$B$9:$B$508)-1)+J432)</f>
        <v>0.84368737474949973</v>
      </c>
    </row>
    <row r="434" spans="1:10" x14ac:dyDescent="0.45">
      <c r="A434">
        <v>426</v>
      </c>
      <c r="B434">
        <v>36.672948582129237</v>
      </c>
      <c r="I434">
        <f>SMALL(SimDataTRI!$B$9:$B$508,423)</f>
        <v>110.70377256498297</v>
      </c>
      <c r="J434">
        <f>IF(COUNT(J12:J433)&gt;=COUNT(SimDataTRI!$B$9:$B$508),NA(),1/(COUNT(SimDataTRI!$B$9:$B$508)-1)+J433)</f>
        <v>0.8456913827655318</v>
      </c>
    </row>
    <row r="435" spans="1:10" x14ac:dyDescent="0.45">
      <c r="A435">
        <v>427</v>
      </c>
      <c r="B435">
        <v>92.450389372650761</v>
      </c>
      <c r="I435">
        <f>SMALL(SimDataTRI!$B$9:$B$508,424)</f>
        <v>110.75998356275574</v>
      </c>
      <c r="J435">
        <f>IF(COUNT(J12:J434)&gt;=COUNT(SimDataTRI!$B$9:$B$508),NA(),1/(COUNT(SimDataTRI!$B$9:$B$508)-1)+J434)</f>
        <v>0.84769539078156386</v>
      </c>
    </row>
    <row r="436" spans="1:10" x14ac:dyDescent="0.45">
      <c r="A436">
        <v>428</v>
      </c>
      <c r="B436">
        <v>48.82079653720735</v>
      </c>
      <c r="I436">
        <f>SMALL(SimDataTRI!$B$9:$B$508,425)</f>
        <v>111.05774778664031</v>
      </c>
      <c r="J436">
        <f>IF(COUNT(J12:J435)&gt;=COUNT(SimDataTRI!$B$9:$B$508),NA(),1/(COUNT(SimDataTRI!$B$9:$B$508)-1)+J435)</f>
        <v>0.84969939879759593</v>
      </c>
    </row>
    <row r="437" spans="1:10" x14ac:dyDescent="0.45">
      <c r="A437">
        <v>429</v>
      </c>
      <c r="B437">
        <v>113.34575085097407</v>
      </c>
      <c r="I437">
        <f>SMALL(SimDataTRI!$B$9:$B$508,426)</f>
        <v>111.28605886431546</v>
      </c>
      <c r="J437">
        <f>IF(COUNT(J12:J436)&gt;=COUNT(SimDataTRI!$B$9:$B$508),NA(),1/(COUNT(SimDataTRI!$B$9:$B$508)-1)+J436)</f>
        <v>0.85170340681362799</v>
      </c>
    </row>
    <row r="438" spans="1:10" x14ac:dyDescent="0.45">
      <c r="A438">
        <v>430</v>
      </c>
      <c r="B438">
        <v>79.000321846093556</v>
      </c>
      <c r="I438">
        <f>SMALL(SimDataTRI!$B$9:$B$508,427)</f>
        <v>111.71712978750209</v>
      </c>
      <c r="J438">
        <f>IF(COUNT(J12:J437)&gt;=COUNT(SimDataTRI!$B$9:$B$508),NA(),1/(COUNT(SimDataTRI!$B$9:$B$508)-1)+J437)</f>
        <v>0.85370741482966006</v>
      </c>
    </row>
    <row r="439" spans="1:10" x14ac:dyDescent="0.45">
      <c r="A439">
        <v>431</v>
      </c>
      <c r="B439">
        <v>111.28605886431546</v>
      </c>
      <c r="I439">
        <f>SMALL(SimDataTRI!$B$9:$B$508,428)</f>
        <v>111.80423972274025</v>
      </c>
      <c r="J439">
        <f>IF(COUNT(J12:J438)&gt;=COUNT(SimDataTRI!$B$9:$B$508),NA(),1/(COUNT(SimDataTRI!$B$9:$B$508)-1)+J438)</f>
        <v>0.85571142284569213</v>
      </c>
    </row>
    <row r="440" spans="1:10" x14ac:dyDescent="0.45">
      <c r="A440">
        <v>432</v>
      </c>
      <c r="B440">
        <v>56.067360803606213</v>
      </c>
      <c r="I440">
        <f>SMALL(SimDataTRI!$B$9:$B$508,429)</f>
        <v>112.03837468606002</v>
      </c>
      <c r="J440">
        <f>IF(COUNT(J12:J439)&gt;=COUNT(SimDataTRI!$B$9:$B$508),NA(),1/(COUNT(SimDataTRI!$B$9:$B$508)-1)+J439)</f>
        <v>0.85771543086172419</v>
      </c>
    </row>
    <row r="441" spans="1:10" x14ac:dyDescent="0.45">
      <c r="A441">
        <v>433</v>
      </c>
      <c r="B441">
        <v>63.02254100118499</v>
      </c>
      <c r="I441">
        <f>SMALL(SimDataTRI!$B$9:$B$508,430)</f>
        <v>112.40639597068335</v>
      </c>
      <c r="J441">
        <f>IF(COUNT(J12:J440)&gt;=COUNT(SimDataTRI!$B$9:$B$508),NA(),1/(COUNT(SimDataTRI!$B$9:$B$508)-1)+J440)</f>
        <v>0.85971943887775626</v>
      </c>
    </row>
    <row r="442" spans="1:10" x14ac:dyDescent="0.45">
      <c r="A442">
        <v>434</v>
      </c>
      <c r="B442">
        <v>70.162581157235394</v>
      </c>
      <c r="I442">
        <f>SMALL(SimDataTRI!$B$9:$B$508,431)</f>
        <v>112.79722106251343</v>
      </c>
      <c r="J442">
        <f>IF(COUNT(J12:J441)&gt;=COUNT(SimDataTRI!$B$9:$B$508),NA(),1/(COUNT(SimDataTRI!$B$9:$B$508)-1)+J441)</f>
        <v>0.86172344689378833</v>
      </c>
    </row>
    <row r="443" spans="1:10" x14ac:dyDescent="0.45">
      <c r="A443">
        <v>435</v>
      </c>
      <c r="B443">
        <v>48.095308897786239</v>
      </c>
      <c r="I443">
        <f>SMALL(SimDataTRI!$B$9:$B$508,432)</f>
        <v>113.10266450485491</v>
      </c>
      <c r="J443">
        <f>IF(COUNT(J12:J442)&gt;=COUNT(SimDataTRI!$B$9:$B$508),NA(),1/(COUNT(SimDataTRI!$B$9:$B$508)-1)+J442)</f>
        <v>0.86372745490982039</v>
      </c>
    </row>
    <row r="444" spans="1:10" x14ac:dyDescent="0.45">
      <c r="A444">
        <v>436</v>
      </c>
      <c r="B444">
        <v>53.617765996983302</v>
      </c>
      <c r="I444">
        <f>SMALL(SimDataTRI!$B$9:$B$508,433)</f>
        <v>113.34575085097407</v>
      </c>
      <c r="J444">
        <f>IF(COUNT(J12:J443)&gt;=COUNT(SimDataTRI!$B$9:$B$508),NA(),1/(COUNT(SimDataTRI!$B$9:$B$508)-1)+J443)</f>
        <v>0.86573146292585246</v>
      </c>
    </row>
    <row r="445" spans="1:10" x14ac:dyDescent="0.45">
      <c r="A445">
        <v>437</v>
      </c>
      <c r="B445">
        <v>83.632594259764517</v>
      </c>
      <c r="I445">
        <f>SMALL(SimDataTRI!$B$9:$B$508,434)</f>
        <v>113.63809398238375</v>
      </c>
      <c r="J445">
        <f>IF(COUNT(J12:J444)&gt;=COUNT(SimDataTRI!$B$9:$B$508),NA(),1/(COUNT(SimDataTRI!$B$9:$B$508)-1)+J444)</f>
        <v>0.86773547094188452</v>
      </c>
    </row>
    <row r="446" spans="1:10" x14ac:dyDescent="0.45">
      <c r="A446">
        <v>438</v>
      </c>
      <c r="B446">
        <v>55.936741262439185</v>
      </c>
      <c r="I446">
        <f>SMALL(SimDataTRI!$B$9:$B$508,435)</f>
        <v>113.88020333919022</v>
      </c>
      <c r="J446">
        <f>IF(COUNT(J12:J445)&gt;=COUNT(SimDataTRI!$B$9:$B$508),NA(),1/(COUNT(SimDataTRI!$B$9:$B$508)-1)+J445)</f>
        <v>0.86973947895791659</v>
      </c>
    </row>
    <row r="447" spans="1:10" x14ac:dyDescent="0.45">
      <c r="A447">
        <v>439</v>
      </c>
      <c r="B447">
        <v>62.709713346831506</v>
      </c>
      <c r="I447">
        <f>SMALL(SimDataTRI!$B$9:$B$508,436)</f>
        <v>114.0747625657703</v>
      </c>
      <c r="J447">
        <f>IF(COUNT(J12:J446)&gt;=COUNT(SimDataTRI!$B$9:$B$508),NA(),1/(COUNT(SimDataTRI!$B$9:$B$508)-1)+J446)</f>
        <v>0.87174348697394866</v>
      </c>
    </row>
    <row r="448" spans="1:10" x14ac:dyDescent="0.45">
      <c r="A448">
        <v>440</v>
      </c>
      <c r="B448">
        <v>56.961065569133766</v>
      </c>
      <c r="I448">
        <f>SMALL(SimDataTRI!$B$9:$B$508,437)</f>
        <v>114.34717091258875</v>
      </c>
      <c r="J448">
        <f>IF(COUNT(J12:J447)&gt;=COUNT(SimDataTRI!$B$9:$B$508),NA(),1/(COUNT(SimDataTRI!$B$9:$B$508)-1)+J447)</f>
        <v>0.87374749498998072</v>
      </c>
    </row>
    <row r="449" spans="1:10" x14ac:dyDescent="0.45">
      <c r="A449">
        <v>441</v>
      </c>
      <c r="B449">
        <v>93.991850865329241</v>
      </c>
      <c r="I449">
        <f>SMALL(SimDataTRI!$B$9:$B$508,438)</f>
        <v>114.7674192019642</v>
      </c>
      <c r="J449">
        <f>IF(COUNT(J12:J448)&gt;=COUNT(SimDataTRI!$B$9:$B$508),NA(),1/(COUNT(SimDataTRI!$B$9:$B$508)-1)+J448)</f>
        <v>0.87575150300601279</v>
      </c>
    </row>
    <row r="450" spans="1:10" x14ac:dyDescent="0.45">
      <c r="A450">
        <v>442</v>
      </c>
      <c r="B450">
        <v>111.05774778664031</v>
      </c>
      <c r="I450">
        <f>SMALL(SimDataTRI!$B$9:$B$508,439)</f>
        <v>114.9672226433938</v>
      </c>
      <c r="J450">
        <f>IF(COUNT(J12:J449)&gt;=COUNT(SimDataTRI!$B$9:$B$508),NA(),1/(COUNT(SimDataTRI!$B$9:$B$508)-1)+J449)</f>
        <v>0.87775551102204485</v>
      </c>
    </row>
    <row r="451" spans="1:10" x14ac:dyDescent="0.45">
      <c r="A451">
        <v>443</v>
      </c>
      <c r="B451">
        <v>59.150901590712905</v>
      </c>
      <c r="I451">
        <f>SMALL(SimDataTRI!$B$9:$B$508,440)</f>
        <v>115.2714392104495</v>
      </c>
      <c r="J451">
        <f>IF(COUNT(J12:J450)&gt;=COUNT(SimDataTRI!$B$9:$B$508),NA(),1/(COUNT(SimDataTRI!$B$9:$B$508)-1)+J450)</f>
        <v>0.87975951903807692</v>
      </c>
    </row>
    <row r="452" spans="1:10" x14ac:dyDescent="0.45">
      <c r="A452">
        <v>444</v>
      </c>
      <c r="B452">
        <v>88.570388905606222</v>
      </c>
      <c r="I452">
        <f>SMALL(SimDataTRI!$B$9:$B$508,441)</f>
        <v>115.5442062770292</v>
      </c>
      <c r="J452">
        <f>IF(COUNT(J12:J451)&gt;=COUNT(SimDataTRI!$B$9:$B$508),NA(),1/(COUNT(SimDataTRI!$B$9:$B$508)-1)+J451)</f>
        <v>0.88176352705410899</v>
      </c>
    </row>
    <row r="453" spans="1:10" x14ac:dyDescent="0.45">
      <c r="A453">
        <v>445</v>
      </c>
      <c r="B453">
        <v>48.686958969556429</v>
      </c>
      <c r="I453">
        <f>SMALL(SimDataTRI!$B$9:$B$508,442)</f>
        <v>115.72695136444986</v>
      </c>
      <c r="J453">
        <f>IF(COUNT(J12:J452)&gt;=COUNT(SimDataTRI!$B$9:$B$508),NA(),1/(COUNT(SimDataTRI!$B$9:$B$508)-1)+J452)</f>
        <v>0.88376753507014105</v>
      </c>
    </row>
    <row r="454" spans="1:10" x14ac:dyDescent="0.45">
      <c r="A454">
        <v>446</v>
      </c>
      <c r="B454">
        <v>54.439042635840771</v>
      </c>
      <c r="I454">
        <f>SMALL(SimDataTRI!$B$9:$B$508,443)</f>
        <v>115.94991987041863</v>
      </c>
      <c r="J454">
        <f>IF(COUNT(J12:J453)&gt;=COUNT(SimDataTRI!$B$9:$B$508),NA(),1/(COUNT(SimDataTRI!$B$9:$B$508)-1)+J453)</f>
        <v>0.88577154308617312</v>
      </c>
    </row>
    <row r="455" spans="1:10" x14ac:dyDescent="0.45">
      <c r="A455">
        <v>447</v>
      </c>
      <c r="B455">
        <v>95.023273614214929</v>
      </c>
      <c r="I455">
        <f>SMALL(SimDataTRI!$B$9:$B$508,444)</f>
        <v>116.36617209041016</v>
      </c>
      <c r="J455">
        <f>IF(COUNT(J12:J454)&gt;=COUNT(SimDataTRI!$B$9:$B$508),NA(),1/(COUNT(SimDataTRI!$B$9:$B$508)-1)+J454)</f>
        <v>0.88777555110220518</v>
      </c>
    </row>
    <row r="456" spans="1:10" x14ac:dyDescent="0.45">
      <c r="A456">
        <v>448</v>
      </c>
      <c r="B456">
        <v>25.495316091712915</v>
      </c>
      <c r="I456">
        <f>SMALL(SimDataTRI!$B$9:$B$508,445)</f>
        <v>116.52348071988609</v>
      </c>
      <c r="J456">
        <f>IF(COUNT(J12:J455)&gt;=COUNT(SimDataTRI!$B$9:$B$508),NA(),1/(COUNT(SimDataTRI!$B$9:$B$508)-1)+J455)</f>
        <v>0.88977955911823725</v>
      </c>
    </row>
    <row r="457" spans="1:10" x14ac:dyDescent="0.45">
      <c r="A457">
        <v>449</v>
      </c>
      <c r="B457">
        <v>67.887534115269489</v>
      </c>
      <c r="I457">
        <f>SMALL(SimDataTRI!$B$9:$B$508,446)</f>
        <v>116.88558185023744</v>
      </c>
      <c r="J457">
        <f>IF(COUNT(J12:J456)&gt;=COUNT(SimDataTRI!$B$9:$B$508),NA(),1/(COUNT(SimDataTRI!$B$9:$B$508)-1)+J456)</f>
        <v>0.89178356713426932</v>
      </c>
    </row>
    <row r="458" spans="1:10" x14ac:dyDescent="0.45">
      <c r="A458">
        <v>450</v>
      </c>
      <c r="B458">
        <v>70.546098538223944</v>
      </c>
      <c r="I458">
        <f>SMALL(SimDataTRI!$B$9:$B$508,447)</f>
        <v>117.17015767606682</v>
      </c>
      <c r="J458">
        <f>IF(COUNT(J12:J457)&gt;=COUNT(SimDataTRI!$B$9:$B$508),NA(),1/(COUNT(SimDataTRI!$B$9:$B$508)-1)+J457)</f>
        <v>0.89378757515030138</v>
      </c>
    </row>
    <row r="459" spans="1:10" x14ac:dyDescent="0.45">
      <c r="A459">
        <v>451</v>
      </c>
      <c r="B459">
        <v>85.413235775854545</v>
      </c>
      <c r="I459">
        <f>SMALL(SimDataTRI!$B$9:$B$508,448)</f>
        <v>117.52700585082309</v>
      </c>
      <c r="J459">
        <f>IF(COUNT(J12:J458)&gt;=COUNT(SimDataTRI!$B$9:$B$508),NA(),1/(COUNT(SimDataTRI!$B$9:$B$508)-1)+J458)</f>
        <v>0.89579158316633345</v>
      </c>
    </row>
    <row r="460" spans="1:10" x14ac:dyDescent="0.45">
      <c r="A460">
        <v>452</v>
      </c>
      <c r="B460">
        <v>84.696799673055722</v>
      </c>
      <c r="I460">
        <f>SMALL(SimDataTRI!$B$9:$B$508,449)</f>
        <v>117.78609807460552</v>
      </c>
      <c r="J460">
        <f>IF(COUNT(J12:J459)&gt;=COUNT(SimDataTRI!$B$9:$B$508),NA(),1/(COUNT(SimDataTRI!$B$9:$B$508)-1)+J459)</f>
        <v>0.89779559118236552</v>
      </c>
    </row>
    <row r="461" spans="1:10" x14ac:dyDescent="0.45">
      <c r="A461">
        <v>453</v>
      </c>
      <c r="B461">
        <v>78.429308027740888</v>
      </c>
      <c r="I461">
        <f>SMALL(SimDataTRI!$B$9:$B$508,450)</f>
        <v>118.26043382592195</v>
      </c>
      <c r="J461">
        <f>IF(COUNT(J12:J460)&gt;=COUNT(SimDataTRI!$B$9:$B$508),NA(),1/(COUNT(SimDataTRI!$B$9:$B$508)-1)+J460)</f>
        <v>0.89979959919839758</v>
      </c>
    </row>
    <row r="462" spans="1:10" x14ac:dyDescent="0.45">
      <c r="A462">
        <v>454</v>
      </c>
      <c r="B462">
        <v>58.416348767588538</v>
      </c>
      <c r="I462">
        <f>SMALL(SimDataTRI!$B$9:$B$508,451)</f>
        <v>118.409897643085</v>
      </c>
      <c r="J462">
        <f>IF(COUNT(J12:J461)&gt;=COUNT(SimDataTRI!$B$9:$B$508),NA(),1/(COUNT(SimDataTRI!$B$9:$B$508)-1)+J461)</f>
        <v>0.90180360721442965</v>
      </c>
    </row>
    <row r="463" spans="1:10" x14ac:dyDescent="0.45">
      <c r="A463">
        <v>455</v>
      </c>
      <c r="B463">
        <v>84.361372155973584</v>
      </c>
      <c r="I463">
        <f>SMALL(SimDataTRI!$B$9:$B$508,452)</f>
        <v>118.79373980000183</v>
      </c>
      <c r="J463">
        <f>IF(COUNT(J12:J462)&gt;=COUNT(SimDataTRI!$B$9:$B$508),NA(),1/(COUNT(SimDataTRI!$B$9:$B$508)-1)+J462)</f>
        <v>0.90380761523046171</v>
      </c>
    </row>
    <row r="464" spans="1:10" x14ac:dyDescent="0.45">
      <c r="A464">
        <v>456</v>
      </c>
      <c r="B464">
        <v>107.75847215675478</v>
      </c>
      <c r="I464">
        <f>SMALL(SimDataTRI!$B$9:$B$508,453)</f>
        <v>119.23337227885892</v>
      </c>
      <c r="J464">
        <f>IF(COUNT(J12:J463)&gt;=COUNT(SimDataTRI!$B$9:$B$508),NA(),1/(COUNT(SimDataTRI!$B$9:$B$508)-1)+J463)</f>
        <v>0.90581162324649378</v>
      </c>
    </row>
    <row r="465" spans="1:10" x14ac:dyDescent="0.45">
      <c r="A465">
        <v>457</v>
      </c>
      <c r="B465">
        <v>68.933052326728486</v>
      </c>
      <c r="I465">
        <f>SMALL(SimDataTRI!$B$9:$B$508,454)</f>
        <v>119.60332981595009</v>
      </c>
      <c r="J465">
        <f>IF(COUNT(J12:J464)&gt;=COUNT(SimDataTRI!$B$9:$B$508),NA(),1/(COUNT(SimDataTRI!$B$9:$B$508)-1)+J464)</f>
        <v>0.90781563126252585</v>
      </c>
    </row>
    <row r="466" spans="1:10" x14ac:dyDescent="0.45">
      <c r="A466">
        <v>458</v>
      </c>
      <c r="B466">
        <v>100.87060681590057</v>
      </c>
      <c r="I466">
        <f>SMALL(SimDataTRI!$B$9:$B$508,455)</f>
        <v>119.77538241919615</v>
      </c>
      <c r="J466">
        <f>IF(COUNT(J12:J465)&gt;=COUNT(SimDataTRI!$B$9:$B$508),NA(),1/(COUNT(SimDataTRI!$B$9:$B$508)-1)+J465)</f>
        <v>0.90981963927855791</v>
      </c>
    </row>
    <row r="467" spans="1:10" x14ac:dyDescent="0.45">
      <c r="A467">
        <v>459</v>
      </c>
      <c r="B467">
        <v>88.999005856705566</v>
      </c>
      <c r="I467">
        <f>SMALL(SimDataTRI!$B$9:$B$508,456)</f>
        <v>120.20434580979057</v>
      </c>
      <c r="J467">
        <f>IF(COUNT(J12:J466)&gt;=COUNT(SimDataTRI!$B$9:$B$508),NA(),1/(COUNT(SimDataTRI!$B$9:$B$508)-1)+J466)</f>
        <v>0.91182364729458998</v>
      </c>
    </row>
    <row r="468" spans="1:10" x14ac:dyDescent="0.45">
      <c r="A468">
        <v>460</v>
      </c>
      <c r="B468">
        <v>77.552018614447263</v>
      </c>
      <c r="I468">
        <f>SMALL(SimDataTRI!$B$9:$B$508,457)</f>
        <v>120.59573136147347</v>
      </c>
      <c r="J468">
        <f>IF(COUNT(J12:J467)&gt;=COUNT(SimDataTRI!$B$9:$B$508),NA(),1/(COUNT(SimDataTRI!$B$9:$B$508)-1)+J467)</f>
        <v>0.91382765531062204</v>
      </c>
    </row>
    <row r="469" spans="1:10" x14ac:dyDescent="0.45">
      <c r="A469">
        <v>461</v>
      </c>
      <c r="B469">
        <v>139.83223547422705</v>
      </c>
      <c r="I469">
        <f>SMALL(SimDataTRI!$B$9:$B$508,458)</f>
        <v>120.8793984067438</v>
      </c>
      <c r="J469">
        <f>IF(COUNT(J12:J468)&gt;=COUNT(SimDataTRI!$B$9:$B$508),NA(),1/(COUNT(SimDataTRI!$B$9:$B$508)-1)+J468)</f>
        <v>0.91583166332665411</v>
      </c>
    </row>
    <row r="470" spans="1:10" x14ac:dyDescent="0.45">
      <c r="A470">
        <v>462</v>
      </c>
      <c r="B470">
        <v>77.182310145745873</v>
      </c>
      <c r="I470">
        <f>SMALL(SimDataTRI!$B$9:$B$508,459)</f>
        <v>121.07195222761922</v>
      </c>
      <c r="J470">
        <f>IF(COUNT(J12:J469)&gt;=COUNT(SimDataTRI!$B$9:$B$508),NA(),1/(COUNT(SimDataTRI!$B$9:$B$508)-1)+J469)</f>
        <v>0.91783567134268618</v>
      </c>
    </row>
    <row r="471" spans="1:10" x14ac:dyDescent="0.45">
      <c r="A471">
        <v>463</v>
      </c>
      <c r="B471">
        <v>52.035559928284009</v>
      </c>
      <c r="I471">
        <f>SMALL(SimDataTRI!$B$9:$B$508,460)</f>
        <v>121.6250911892665</v>
      </c>
      <c r="J471">
        <f>IF(COUNT(J12:J470)&gt;=COUNT(SimDataTRI!$B$9:$B$508),NA(),1/(COUNT(SimDataTRI!$B$9:$B$508)-1)+J470)</f>
        <v>0.91983967935871824</v>
      </c>
    </row>
    <row r="472" spans="1:10" x14ac:dyDescent="0.45">
      <c r="A472">
        <v>464</v>
      </c>
      <c r="B472">
        <v>74.220674991491052</v>
      </c>
      <c r="I472">
        <f>SMALL(SimDataTRI!$B$9:$B$508,461)</f>
        <v>121.9292699459679</v>
      </c>
      <c r="J472">
        <f>IF(COUNT(J12:J471)&gt;=COUNT(SimDataTRI!$B$9:$B$508),NA(),1/(COUNT(SimDataTRI!$B$9:$B$508)-1)+J471)</f>
        <v>0.92184368737475031</v>
      </c>
    </row>
    <row r="473" spans="1:10" x14ac:dyDescent="0.45">
      <c r="A473">
        <v>465</v>
      </c>
      <c r="B473">
        <v>29.997495500860261</v>
      </c>
      <c r="I473">
        <f>SMALL(SimDataTRI!$B$9:$B$508,462)</f>
        <v>122.39305786681163</v>
      </c>
      <c r="J473">
        <f>IF(COUNT(J12:J472)&gt;=COUNT(SimDataTRI!$B$9:$B$508),NA(),1/(COUNT(SimDataTRI!$B$9:$B$508)-1)+J472)</f>
        <v>0.92384769539078238</v>
      </c>
    </row>
    <row r="474" spans="1:10" x14ac:dyDescent="0.45">
      <c r="A474">
        <v>466</v>
      </c>
      <c r="B474">
        <v>123.1456102278338</v>
      </c>
      <c r="I474">
        <f>SMALL(SimDataTRI!$B$9:$B$508,463)</f>
        <v>122.59880109156191</v>
      </c>
      <c r="J474">
        <f>IF(COUNT(J12:J473)&gt;=COUNT(SimDataTRI!$B$9:$B$508),NA(),1/(COUNT(SimDataTRI!$B$9:$B$508)-1)+J473)</f>
        <v>0.92585170340681444</v>
      </c>
    </row>
    <row r="475" spans="1:10" x14ac:dyDescent="0.45">
      <c r="A475">
        <v>467</v>
      </c>
      <c r="B475">
        <v>99.368462742649399</v>
      </c>
      <c r="I475">
        <f>SMALL(SimDataTRI!$B$9:$B$508,464)</f>
        <v>123.1456102278338</v>
      </c>
      <c r="J475">
        <f>IF(COUNT(J12:J474)&gt;=COUNT(SimDataTRI!$B$9:$B$508),NA(),1/(COUNT(SimDataTRI!$B$9:$B$508)-1)+J474)</f>
        <v>0.92785571142284651</v>
      </c>
    </row>
    <row r="476" spans="1:10" x14ac:dyDescent="0.45">
      <c r="A476">
        <v>468</v>
      </c>
      <c r="B476">
        <v>81.484565307085447</v>
      </c>
      <c r="I476">
        <f>SMALL(SimDataTRI!$B$9:$B$508,465)</f>
        <v>123.48259614520428</v>
      </c>
      <c r="J476">
        <f>IF(COUNT(J12:J475)&gt;=COUNT(SimDataTRI!$B$9:$B$508),NA(),1/(COUNT(SimDataTRI!$B$9:$B$508)-1)+J475)</f>
        <v>0.92985971943887857</v>
      </c>
    </row>
    <row r="477" spans="1:10" x14ac:dyDescent="0.45">
      <c r="A477">
        <v>469</v>
      </c>
      <c r="B477">
        <v>85.096264743612764</v>
      </c>
      <c r="I477">
        <f>SMALL(SimDataTRI!$B$9:$B$508,466)</f>
        <v>123.62635380650801</v>
      </c>
      <c r="J477">
        <f>IF(COUNT(J12:J476)&gt;=COUNT(SimDataTRI!$B$9:$B$508),NA(),1/(COUNT(SimDataTRI!$B$9:$B$508)-1)+J476)</f>
        <v>0.93186372745491064</v>
      </c>
    </row>
    <row r="478" spans="1:10" x14ac:dyDescent="0.45">
      <c r="A478">
        <v>470</v>
      </c>
      <c r="B478">
        <v>60.663090310690926</v>
      </c>
      <c r="I478">
        <f>SMALL(SimDataTRI!$B$9:$B$508,467)</f>
        <v>124.08293584522487</v>
      </c>
      <c r="J478">
        <f>IF(COUNT(J12:J477)&gt;=COUNT(SimDataTRI!$B$9:$B$508),NA(),1/(COUNT(SimDataTRI!$B$9:$B$508)-1)+J477)</f>
        <v>0.93386773547094271</v>
      </c>
    </row>
    <row r="479" spans="1:10" x14ac:dyDescent="0.45">
      <c r="A479">
        <v>471</v>
      </c>
      <c r="B479">
        <v>64.799751898129358</v>
      </c>
      <c r="I479">
        <f>SMALL(SimDataTRI!$B$9:$B$508,468)</f>
        <v>124.43885398880882</v>
      </c>
      <c r="J479">
        <f>IF(COUNT(J12:J478)&gt;=COUNT(SimDataTRI!$B$9:$B$508),NA(),1/(COUNT(SimDataTRI!$B$9:$B$508)-1)+J478)</f>
        <v>0.93587174348697477</v>
      </c>
    </row>
    <row r="480" spans="1:10" x14ac:dyDescent="0.45">
      <c r="A480">
        <v>472</v>
      </c>
      <c r="B480">
        <v>28.135354511710386</v>
      </c>
      <c r="I480">
        <f>SMALL(SimDataTRI!$B$9:$B$508,469)</f>
        <v>125.07065871479222</v>
      </c>
      <c r="J480">
        <f>IF(COUNT(J12:J479)&gt;=COUNT(SimDataTRI!$B$9:$B$508),NA(),1/(COUNT(SimDataTRI!$B$9:$B$508)-1)+J479)</f>
        <v>0.93787575150300684</v>
      </c>
    </row>
    <row r="481" spans="1:10" x14ac:dyDescent="0.45">
      <c r="A481">
        <v>473</v>
      </c>
      <c r="B481">
        <v>105.7376347087795</v>
      </c>
      <c r="I481">
        <f>SMALL(SimDataTRI!$B$9:$B$508,470)</f>
        <v>125.46028959246928</v>
      </c>
      <c r="J481">
        <f>IF(COUNT(J12:J480)&gt;=COUNT(SimDataTRI!$B$9:$B$508),NA(),1/(COUNT(SimDataTRI!$B$9:$B$508)-1)+J480)</f>
        <v>0.9398797595190389</v>
      </c>
    </row>
    <row r="482" spans="1:10" x14ac:dyDescent="0.45">
      <c r="A482">
        <v>474</v>
      </c>
      <c r="B482">
        <v>126.60785509009729</v>
      </c>
      <c r="I482">
        <f>SMALL(SimDataTRI!$B$9:$B$508,471)</f>
        <v>125.51733381473107</v>
      </c>
      <c r="J482">
        <f>IF(COUNT(J12:J481)&gt;=COUNT(SimDataTRI!$B$9:$B$508),NA(),1/(COUNT(SimDataTRI!$B$9:$B$508)-1)+J481)</f>
        <v>0.94188376753507097</v>
      </c>
    </row>
    <row r="483" spans="1:10" x14ac:dyDescent="0.45">
      <c r="A483">
        <v>475</v>
      </c>
      <c r="B483">
        <v>85.585425066811354</v>
      </c>
      <c r="I483">
        <f>SMALL(SimDataTRI!$B$9:$B$508,472)</f>
        <v>125.92342106755093</v>
      </c>
      <c r="J483">
        <f>IF(COUNT(J12:J482)&gt;=COUNT(SimDataTRI!$B$9:$B$508),NA(),1/(COUNT(SimDataTRI!$B$9:$B$508)-1)+J482)</f>
        <v>0.94388777555110304</v>
      </c>
    </row>
    <row r="484" spans="1:10" x14ac:dyDescent="0.45">
      <c r="A484">
        <v>476</v>
      </c>
      <c r="B484">
        <v>91.049189610362362</v>
      </c>
      <c r="I484">
        <f>SMALL(SimDataTRI!$B$9:$B$508,473)</f>
        <v>126.60785509009729</v>
      </c>
      <c r="J484">
        <f>IF(COUNT(J12:J483)&gt;=COUNT(SimDataTRI!$B$9:$B$508),NA(),1/(COUNT(SimDataTRI!$B$9:$B$508)-1)+J483)</f>
        <v>0.9458917835671351</v>
      </c>
    </row>
    <row r="485" spans="1:10" x14ac:dyDescent="0.45">
      <c r="A485">
        <v>477</v>
      </c>
      <c r="B485">
        <v>50.277382348978037</v>
      </c>
      <c r="I485">
        <f>SMALL(SimDataTRI!$B$9:$B$508,474)</f>
        <v>126.78297954479092</v>
      </c>
      <c r="J485">
        <f>IF(COUNT(J12:J484)&gt;=COUNT(SimDataTRI!$B$9:$B$508),NA(),1/(COUNT(SimDataTRI!$B$9:$B$508)-1)+J484)</f>
        <v>0.94789579158316717</v>
      </c>
    </row>
    <row r="486" spans="1:10" x14ac:dyDescent="0.45">
      <c r="A486">
        <v>478</v>
      </c>
      <c r="B486">
        <v>95.915009672740723</v>
      </c>
      <c r="I486">
        <f>SMALL(SimDataTRI!$B$9:$B$508,475)</f>
        <v>127.2509390335581</v>
      </c>
      <c r="J486">
        <f>IF(COUNT(J12:J485)&gt;=COUNT(SimDataTRI!$B$9:$B$508),NA(),1/(COUNT(SimDataTRI!$B$9:$B$508)-1)+J485)</f>
        <v>0.94989979959919923</v>
      </c>
    </row>
    <row r="487" spans="1:10" x14ac:dyDescent="0.45">
      <c r="A487">
        <v>479</v>
      </c>
      <c r="B487">
        <v>67.389313314028797</v>
      </c>
      <c r="I487">
        <f>SMALL(SimDataTRI!$B$9:$B$508,476)</f>
        <v>127.90549034460997</v>
      </c>
      <c r="J487">
        <f>IF(COUNT(J12:J486)&gt;=COUNT(SimDataTRI!$B$9:$B$508),NA(),1/(COUNT(SimDataTRI!$B$9:$B$508)-1)+J486)</f>
        <v>0.9519038076152313</v>
      </c>
    </row>
    <row r="488" spans="1:10" x14ac:dyDescent="0.45">
      <c r="A488">
        <v>480</v>
      </c>
      <c r="B488">
        <v>95.235928921891684</v>
      </c>
      <c r="I488">
        <f>SMALL(SimDataTRI!$B$9:$B$508,477)</f>
        <v>128.46120543711623</v>
      </c>
      <c r="J488">
        <f>IF(COUNT(J12:J487)&gt;=COUNT(SimDataTRI!$B$9:$B$508),NA(),1/(COUNT(SimDataTRI!$B$9:$B$508)-1)+J487)</f>
        <v>0.95390781563126337</v>
      </c>
    </row>
    <row r="489" spans="1:10" x14ac:dyDescent="0.45">
      <c r="A489">
        <v>481</v>
      </c>
      <c r="B489">
        <v>96.291859572572463</v>
      </c>
      <c r="I489">
        <f>SMALL(SimDataTRI!$B$9:$B$508,478)</f>
        <v>128.91048657597679</v>
      </c>
      <c r="J489">
        <f>IF(COUNT(J12:J488)&gt;=COUNT(SimDataTRI!$B$9:$B$508),NA(),1/(COUNT(SimDataTRI!$B$9:$B$508)-1)+J488)</f>
        <v>0.95591182364729543</v>
      </c>
    </row>
    <row r="490" spans="1:10" x14ac:dyDescent="0.45">
      <c r="A490">
        <v>482</v>
      </c>
      <c r="B490">
        <v>88.33903378405742</v>
      </c>
      <c r="I490">
        <f>SMALL(SimDataTRI!$B$9:$B$508,479)</f>
        <v>129.13400043274905</v>
      </c>
      <c r="J490">
        <f>IF(COUNT(J12:J489)&gt;=COUNT(SimDataTRI!$B$9:$B$508),NA(),1/(COUNT(SimDataTRI!$B$9:$B$508)-1)+J489)</f>
        <v>0.9579158316633275</v>
      </c>
    </row>
    <row r="491" spans="1:10" x14ac:dyDescent="0.45">
      <c r="A491">
        <v>483</v>
      </c>
      <c r="B491">
        <v>134.24804260010842</v>
      </c>
      <c r="I491">
        <f>SMALL(SimDataTRI!$B$9:$B$508,480)</f>
        <v>129.72644985306346</v>
      </c>
      <c r="J491">
        <f>IF(COUNT(J12:J490)&gt;=COUNT(SimDataTRI!$B$9:$B$508),NA(),1/(COUNT(SimDataTRI!$B$9:$B$508)-1)+J490)</f>
        <v>0.95991983967935957</v>
      </c>
    </row>
    <row r="492" spans="1:10" x14ac:dyDescent="0.45">
      <c r="A492">
        <v>484</v>
      </c>
      <c r="B492">
        <v>73.987191785414112</v>
      </c>
      <c r="I492">
        <f>SMALL(SimDataTRI!$B$9:$B$508,481)</f>
        <v>130.18533861715068</v>
      </c>
      <c r="J492">
        <f>IF(COUNT(J12:J491)&gt;=COUNT(SimDataTRI!$B$9:$B$508),NA(),1/(COUNT(SimDataTRI!$B$9:$B$508)-1)+J491)</f>
        <v>0.96192384769539163</v>
      </c>
    </row>
    <row r="493" spans="1:10" x14ac:dyDescent="0.45">
      <c r="A493">
        <v>485</v>
      </c>
      <c r="B493">
        <v>95.395940016647131</v>
      </c>
      <c r="I493">
        <f>SMALL(SimDataTRI!$B$9:$B$508,482)</f>
        <v>130.67065228112125</v>
      </c>
      <c r="J493">
        <f>IF(COUNT(J12:J492)&gt;=COUNT(SimDataTRI!$B$9:$B$508),NA(),1/(COUNT(SimDataTRI!$B$9:$B$508)-1)+J492)</f>
        <v>0.9639278557114237</v>
      </c>
    </row>
    <row r="494" spans="1:10" x14ac:dyDescent="0.45">
      <c r="A494">
        <v>486</v>
      </c>
      <c r="B494">
        <v>98.63747753842523</v>
      </c>
      <c r="I494">
        <f>SMALL(SimDataTRI!$B$9:$B$508,483)</f>
        <v>131.23868643545381</v>
      </c>
      <c r="J494">
        <f>IF(COUNT(J12:J493)&gt;=COUNT(SimDataTRI!$B$9:$B$508),NA(),1/(COUNT(SimDataTRI!$B$9:$B$508)-1)+J493)</f>
        <v>0.96593186372745576</v>
      </c>
    </row>
    <row r="495" spans="1:10" x14ac:dyDescent="0.45">
      <c r="A495">
        <v>487</v>
      </c>
      <c r="B495">
        <v>64.195165086084444</v>
      </c>
      <c r="I495">
        <f>SMALL(SimDataTRI!$B$9:$B$508,484)</f>
        <v>131.60164896123155</v>
      </c>
      <c r="J495">
        <f>IF(COUNT(J12:J494)&gt;=COUNT(SimDataTRI!$B$9:$B$508),NA(),1/(COUNT(SimDataTRI!$B$9:$B$508)-1)+J494)</f>
        <v>0.96793587174348783</v>
      </c>
    </row>
    <row r="496" spans="1:10" x14ac:dyDescent="0.45">
      <c r="A496">
        <v>488</v>
      </c>
      <c r="B496">
        <v>68.518209919111101</v>
      </c>
      <c r="I496">
        <f>SMALL(SimDataTRI!$B$9:$B$508,485)</f>
        <v>132.20382423654121</v>
      </c>
      <c r="J496">
        <f>IF(COUNT(J12:J495)&gt;=COUNT(SimDataTRI!$B$9:$B$508),NA(),1/(COUNT(SimDataTRI!$B$9:$B$508)-1)+J495)</f>
        <v>0.9699398797595199</v>
      </c>
    </row>
    <row r="497" spans="1:10" x14ac:dyDescent="0.45">
      <c r="A497">
        <v>489</v>
      </c>
      <c r="B497">
        <v>41.917282294477332</v>
      </c>
      <c r="I497">
        <f>SMALL(SimDataTRI!$B$9:$B$508,486)</f>
        <v>133.16285962735768</v>
      </c>
      <c r="J497">
        <f>IF(COUNT(J12:J496)&gt;=COUNT(SimDataTRI!$B$9:$B$508),NA(),1/(COUNT(SimDataTRI!$B$9:$B$508)-1)+J496)</f>
        <v>0.97194388777555196</v>
      </c>
    </row>
    <row r="498" spans="1:10" x14ac:dyDescent="0.45">
      <c r="A498">
        <v>490</v>
      </c>
      <c r="B498">
        <v>79.296796922889129</v>
      </c>
      <c r="I498">
        <f>SMALL(SimDataTRI!$B$9:$B$508,487)</f>
        <v>133.62092182846868</v>
      </c>
      <c r="J498">
        <f>IF(COUNT(J12:J497)&gt;=COUNT(SimDataTRI!$B$9:$B$508),NA(),1/(COUNT(SimDataTRI!$B$9:$B$508)-1)+J497)</f>
        <v>0.97394789579158403</v>
      </c>
    </row>
    <row r="499" spans="1:10" x14ac:dyDescent="0.45">
      <c r="A499">
        <v>491</v>
      </c>
      <c r="B499">
        <v>82.441276722712686</v>
      </c>
      <c r="I499">
        <f>SMALL(SimDataTRI!$B$9:$B$508,488)</f>
        <v>134.24804260010842</v>
      </c>
      <c r="J499">
        <f>IF(COUNT(J12:J498)&gt;=COUNT(SimDataTRI!$B$9:$B$508),NA(),1/(COUNT(SimDataTRI!$B$9:$B$508)-1)+J498)</f>
        <v>0.97595190380761609</v>
      </c>
    </row>
    <row r="500" spans="1:10" x14ac:dyDescent="0.45">
      <c r="A500">
        <v>492</v>
      </c>
      <c r="B500">
        <v>76.933528310501117</v>
      </c>
      <c r="I500">
        <f>SMALL(SimDataTRI!$B$9:$B$508,489)</f>
        <v>135.02279677613788</v>
      </c>
      <c r="J500">
        <f>IF(COUNT(J12:J499)&gt;=COUNT(SimDataTRI!$B$9:$B$508),NA(),1/(COUNT(SimDataTRI!$B$9:$B$508)-1)+J499)</f>
        <v>0.97795591182364816</v>
      </c>
    </row>
    <row r="501" spans="1:10" x14ac:dyDescent="0.45">
      <c r="A501">
        <v>493</v>
      </c>
      <c r="B501">
        <v>81.781314311275167</v>
      </c>
      <c r="I501">
        <f>SMALL(SimDataTRI!$B$9:$B$508,490)</f>
        <v>135.56207198686349</v>
      </c>
      <c r="J501">
        <f>IF(COUNT(J12:J500)&gt;=COUNT(SimDataTRI!$B$9:$B$508),NA(),1/(COUNT(SimDataTRI!$B$9:$B$508)-1)+J500)</f>
        <v>0.97995991983968023</v>
      </c>
    </row>
    <row r="502" spans="1:10" x14ac:dyDescent="0.45">
      <c r="A502">
        <v>494</v>
      </c>
      <c r="B502">
        <v>59.464135642369548</v>
      </c>
      <c r="I502">
        <f>SMALL(SimDataTRI!$B$9:$B$508,491)</f>
        <v>136.51597010549534</v>
      </c>
      <c r="J502">
        <f>IF(COUNT(J12:J501)&gt;=COUNT(SimDataTRI!$B$9:$B$508),NA(),1/(COUNT(SimDataTRI!$B$9:$B$508)-1)+J501)</f>
        <v>0.98196392785571229</v>
      </c>
    </row>
    <row r="503" spans="1:10" x14ac:dyDescent="0.45">
      <c r="A503">
        <v>495</v>
      </c>
      <c r="B503">
        <v>86.047024835241757</v>
      </c>
      <c r="I503">
        <f>SMALL(SimDataTRI!$B$9:$B$508,492)</f>
        <v>136.82001313027706</v>
      </c>
      <c r="J503">
        <f>IF(COUNT(J12:J502)&gt;=COUNT(SimDataTRI!$B$9:$B$508),NA(),1/(COUNT(SimDataTRI!$B$9:$B$508)-1)+J502)</f>
        <v>0.98396793587174436</v>
      </c>
    </row>
    <row r="504" spans="1:10" x14ac:dyDescent="0.45">
      <c r="A504">
        <v>496</v>
      </c>
      <c r="B504">
        <v>91.636691220105789</v>
      </c>
      <c r="I504">
        <f>SMALL(SimDataTRI!$B$9:$B$508,493)</f>
        <v>137.78151257295482</v>
      </c>
      <c r="J504">
        <f>IF(COUNT(J12:J503)&gt;=COUNT(SimDataTRI!$B$9:$B$508),NA(),1/(COUNT(SimDataTRI!$B$9:$B$508)-1)+J503)</f>
        <v>0.98597194388777643</v>
      </c>
    </row>
    <row r="505" spans="1:10" x14ac:dyDescent="0.45">
      <c r="A505">
        <v>497</v>
      </c>
      <c r="B505">
        <v>40.397200014296608</v>
      </c>
      <c r="I505">
        <f>SMALL(SimDataTRI!$B$9:$B$508,494)</f>
        <v>138.9190706350887</v>
      </c>
      <c r="J505">
        <f>IF(COUNT(J12:J504)&gt;=COUNT(SimDataTRI!$B$9:$B$508),NA(),1/(COUNT(SimDataTRI!$B$9:$B$508)-1)+J504)</f>
        <v>0.98797595190380849</v>
      </c>
    </row>
    <row r="506" spans="1:10" x14ac:dyDescent="0.45">
      <c r="A506">
        <v>498</v>
      </c>
      <c r="B506">
        <v>107.40164744976174</v>
      </c>
      <c r="I506">
        <f>SMALL(SimDataTRI!$B$9:$B$508,495)</f>
        <v>139.83223547422705</v>
      </c>
      <c r="J506">
        <f>IF(COUNT(J12:J505)&gt;=COUNT(SimDataTRI!$B$9:$B$508),NA(),1/(COUNT(SimDataTRI!$B$9:$B$508)-1)+J505)</f>
        <v>0.98997995991984056</v>
      </c>
    </row>
    <row r="507" spans="1:10" x14ac:dyDescent="0.45">
      <c r="A507">
        <v>499</v>
      </c>
      <c r="B507">
        <v>122.39305786681163</v>
      </c>
      <c r="I507">
        <f>SMALL(SimDataTRI!$B$9:$B$508,496)</f>
        <v>140.47484522478973</v>
      </c>
      <c r="J507">
        <f>IF(COUNT(J12:J506)&gt;=COUNT(SimDataTRI!$B$9:$B$508),NA(),1/(COUNT(SimDataTRI!$B$9:$B$508)-1)+J506)</f>
        <v>0.99198396793587262</v>
      </c>
    </row>
    <row r="508" spans="1:10" x14ac:dyDescent="0.45">
      <c r="A508">
        <v>500</v>
      </c>
      <c r="B508">
        <v>40.799610239906869</v>
      </c>
      <c r="I508">
        <f>SMALL(SimDataTRI!$B$9:$B$508,497)</f>
        <v>141.60755943465458</v>
      </c>
      <c r="J508">
        <f>IF(COUNT(J12:J507)&gt;=COUNT(SimDataTRI!$B$9:$B$508),NA(),1/(COUNT(SimDataTRI!$B$9:$B$508)-1)+J507)</f>
        <v>0.99398797595190469</v>
      </c>
    </row>
    <row r="509" spans="1:10" x14ac:dyDescent="0.45">
      <c r="I509">
        <f>SMALL(SimDataTRI!$B$9:$B$508,498)</f>
        <v>143.13120851378105</v>
      </c>
      <c r="J509">
        <f>IF(COUNT(J12:J508)&gt;=COUNT(SimDataTRI!$B$9:$B$508),NA(),1/(COUNT(SimDataTRI!$B$9:$B$508)-1)+J508)</f>
        <v>0.99599198396793676</v>
      </c>
    </row>
    <row r="510" spans="1:10" x14ac:dyDescent="0.45">
      <c r="I510">
        <f>SMALL(SimDataTRI!$B$9:$B$508,499)</f>
        <v>144.54080405042794</v>
      </c>
      <c r="J510">
        <f>IF(COUNT(J12:J509)&gt;=COUNT(SimDataTRI!$B$9:$B$508),NA(),1/(COUNT(SimDataTRI!$B$9:$B$508)-1)+J509)</f>
        <v>0.99799599198396882</v>
      </c>
    </row>
    <row r="511" spans="1:10" x14ac:dyDescent="0.45">
      <c r="I511">
        <f>SMALL(SimDataTRI!$B$9:$B$508,500)</f>
        <v>147.10946663564982</v>
      </c>
      <c r="J511">
        <f>IF(COUNT(J12:J510)&gt;=COUNT(SimDataTRI!$B$9:$B$508),NA(),1/(COUNT(SimDataTRI!$B$9:$B$508)-1)+J510)</f>
        <v>1.0000000000000009</v>
      </c>
    </row>
  </sheetData>
  <dataValidations count="1">
    <dataValidation type="list" allowBlank="1" showInputMessage="1" showErrorMessage="1" sqref="T10">
      <formula1>"Cauchy,Cosinus,Double Exp,Epanechnikov,Gaussian,Histogram,Parzen,Quartic,Semiparametric Normal (HG),Triangle,Triweight,Uniform"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EMP</vt:lpstr>
      <vt:lpstr>SimDataKDE</vt:lpstr>
      <vt:lpstr>KDE</vt:lpstr>
      <vt:lpstr>Triangle</vt:lpstr>
      <vt:lpstr>SimDataTRI</vt:lpstr>
      <vt:lpstr>EMP!Print_Area</vt:lpstr>
      <vt:lpstr>KDE!Print_Area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cp:lastPrinted>2015-09-15T15:08:07Z</cp:lastPrinted>
  <dcterms:created xsi:type="dcterms:W3CDTF">2012-09-04T12:18:41Z</dcterms:created>
  <dcterms:modified xsi:type="dcterms:W3CDTF">2015-09-15T15:09:58Z</dcterms:modified>
</cp:coreProperties>
</file>