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50" windowHeight="11370" activeTab="1"/>
  </bookViews>
  <sheets>
    <sheet name="SimDataSolver" sheetId="1" r:id="rId1"/>
    <sheet name="Model" sheetId="2" r:id="rId2"/>
    <sheet name="SimData" sheetId="3" r:id="rId3"/>
    <sheet name="Sheet2" sheetId="4" r:id="rId4"/>
    <sheet name="Sheet3" sheetId="5" r:id="rId5"/>
  </sheets>
  <definedNames>
    <definedName name="_xlnm.Print_Area" localSheetId="1">'Model'!$A$1:$N$36</definedName>
    <definedName name="solver_adj" localSheetId="1" hidden="1">'Model'!$B$8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'Model'!$B$8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'Model'!$B$7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hs1" localSheetId="1" hidden="1">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<sst xmlns="http://schemas.openxmlformats.org/spreadsheetml/2006/main" count="64" uniqueCount="45">
  <si>
    <t>Demand</t>
  </si>
  <si>
    <t>Supply</t>
  </si>
  <si>
    <t>Price</t>
  </si>
  <si>
    <t>S-D</t>
  </si>
  <si>
    <t>Intercept</t>
  </si>
  <si>
    <t>Slope</t>
  </si>
  <si>
    <t>Std Dev</t>
  </si>
  <si>
    <t>SND</t>
  </si>
  <si>
    <t>Variable</t>
  </si>
  <si>
    <t>Mean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</si>
  <si>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</si>
  <si>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</si>
  <si>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</si>
  <si>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</si>
  <si>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</si>
  <si>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</si>
  <si>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</si>
  <si>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</si>
  <si>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</si>
  <si>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</si>
  <si>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</si>
  <si>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</si>
  <si>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</si>
  <si>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</si>
  <si>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</si>
  <si>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Steps for SimSolver</t>
  </si>
  <si>
    <t>1.  Set Simetar to Expected Value</t>
  </si>
  <si>
    <t>2.  Tools &gt; Solver   set the parameters and &gt; Solve</t>
  </si>
  <si>
    <t>3.  Highlight the KOVs and opens Simulation Engine</t>
  </si>
  <si>
    <t>4.  Select option to Incorporate Solver then simulate as normal</t>
  </si>
  <si>
    <t>Simetar Simulation Results for 100 Iterations.  7:48:23 PM 11/18/2009 (7.48 sec.).  © 2008.</t>
  </si>
  <si>
    <t>CDFProb.</t>
  </si>
  <si>
    <t>Simetar Simulation Results for 500 Iterations. 3:55:49 PM 12/6/2016 (25 sec.).  © 2016.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</si>
  <si>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</si>
  <si>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</si>
  <si>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</si>
  <si>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</si>
  <si>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</si>
  <si>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</si>
  <si>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</si>
  <si>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</si>
  <si>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</si>
  <si>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</si>
  <si>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CS</t>
  </si>
  <si>
    <t>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</si>
</sst>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9.2"/>
      <color indexed="8"/>
      <name val="Arial"/>
      <family val="2"/>
    </font>
    <font>
      <sz val="8.7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shrinkToFit="1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SimDataSolver!$I$10</c:f>
        </c:strRef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1915"/>
          <c:w val="0.97"/>
          <c:h val="0.6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SimDataSolver!$J$11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SimDataSolver!$J$20:$J$119</c:f>
              <c:numCache/>
            </c:numRef>
          </c:xVal>
          <c:yVal>
            <c:numRef>
              <c:f>SimDataSolver!$K$20:$K$119</c:f>
              <c:numCache/>
            </c:numRef>
          </c:yVal>
          <c:smooth val="1"/>
        </c:ser>
        <c:ser>
          <c:idx val="1"/>
          <c:order val="1"/>
          <c:tx>
            <c:strRef>
              <c:f>SimDataSolver!$J$11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SimDataSolver!$J$18</c:f>
              <c:numCache/>
            </c:numRef>
          </c:xVal>
          <c:yVal>
            <c:numRef>
              <c:f>SimDataSolver!$K$18</c:f>
              <c:numCache/>
            </c:numRef>
          </c:yVal>
          <c:smooth val="1"/>
        </c:ser>
        <c:ser>
          <c:idx val="2"/>
          <c:order val="2"/>
          <c:tx>
            <c:strRef>
              <c:f>SimDataSolver!$J$11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SimDataSolver!$J$19</c:f>
              <c:numCache/>
            </c:numRef>
          </c:xVal>
          <c:yVal>
            <c:numRef>
              <c:f>SimDataSolver!$K$19</c:f>
              <c:numCache/>
            </c:numRef>
          </c:yVal>
          <c:smooth val="1"/>
        </c:ser>
        <c:ser>
          <c:idx val="3"/>
          <c:order val="3"/>
          <c:tx>
            <c:strRef>
              <c:f>SimDataSolver!$J$11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SimDataSolver!$J$17</c:f>
              <c:numCache/>
            </c:numRef>
          </c:xVal>
          <c:yVal>
            <c:numRef>
              <c:f>SimDataSolver!$K$17</c:f>
              <c:numCache/>
            </c:numRef>
          </c:yVal>
          <c:smooth val="1"/>
        </c:ser>
        <c:axId val="34712302"/>
        <c:axId val="43975263"/>
      </c:scatterChart>
      <c:valAx>
        <c:axId val="3471230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263"/>
        <c:crosses val="autoZero"/>
        <c:crossBetween val="midCat"/>
        <c:dispUnits/>
      </c:valAx>
      <c:valAx>
        <c:axId val="43975263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47123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125"/>
          <c:y val="0.889"/>
          <c:w val="0.135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SimData!#REF!</c:f>
        </c:strRef>
      </c:tx>
      <c:layout>
        <c:manualLayout>
          <c:xMode val="factor"/>
          <c:yMode val="factor"/>
          <c:x val="-0.09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1605"/>
          <c:w val="0.961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SimData!#REF!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SimData!#REF!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xVal>
          <c:yVal>
            <c:numRef>
              <c:f>SimData!#REF!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SimData!#REF!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strRef>
              <c:f>SimData!#REF!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SimData!#REF!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SimData!#REF!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strRef>
              <c:f>SimData!#REF!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SimData!#REF!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SimData!#REF!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strRef>
              <c:f>SimData!#REF!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SimData!#REF!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0233048"/>
        <c:axId val="5226521"/>
      </c:scatterChart>
      <c:valAx>
        <c:axId val="6023304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 val="autoZero"/>
        <c:crossBetween val="midCat"/>
        <c:dispUnits/>
      </c:valAx>
      <c:valAx>
        <c:axId val="5226521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0233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55"/>
          <c:y val="0.851"/>
          <c:w val="0.12525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8"/>
          <c:w val="0.957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Model!$O$3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Model!$P$3:$P$28</c:f>
              <c:numCache/>
            </c:numRef>
          </c:xVal>
          <c:yVal>
            <c:numRef>
              <c:f>Model!$O$4:$O$28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Model!$Q$3:$Q$28</c:f>
              <c:numCache/>
            </c:numRef>
          </c:xVal>
          <c:yVal>
            <c:numRef>
              <c:f>Model!$O$3:$O$28</c:f>
              <c:numCache/>
            </c:numRef>
          </c:yVal>
          <c:smooth val="0"/>
        </c:ser>
        <c:axId val="47038690"/>
        <c:axId val="20695027"/>
      </c:scatterChart>
      <c:valAx>
        <c:axId val="47038690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 val="autoZero"/>
        <c:crossBetween val="midCat"/>
        <c:dispUnits/>
      </c:valAx>
      <c:valAx>
        <c:axId val="2069502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CDF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763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SimData!$K$5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SimData!$K$6:$K$105</c:f>
              <c:numCache/>
            </c:numRef>
          </c:xVal>
          <c:yVal>
            <c:numRef>
              <c:f>SimData!$L$6:$L$105</c:f>
              <c:numCache/>
            </c:numRef>
          </c:yVal>
          <c:smooth val="1"/>
        </c:ser>
        <c:axId val="52037516"/>
        <c:axId val="65684461"/>
      </c:scatterChart>
      <c:val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4461"/>
        <c:crosses val="autoZero"/>
        <c:crossBetween val="midCat"/>
        <c:dispUnits/>
      </c:valAx>
      <c:valAx>
        <c:axId val="656844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75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5"/>
          <c:y val="0.90325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</xdr:row>
      <xdr:rowOff>95250</xdr:rowOff>
    </xdr:from>
    <xdr:to>
      <xdr:col>15</xdr:col>
      <xdr:colOff>333375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400550" y="5810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8</xdr:col>
      <xdr:colOff>285750</xdr:colOff>
      <xdr:row>54</xdr:row>
      <xdr:rowOff>85725</xdr:rowOff>
    </xdr:to>
    <xdr:graphicFrame>
      <xdr:nvGraphicFramePr>
        <xdr:cNvPr id="1" name="Chart 5"/>
        <xdr:cNvGraphicFramePr/>
      </xdr:nvGraphicFramePr>
      <xdr:xfrm>
        <a:off x="0" y="6334125"/>
        <a:ext cx="5162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238125</xdr:colOff>
      <xdr:row>16</xdr:row>
      <xdr:rowOff>47625</xdr:rowOff>
    </xdr:to>
    <xdr:graphicFrame>
      <xdr:nvGraphicFramePr>
        <xdr:cNvPr id="2" name="Chart 8"/>
        <xdr:cNvGraphicFramePr/>
      </xdr:nvGraphicFramePr>
      <xdr:xfrm>
        <a:off x="4276725" y="0"/>
        <a:ext cx="44958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</xdr:colOff>
      <xdr:row>13</xdr:row>
      <xdr:rowOff>19050</xdr:rowOff>
    </xdr:from>
    <xdr:to>
      <xdr:col>5</xdr:col>
      <xdr:colOff>57150</xdr:colOff>
      <xdr:row>23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24075"/>
          <a:ext cx="3086100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38100</xdr:rowOff>
    </xdr:from>
    <xdr:to>
      <xdr:col>12</xdr:col>
      <xdr:colOff>400050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3143250" y="1009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9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ht="12.75">
      <c r="A1" t="s">
        <v>32</v>
      </c>
    </row>
    <row r="2" spans="1:5" ht="12.75">
      <c r="A2" t="s">
        <v>8</v>
      </c>
      <c r="B2" t="str">
        <f>ADDRESS(ROW(Model!$B$5),COLUMN(Model!$B$5),4,,_XLL.WSNAME(Model!$B$5))</f>
        <v>Model!B5</v>
      </c>
      <c r="C2" t="str">
        <f>ADDRESS(ROW(Model!$B$6),COLUMN(Model!$B$6),4,,_XLL.WSNAME(Model!$B$6))</f>
        <v>Model!B6</v>
      </c>
      <c r="D2" t="str">
        <f>ADDRESS(ROW(Model!$B$7),COLUMN(Model!$B$7),4,,_XLL.WSNAME(Model!$B$7))</f>
        <v>Model!B7</v>
      </c>
      <c r="E2" t="str">
        <f>ADDRESS(ROW(Model!$B$8),COLUMN(Model!$B$8),4,,_XLL.WSNAME(Model!$B$8))</f>
        <v>Model!B8</v>
      </c>
    </row>
    <row r="3" spans="1:5" ht="12.75">
      <c r="A3" t="s">
        <v>9</v>
      </c>
      <c r="B3">
        <f>AVERAGE(B9:B508)</f>
        <v>7.999661887280287</v>
      </c>
      <c r="C3">
        <f>AVERAGE(C9:C508)</f>
        <v>7.999661897280282</v>
      </c>
      <c r="D3">
        <f>AVERAGE(D9:D508)</f>
        <v>9.999999960541573E-09</v>
      </c>
      <c r="E3">
        <f>AVERAGE(E9:E508)</f>
        <v>1.0000150467519522</v>
      </c>
    </row>
    <row r="4" spans="1:5" ht="12.75">
      <c r="A4" t="s">
        <v>10</v>
      </c>
      <c r="B4">
        <f>STDEV(B9:B508)</f>
        <v>1.6036591520804986</v>
      </c>
      <c r="C4">
        <f>STDEV(C9:C508)</f>
        <v>1.603659386580476</v>
      </c>
      <c r="D4">
        <f>STDEV(D9:D508)</f>
        <v>6.948854082138857E-07</v>
      </c>
      <c r="E4">
        <f>STDEV(E9:E508)</f>
        <v>0.2287975873687452</v>
      </c>
    </row>
    <row r="5" spans="1:5" ht="12.75">
      <c r="A5" t="s">
        <v>11</v>
      </c>
      <c r="B5">
        <f>100*B4/B3</f>
        <v>20.046586651747955</v>
      </c>
      <c r="C5">
        <f>100*C4/C3</f>
        <v>20.046589558062283</v>
      </c>
      <c r="D5">
        <f>100*D4/D3</f>
        <v>6948.854109557942</v>
      </c>
      <c r="E5">
        <f>100*E4/E3</f>
        <v>22.87941447600009</v>
      </c>
    </row>
    <row r="6" spans="1:5" ht="12.75">
      <c r="A6" t="s">
        <v>12</v>
      </c>
      <c r="B6">
        <f>MIN(B9:B508)</f>
        <v>3.108369027064234</v>
      </c>
      <c r="C6">
        <f>MIN(C9:C508)</f>
        <v>3.1083680270642366</v>
      </c>
      <c r="D6">
        <f>MIN(D9:D508)</f>
        <v>-9.999999992515995E-07</v>
      </c>
      <c r="E6">
        <f>MIN(E9:E508)</f>
        <v>0.3227812396611025</v>
      </c>
    </row>
    <row r="7" spans="1:5" ht="12.75">
      <c r="A7" t="s">
        <v>13</v>
      </c>
      <c r="B7">
        <f>MAX(B9:B508)</f>
        <v>12.729080445703858</v>
      </c>
      <c r="C7">
        <f>MAX(C9:C508)</f>
        <v>12.729081445703855</v>
      </c>
      <c r="D7">
        <f>MAX(D9:D508)</f>
        <v>9.999999992515995E-07</v>
      </c>
      <c r="E7">
        <f>MAX(E9:E508)</f>
        <v>1.7789662312972654</v>
      </c>
    </row>
    <row r="8" spans="1:5" ht="12.75">
      <c r="A8" t="s">
        <v>14</v>
      </c>
      <c r="B8" t="str">
        <f>Model!$A$5</f>
        <v>Demand</v>
      </c>
      <c r="C8" t="str">
        <f>Model!$A$6</f>
        <v>Supply</v>
      </c>
      <c r="D8" t="str">
        <f>Model!$A$7</f>
        <v>S-D</v>
      </c>
      <c r="E8" t="str">
        <f>Model!$A$8</f>
        <v>Price</v>
      </c>
    </row>
    <row r="9" spans="1:5" ht="12.75">
      <c r="A9">
        <v>1</v>
      </c>
      <c r="B9">
        <v>7.662422515753573</v>
      </c>
      <c r="C9">
        <v>7.662423515753572</v>
      </c>
      <c r="D9">
        <v>9.999999992515995E-07</v>
      </c>
      <c r="E9">
        <v>1.2008604919206696</v>
      </c>
    </row>
    <row r="10" spans="1:9" ht="12.75">
      <c r="A10">
        <v>2</v>
      </c>
      <c r="B10">
        <v>6.9756360068088235</v>
      </c>
      <c r="C10">
        <v>6.9756360068088235</v>
      </c>
      <c r="D10">
        <v>0</v>
      </c>
      <c r="E10">
        <v>1.008709850410324</v>
      </c>
      <c r="I10" t="s">
        <v>33</v>
      </c>
    </row>
    <row r="11" spans="1:10" ht="12.75">
      <c r="A11">
        <v>3</v>
      </c>
      <c r="B11">
        <v>8.279605525782303</v>
      </c>
      <c r="C11">
        <v>8.279605525782301</v>
      </c>
      <c r="D11">
        <v>0</v>
      </c>
      <c r="E11">
        <v>1.0653575448893708</v>
      </c>
      <c r="J11" t="str">
        <f>SimDataSolver!$E$8</f>
        <v>Price</v>
      </c>
    </row>
    <row r="12" spans="1:10" ht="12.75">
      <c r="A12">
        <v>4</v>
      </c>
      <c r="B12">
        <v>9.206055029154287</v>
      </c>
      <c r="C12">
        <v>9.206056029154286</v>
      </c>
      <c r="D12">
        <v>9.999999992515995E-07</v>
      </c>
      <c r="E12">
        <v>1.1947305153492167</v>
      </c>
      <c r="I12" t="s">
        <v>34</v>
      </c>
      <c r="J12">
        <f>MIN(SimDataSolver!$E$9:$E$508)</f>
        <v>0.3227812396611025</v>
      </c>
    </row>
    <row r="13" spans="1:10" ht="12.75">
      <c r="A13">
        <v>5</v>
      </c>
      <c r="B13">
        <v>10.510477812952711</v>
      </c>
      <c r="C13">
        <v>10.51047781295271</v>
      </c>
      <c r="D13">
        <v>0</v>
      </c>
      <c r="E13">
        <v>1.3173220776314383</v>
      </c>
      <c r="I13" t="s">
        <v>35</v>
      </c>
      <c r="J13">
        <f>MAX(SimDataSolver!$E$9:$E$508)</f>
        <v>1.7789662312972654</v>
      </c>
    </row>
    <row r="14" spans="1:10" ht="13.5" thickBot="1">
      <c r="A14">
        <v>6</v>
      </c>
      <c r="B14">
        <v>8.734379056320641</v>
      </c>
      <c r="C14">
        <v>8.734378056320642</v>
      </c>
      <c r="D14">
        <v>-9.999999992515995E-07</v>
      </c>
      <c r="E14">
        <v>1.263785267958241</v>
      </c>
      <c r="I14" t="s">
        <v>36</v>
      </c>
      <c r="J14">
        <f>_XLL.BANDWIDTH(SimDataSolver!$E$9:$E$508)</f>
        <v>0.06997828664696147</v>
      </c>
    </row>
    <row r="15" spans="1:10" ht="14.25" thickBot="1" thickTop="1">
      <c r="A15">
        <v>7</v>
      </c>
      <c r="B15">
        <v>5.407871630974425</v>
      </c>
      <c r="C15">
        <v>5.407871630974426</v>
      </c>
      <c r="D15">
        <v>0</v>
      </c>
      <c r="E15">
        <v>0.6406754886077469</v>
      </c>
      <c r="I15" t="s">
        <v>37</v>
      </c>
      <c r="J15" s="2" t="s">
        <v>42</v>
      </c>
    </row>
    <row r="16" spans="1:10" ht="13.5" thickTop="1">
      <c r="A16">
        <v>8</v>
      </c>
      <c r="B16">
        <v>7.133176618010461</v>
      </c>
      <c r="C16">
        <v>7.133176618010461</v>
      </c>
      <c r="D16">
        <v>0</v>
      </c>
      <c r="E16">
        <v>0.7184933502961287</v>
      </c>
      <c r="I16" t="s">
        <v>38</v>
      </c>
      <c r="J16" s="3">
        <f>MIN(0.95,1-1/(COUNT(SimDataSolver!$E$9:$E$508)-1))</f>
        <v>0.95</v>
      </c>
    </row>
    <row r="17" spans="1:11" ht="12.75">
      <c r="A17">
        <v>9</v>
      </c>
      <c r="B17">
        <v>10.757469962426168</v>
      </c>
      <c r="C17">
        <v>10.757470962426165</v>
      </c>
      <c r="D17">
        <v>9.999999974752427E-07</v>
      </c>
      <c r="E17">
        <v>1.322682355641183</v>
      </c>
      <c r="I17" t="s">
        <v>39</v>
      </c>
      <c r="J17" s="4">
        <f>_XLL.QUANTILE(SimDataSolver!$E$9:$E$508,(1-$J$16)/2)</f>
        <v>0.5265150289597046</v>
      </c>
      <c r="K17" s="5">
        <f>_XLL.PDENSITY($J$17,SimDataSolver!$E$9:$E$508,$J$14,$J$15,0)</f>
        <v>0.21292316655121396</v>
      </c>
    </row>
    <row r="18" spans="1:11" ht="12.75">
      <c r="A18">
        <v>10</v>
      </c>
      <c r="B18">
        <v>8.697070767771137</v>
      </c>
      <c r="C18">
        <v>8.697069767771138</v>
      </c>
      <c r="D18">
        <v>-9.999999992515995E-07</v>
      </c>
      <c r="E18">
        <v>0.9956909677069722</v>
      </c>
      <c r="I18" t="s">
        <v>40</v>
      </c>
      <c r="J18" s="4">
        <f>AVERAGE(SimDataSolver!$E$9:$E$508)</f>
        <v>1.0000150467519522</v>
      </c>
      <c r="K18" s="5">
        <f>_XLL.PDENSITY($J$18,SimDataSolver!$E$9:$E$508,$J$14,$J$15,0)</f>
        <v>1.6916783802795687</v>
      </c>
    </row>
    <row r="19" spans="1:11" ht="12.75">
      <c r="A19">
        <v>11</v>
      </c>
      <c r="B19">
        <v>8.554204938862757</v>
      </c>
      <c r="C19">
        <v>8.554204938862757</v>
      </c>
      <c r="D19">
        <v>0</v>
      </c>
      <c r="E19">
        <v>1.082494284373562</v>
      </c>
      <c r="I19" t="s">
        <v>41</v>
      </c>
      <c r="J19" s="5">
        <f>_XLL.QUANTILE(SimDataSolver!$E$9:$E$508,1-(1-$J$16)/2)</f>
        <v>1.4466086683826842</v>
      </c>
      <c r="K19" s="5">
        <f>_XLL.PDENSITY($J$19,SimDataSolver!$E$9:$E$508,$J$14,$J$15,0)</f>
        <v>0.2351629752905003</v>
      </c>
    </row>
    <row r="20" spans="1:11" ht="12.75">
      <c r="A20">
        <v>12</v>
      </c>
      <c r="B20">
        <v>6.60043654935353</v>
      </c>
      <c r="C20">
        <v>6.600435549353531</v>
      </c>
      <c r="D20">
        <v>-9.999999992515995E-07</v>
      </c>
      <c r="E20">
        <v>0.7391688514251213</v>
      </c>
      <c r="I20">
        <v>1</v>
      </c>
      <c r="J20" s="5">
        <f>$J$12</f>
        <v>0.3227812396611025</v>
      </c>
      <c r="K20" s="5">
        <f>_XLL.PDENSITY($J$20,SimDataSolver!$E$9:$E$508,$J$14,$J$15,0)</f>
        <v>0.034796380853472864</v>
      </c>
    </row>
    <row r="21" spans="1:11" ht="12.75">
      <c r="A21">
        <v>13</v>
      </c>
      <c r="B21">
        <v>10.38715871551454</v>
      </c>
      <c r="C21">
        <v>10.38715871551454</v>
      </c>
      <c r="D21">
        <v>0</v>
      </c>
      <c r="E21">
        <v>1.1804503660038161</v>
      </c>
      <c r="I21">
        <v>2</v>
      </c>
      <c r="J21" s="4">
        <f>1/99*($J$13-$J$12)+J20</f>
        <v>0.3374901789705587</v>
      </c>
      <c r="K21" s="5">
        <f>_XLL.PDENSITY($J$21,SimDataSolver!$E$9:$E$508,$J$14,$J$15,0)</f>
        <v>0.04214964438314965</v>
      </c>
    </row>
    <row r="22" spans="1:11" ht="12.75">
      <c r="A22">
        <v>14</v>
      </c>
      <c r="B22">
        <v>5.180772802911611</v>
      </c>
      <c r="C22">
        <v>5.180772802911612</v>
      </c>
      <c r="D22">
        <v>0</v>
      </c>
      <c r="E22">
        <v>0.6848426804221199</v>
      </c>
      <c r="I22">
        <v>3</v>
      </c>
      <c r="J22" s="4">
        <f>1/99*($J$13-$J$12)+J21</f>
        <v>0.35219911828001493</v>
      </c>
      <c r="K22" s="5">
        <f>_XLL.PDENSITY($J$22,SimDataSolver!$E$9:$E$508,$J$14,$J$15,0)</f>
        <v>0.050504113431077004</v>
      </c>
    </row>
    <row r="23" spans="1:11" ht="12.75">
      <c r="A23">
        <v>15</v>
      </c>
      <c r="B23">
        <v>6.760227720363629</v>
      </c>
      <c r="C23">
        <v>6.760227720363628</v>
      </c>
      <c r="D23">
        <v>0</v>
      </c>
      <c r="E23">
        <v>0.7956699715132292</v>
      </c>
      <c r="I23">
        <v>4</v>
      </c>
      <c r="J23" s="4">
        <f>1/99*($J$13-$J$12)+J22</f>
        <v>0.36690805758947115</v>
      </c>
      <c r="K23" s="5">
        <f>_XLL.PDENSITY($J$23,SimDataSolver!$E$9:$E$508,$J$14,$J$15,0)</f>
        <v>0.05994299589754957</v>
      </c>
    </row>
    <row r="24" spans="1:11" ht="12.75">
      <c r="A24">
        <v>16</v>
      </c>
      <c r="B24">
        <v>7.509551386752221</v>
      </c>
      <c r="C24">
        <v>7.50955138675222</v>
      </c>
      <c r="D24">
        <v>0</v>
      </c>
      <c r="E24">
        <v>0.990664598609251</v>
      </c>
      <c r="I24">
        <v>5</v>
      </c>
      <c r="J24" s="4">
        <f>1/99*($J$13-$J$12)+J23</f>
        <v>0.38161699689892736</v>
      </c>
      <c r="K24" s="5">
        <f>_XLL.PDENSITY($J$24,SimDataSolver!$E$9:$E$508,$J$14,$J$15,0)</f>
        <v>0.07051683597958221</v>
      </c>
    </row>
    <row r="25" spans="1:11" ht="12.75">
      <c r="A25">
        <v>17</v>
      </c>
      <c r="B25">
        <v>4.153525280454823</v>
      </c>
      <c r="C25">
        <v>4.153524280454824</v>
      </c>
      <c r="D25">
        <v>-9.999999992515995E-07</v>
      </c>
      <c r="E25">
        <v>0.4997672199837014</v>
      </c>
      <c r="I25">
        <v>6</v>
      </c>
      <c r="J25" s="4">
        <f>1/99*($J$13-$J$12)+J24</f>
        <v>0.3963259362083836</v>
      </c>
      <c r="K25" s="5">
        <f>_XLL.PDENSITY($J$25,SimDataSolver!$E$9:$E$508,$J$14,$J$15,0)</f>
        <v>0.08221847287363998</v>
      </c>
    </row>
    <row r="26" spans="1:11" ht="12.75">
      <c r="A26">
        <v>18</v>
      </c>
      <c r="B26">
        <v>8.047003562568888</v>
      </c>
      <c r="C26">
        <v>8.047003562568888</v>
      </c>
      <c r="D26">
        <v>0</v>
      </c>
      <c r="E26">
        <v>0.9228525401612755</v>
      </c>
      <c r="I26">
        <v>7</v>
      </c>
      <c r="J26" s="4">
        <f>1/99*($J$13-$J$12)+J25</f>
        <v>0.4110348755178398</v>
      </c>
      <c r="K26" s="5">
        <f>_XLL.PDENSITY($J$26,SimDataSolver!$E$9:$E$508,$J$14,$J$15,0)</f>
        <v>0.0949651721468981</v>
      </c>
    </row>
    <row r="27" spans="1:11" ht="12.75">
      <c r="A27">
        <v>19</v>
      </c>
      <c r="B27">
        <v>8.906504147651976</v>
      </c>
      <c r="C27">
        <v>8.906504147651976</v>
      </c>
      <c r="D27">
        <v>0</v>
      </c>
      <c r="E27">
        <v>1.160832814123381</v>
      </c>
      <c r="I27">
        <v>8</v>
      </c>
      <c r="J27" s="4">
        <f>1/99*($J$13-$J$12)+J26</f>
        <v>0.425743814827296</v>
      </c>
      <c r="K27" s="5">
        <f>_XLL.PDENSITY($J$27,SimDataSolver!$E$9:$E$508,$J$14,$J$15,0)</f>
        <v>0.10859506674695175</v>
      </c>
    </row>
    <row r="28" spans="1:11" ht="12.75">
      <c r="A28">
        <v>20</v>
      </c>
      <c r="B28">
        <v>8.271358333783867</v>
      </c>
      <c r="C28">
        <v>8.271357333783868</v>
      </c>
      <c r="D28">
        <v>-9.999999992515995E-07</v>
      </c>
      <c r="E28">
        <v>0.9965405795872097</v>
      </c>
      <c r="I28">
        <v>9</v>
      </c>
      <c r="J28" s="4">
        <f>1/99*($J$13-$J$12)+J27</f>
        <v>0.4404527541367522</v>
      </c>
      <c r="K28" s="5">
        <f>_XLL.PDENSITY($J$28,SimDataSolver!$E$9:$E$508,$J$14,$J$15,0)</f>
        <v>0.12288347380562285</v>
      </c>
    </row>
    <row r="29" spans="1:11" ht="12.75">
      <c r="A29">
        <v>21</v>
      </c>
      <c r="B29">
        <v>6.526670910647774</v>
      </c>
      <c r="C29">
        <v>6.526669910647775</v>
      </c>
      <c r="D29">
        <v>-9.999999992515995E-07</v>
      </c>
      <c r="E29">
        <v>0.8226574588420532</v>
      </c>
      <c r="I29">
        <v>10</v>
      </c>
      <c r="J29" s="4">
        <f>1/99*($J$13-$J$12)+J28</f>
        <v>0.45516169344620844</v>
      </c>
      <c r="K29" s="5">
        <f>_XLL.PDENSITY($J$29,SimDataSolver!$E$9:$E$508,$J$14,$J$15,0)</f>
        <v>0.13758215460243722</v>
      </c>
    </row>
    <row r="30" spans="1:11" ht="12.75">
      <c r="A30">
        <v>22</v>
      </c>
      <c r="B30">
        <v>8.980897900737405</v>
      </c>
      <c r="C30">
        <v>8.980897900737407</v>
      </c>
      <c r="D30">
        <v>0</v>
      </c>
      <c r="E30">
        <v>1.1147070602062157</v>
      </c>
      <c r="I30">
        <v>11</v>
      </c>
      <c r="J30" s="4">
        <f>1/99*($J$13-$J$12)+J29</f>
        <v>0.46987063275566465</v>
      </c>
      <c r="K30" s="5">
        <f>_XLL.PDENSITY($J$30,SimDataSolver!$E$9:$E$508,$J$14,$J$15,0)</f>
        <v>0.15248098699386495</v>
      </c>
    </row>
    <row r="31" spans="1:11" ht="12.75">
      <c r="A31">
        <v>23</v>
      </c>
      <c r="B31">
        <v>5.420178478244586</v>
      </c>
      <c r="C31">
        <v>5.420178478244587</v>
      </c>
      <c r="D31">
        <v>0</v>
      </c>
      <c r="E31">
        <v>0.526310864008371</v>
      </c>
      <c r="I31">
        <v>12</v>
      </c>
      <c r="J31" s="4">
        <f>1/99*($J$13-$J$12)+J30</f>
        <v>0.48457957206512087</v>
      </c>
      <c r="K31" s="5">
        <f>_XLL.PDENSITY($J$31,SimDataSolver!$E$9:$E$508,$J$14,$J$15,0)</f>
        <v>0.16748641373328188</v>
      </c>
    </row>
    <row r="32" spans="1:11" ht="12.75">
      <c r="A32">
        <v>24</v>
      </c>
      <c r="B32">
        <v>5.749275951024909</v>
      </c>
      <c r="C32">
        <v>5.749276951024909</v>
      </c>
      <c r="D32">
        <v>9.999999992515995E-07</v>
      </c>
      <c r="E32">
        <v>0.9861902303539012</v>
      </c>
      <c r="I32">
        <v>13</v>
      </c>
      <c r="J32" s="4">
        <f>1/99*($J$13-$J$12)+J31</f>
        <v>0.4992885113745771</v>
      </c>
      <c r="K32" s="5">
        <f>_XLL.PDENSITY($J$32,SimDataSolver!$E$9:$E$508,$J$14,$J$15,0)</f>
        <v>0.18270454996255842</v>
      </c>
    </row>
    <row r="33" spans="1:11" ht="12.75">
      <c r="A33">
        <v>25</v>
      </c>
      <c r="B33">
        <v>9.332404355193223</v>
      </c>
      <c r="C33">
        <v>9.332405355193222</v>
      </c>
      <c r="D33">
        <v>9.999999992515995E-07</v>
      </c>
      <c r="E33">
        <v>1.3365106484220075</v>
      </c>
      <c r="I33">
        <v>14</v>
      </c>
      <c r="J33" s="4">
        <f>1/99*($J$13-$J$12)+J32</f>
        <v>0.5139974506840332</v>
      </c>
      <c r="K33" s="5">
        <f>_XLL.PDENSITY($J$33,SimDataSolver!$E$9:$E$508,$J$14,$J$15,0)</f>
        <v>0.19851042679807046</v>
      </c>
    </row>
    <row r="34" spans="1:11" ht="12.75">
      <c r="A34">
        <v>26</v>
      </c>
      <c r="B34">
        <v>7.09539459429219</v>
      </c>
      <c r="C34">
        <v>7.095394594292191</v>
      </c>
      <c r="D34">
        <v>0</v>
      </c>
      <c r="E34">
        <v>0.7541090959437733</v>
      </c>
      <c r="I34">
        <v>15</v>
      </c>
      <c r="J34" s="4">
        <f>1/99*($J$13-$J$12)+J33</f>
        <v>0.5287063899934894</v>
      </c>
      <c r="K34" s="5">
        <f>_XLL.PDENSITY($J$34,SimDataSolver!$E$9:$E$508,$J$14,$J$15,0)</f>
        <v>0.2155813136500145</v>
      </c>
    </row>
    <row r="35" spans="1:11" ht="12.75">
      <c r="A35">
        <v>27</v>
      </c>
      <c r="B35">
        <v>7.5104801226690014</v>
      </c>
      <c r="C35">
        <v>7.510480122669001</v>
      </c>
      <c r="D35">
        <v>0</v>
      </c>
      <c r="E35">
        <v>0.8947348453806419</v>
      </c>
      <c r="I35">
        <v>16</v>
      </c>
      <c r="J35" s="4">
        <f>1/99*($J$13-$J$12)+J34</f>
        <v>0.5434153293029456</v>
      </c>
      <c r="K35" s="5">
        <f>_XLL.PDENSITY($J$35,SimDataSolver!$E$9:$E$508,$J$14,$J$15,0)</f>
        <v>0.23487450091388792</v>
      </c>
    </row>
    <row r="36" spans="1:11" ht="12.75">
      <c r="A36">
        <v>28</v>
      </c>
      <c r="B36">
        <v>7.179556843495983</v>
      </c>
      <c r="C36">
        <v>7.179556843495981</v>
      </c>
      <c r="D36">
        <v>0</v>
      </c>
      <c r="E36">
        <v>1.040998049114786</v>
      </c>
      <c r="I36">
        <v>17</v>
      </c>
      <c r="J36" s="4">
        <f>1/99*($J$13-$J$12)+J35</f>
        <v>0.5581242686124017</v>
      </c>
      <c r="K36" s="5">
        <f>_XLL.PDENSITY($J$36,SimDataSolver!$E$9:$E$508,$J$14,$J$15,0)</f>
        <v>0.25753998682264306</v>
      </c>
    </row>
    <row r="37" spans="1:11" ht="12.75">
      <c r="A37">
        <v>29</v>
      </c>
      <c r="B37">
        <v>8.971878124288203</v>
      </c>
      <c r="C37">
        <v>8.971879124288202</v>
      </c>
      <c r="D37">
        <v>9.999999992515995E-07</v>
      </c>
      <c r="E37">
        <v>1.294146132803448</v>
      </c>
      <c r="I37">
        <v>18</v>
      </c>
      <c r="J37" s="4">
        <f>1/99*($J$13-$J$12)+J36</f>
        <v>0.5728332079218579</v>
      </c>
      <c r="K37" s="5">
        <f>_XLL.PDENSITY($J$37,SimDataSolver!$E$9:$E$508,$J$14,$J$15,0)</f>
        <v>0.284774883959853</v>
      </c>
    </row>
    <row r="38" spans="1:11" ht="12.75">
      <c r="A38">
        <v>30</v>
      </c>
      <c r="B38">
        <v>7.7450447562205245</v>
      </c>
      <c r="C38">
        <v>7.7450447562205245</v>
      </c>
      <c r="D38">
        <v>0</v>
      </c>
      <c r="E38">
        <v>0.9612218525112559</v>
      </c>
      <c r="I38">
        <v>19</v>
      </c>
      <c r="J38" s="4">
        <f>1/99*($J$13-$J$12)+J37</f>
        <v>0.587542147231314</v>
      </c>
      <c r="K38" s="5">
        <f>_XLL.PDENSITY($J$38,SimDataSolver!$E$9:$E$508,$J$14,$J$15,0)</f>
        <v>0.3176444652633697</v>
      </c>
    </row>
    <row r="39" spans="1:11" ht="12.75">
      <c r="A39">
        <v>31</v>
      </c>
      <c r="B39">
        <v>7.189904280118988</v>
      </c>
      <c r="C39">
        <v>7.18990328011899</v>
      </c>
      <c r="D39">
        <v>-9.999999974752427E-07</v>
      </c>
      <c r="E39">
        <v>0.9186786921286793</v>
      </c>
      <c r="I39">
        <v>20</v>
      </c>
      <c r="J39" s="4">
        <f>1/99*($J$13-$J$12)+J38</f>
        <v>0.6022510865407702</v>
      </c>
      <c r="K39" s="5">
        <f>_XLL.PDENSITY($J$39,SimDataSolver!$E$9:$E$508,$J$14,$J$15,0)</f>
        <v>0.3569080905771521</v>
      </c>
    </row>
    <row r="40" spans="1:11" ht="12.75">
      <c r="A40">
        <v>32</v>
      </c>
      <c r="B40">
        <v>6.8335043205161945</v>
      </c>
      <c r="C40">
        <v>6.833505320516194</v>
      </c>
      <c r="D40">
        <v>9.999999992515995E-07</v>
      </c>
      <c r="E40">
        <v>0.975170563582518</v>
      </c>
      <c r="I40">
        <v>21</v>
      </c>
      <c r="J40" s="4">
        <f>1/99*($J$13-$J$12)+J39</f>
        <v>0.6169600258502264</v>
      </c>
      <c r="K40" s="5">
        <f>_XLL.PDENSITY($J$40,SimDataSolver!$E$9:$E$508,$J$14,$J$15,0)</f>
        <v>0.40289089403317996</v>
      </c>
    </row>
    <row r="41" spans="1:11" ht="12.75">
      <c r="A41">
        <v>33</v>
      </c>
      <c r="B41">
        <v>7.184226479105996</v>
      </c>
      <c r="C41">
        <v>7.184225479105997</v>
      </c>
      <c r="D41">
        <v>-9.999999992515995E-07</v>
      </c>
      <c r="E41">
        <v>0.7206370285083334</v>
      </c>
      <c r="I41">
        <v>22</v>
      </c>
      <c r="J41" s="4">
        <f>1/99*($J$13-$J$12)+J40</f>
        <v>0.6316689651596825</v>
      </c>
      <c r="K41" s="5">
        <f>_XLL.PDENSITY($J$41,SimDataSolver!$E$9:$E$508,$J$14,$J$15,0)</f>
        <v>0.45543154417370757</v>
      </c>
    </row>
    <row r="42" spans="1:11" ht="12.75">
      <c r="A42">
        <v>34</v>
      </c>
      <c r="B42">
        <v>10.41317973636411</v>
      </c>
      <c r="C42">
        <v>10.413179736364109</v>
      </c>
      <c r="D42">
        <v>0</v>
      </c>
      <c r="E42">
        <v>1.5048985140347617</v>
      </c>
      <c r="I42">
        <v>23</v>
      </c>
      <c r="J42" s="4">
        <f>1/99*($J$13-$J$12)+J41</f>
        <v>0.6463779044691387</v>
      </c>
      <c r="K42" s="5">
        <f>_XLL.PDENSITY($J$42,SimDataSolver!$E$9:$E$508,$J$14,$J$15,0)</f>
        <v>0.5139151740001165</v>
      </c>
    </row>
    <row r="43" spans="1:11" ht="12.75">
      <c r="A43">
        <v>35</v>
      </c>
      <c r="B43">
        <v>5.134223543194807</v>
      </c>
      <c r="C43">
        <v>5.134222543194808</v>
      </c>
      <c r="D43">
        <v>-9.999999992515995E-07</v>
      </c>
      <c r="E43">
        <v>0.6440798727621196</v>
      </c>
      <c r="I43">
        <v>24</v>
      </c>
      <c r="J43" s="4">
        <f>1/99*($J$13-$J$12)+J42</f>
        <v>0.6610868437785948</v>
      </c>
      <c r="K43" s="5">
        <f>_XLL.PDENSITY($J$43,SimDataSolver!$E$9:$E$508,$J$14,$J$15,0)</f>
        <v>0.5773760578658345</v>
      </c>
    </row>
    <row r="44" spans="1:11" ht="12.75">
      <c r="A44">
        <v>36</v>
      </c>
      <c r="B44">
        <v>5.344205851592162</v>
      </c>
      <c r="C44">
        <v>5.344206851592161</v>
      </c>
      <c r="D44">
        <v>9.999999992515995E-07</v>
      </c>
      <c r="E44">
        <v>0.7114476385533435</v>
      </c>
      <c r="I44">
        <v>25</v>
      </c>
      <c r="J44" s="4">
        <f>1/99*($J$13-$J$12)+J43</f>
        <v>0.675795783088051</v>
      </c>
      <c r="K44" s="5">
        <f>_XLL.PDENSITY($J$44,SimDataSolver!$E$9:$E$508,$J$14,$J$15,0)</f>
        <v>0.6446363085909746</v>
      </c>
    </row>
    <row r="45" spans="1:11" ht="12.75">
      <c r="A45">
        <v>37</v>
      </c>
      <c r="B45">
        <v>9.764780960037015</v>
      </c>
      <c r="C45">
        <v>9.764781960037014</v>
      </c>
      <c r="D45">
        <v>9.999999992515995E-07</v>
      </c>
      <c r="E45">
        <v>1.299615961584249</v>
      </c>
      <c r="I45">
        <v>26</v>
      </c>
      <c r="J45" s="4">
        <f>1/99*($J$13-$J$12)+J44</f>
        <v>0.6905047223975072</v>
      </c>
      <c r="K45" s="5">
        <f>_XLL.PDENSITY($J$45,SimDataSolver!$E$9:$E$508,$J$14,$J$15,0)</f>
        <v>0.7144423520465016</v>
      </c>
    </row>
    <row r="46" spans="1:11" ht="12.75">
      <c r="A46">
        <v>38</v>
      </c>
      <c r="B46">
        <v>9.161458056860505</v>
      </c>
      <c r="C46">
        <v>9.161457056860506</v>
      </c>
      <c r="D46">
        <v>-9.999999992515995E-07</v>
      </c>
      <c r="E46">
        <v>1.1727705934265464</v>
      </c>
      <c r="I46">
        <v>27</v>
      </c>
      <c r="J46" s="4">
        <f>1/99*($J$13-$J$12)+J45</f>
        <v>0.7052136617069633</v>
      </c>
      <c r="K46" s="5">
        <f>_XLL.PDENSITY($J$46,SimDataSolver!$E$9:$E$508,$J$14,$J$15,0)</f>
        <v>0.7855719159467397</v>
      </c>
    </row>
    <row r="47" spans="1:11" ht="12.75">
      <c r="A47">
        <v>39</v>
      </c>
      <c r="B47">
        <v>7.518641028030052</v>
      </c>
      <c r="C47">
        <v>7.5186400280300525</v>
      </c>
      <c r="D47">
        <v>-9.999999992515995E-07</v>
      </c>
      <c r="E47">
        <v>0.8767205535053015</v>
      </c>
      <c r="I47">
        <v>28</v>
      </c>
      <c r="J47" s="4">
        <f>1/99*($J$13-$J$12)+J46</f>
        <v>0.7199226010164195</v>
      </c>
      <c r="K47" s="5">
        <f>_XLL.PDENSITY($J$47,SimDataSolver!$E$9:$E$508,$J$14,$J$15,0)</f>
        <v>0.8569050381028173</v>
      </c>
    </row>
    <row r="48" spans="1:11" ht="12.75">
      <c r="A48">
        <v>40</v>
      </c>
      <c r="B48">
        <v>5.961353298820227</v>
      </c>
      <c r="C48">
        <v>5.961353298820226</v>
      </c>
      <c r="D48">
        <v>0</v>
      </c>
      <c r="E48">
        <v>0.9431560646781698</v>
      </c>
      <c r="I48">
        <v>29</v>
      </c>
      <c r="J48" s="4">
        <f>1/99*($J$13-$J$12)+J47</f>
        <v>0.7346315403258756</v>
      </c>
      <c r="K48" s="5">
        <f>_XLL.PDENSITY($J$48,SimDataSolver!$E$9:$E$508,$J$14,$J$15,0)</f>
        <v>0.9274721984366896</v>
      </c>
    </row>
    <row r="49" spans="1:11" ht="12.75">
      <c r="A49">
        <v>41</v>
      </c>
      <c r="B49">
        <v>12.729080445703858</v>
      </c>
      <c r="C49">
        <v>12.729081445703855</v>
      </c>
      <c r="D49">
        <v>9.999999974752427E-07</v>
      </c>
      <c r="E49">
        <v>1.7789662312972654</v>
      </c>
      <c r="I49">
        <v>30</v>
      </c>
      <c r="J49" s="4">
        <f>1/99*($J$13-$J$12)+J48</f>
        <v>0.7493404796353318</v>
      </c>
      <c r="K49" s="5">
        <f>_XLL.PDENSITY($J$49,SimDataSolver!$E$9:$E$508,$J$14,$J$15,0)</f>
        <v>0.9965002613896182</v>
      </c>
    </row>
    <row r="50" spans="1:11" ht="12.75">
      <c r="A50">
        <v>42</v>
      </c>
      <c r="B50">
        <v>3.108369027064234</v>
      </c>
      <c r="C50">
        <v>3.1083680270642366</v>
      </c>
      <c r="D50">
        <v>-9.999999974752427E-07</v>
      </c>
      <c r="E50">
        <v>0.3227812396611025</v>
      </c>
      <c r="I50">
        <v>31</v>
      </c>
      <c r="J50" s="4">
        <f>1/99*($J$13-$J$12)+J49</f>
        <v>0.764049418944788</v>
      </c>
      <c r="K50" s="5">
        <f>_XLL.PDENSITY($J$50,SimDataSolver!$E$9:$E$508,$J$14,$J$15,0)</f>
        <v>1.063467758571518</v>
      </c>
    </row>
    <row r="51" spans="1:11" ht="12.75">
      <c r="A51">
        <v>43</v>
      </c>
      <c r="B51">
        <v>8.221495551362427</v>
      </c>
      <c r="C51">
        <v>8.221496551362426</v>
      </c>
      <c r="D51">
        <v>9.999999992515995E-07</v>
      </c>
      <c r="E51">
        <v>1.0294588402206966</v>
      </c>
      <c r="I51">
        <v>32</v>
      </c>
      <c r="J51" s="4">
        <f>1/99*($J$13-$J$12)+J50</f>
        <v>0.7787583582542441</v>
      </c>
      <c r="K51" s="5">
        <f>_XLL.PDENSITY($J$51,SimDataSolver!$E$9:$E$508,$J$14,$J$15,0)</f>
        <v>1.1281598141792286</v>
      </c>
    </row>
    <row r="52" spans="1:11" ht="12.75">
      <c r="A52">
        <v>44</v>
      </c>
      <c r="B52">
        <v>5.485473265205411</v>
      </c>
      <c r="C52">
        <v>5.485472265205412</v>
      </c>
      <c r="D52">
        <v>-9.999999992515995E-07</v>
      </c>
      <c r="E52">
        <v>0.8468611788440672</v>
      </c>
      <c r="I52">
        <v>33</v>
      </c>
      <c r="J52" s="4">
        <f>1/99*($J$13-$J$12)+J51</f>
        <v>0.7934672975637003</v>
      </c>
      <c r="K52" s="5">
        <f>_XLL.PDENSITY($J$52,SimDataSolver!$E$9:$E$508,$J$14,$J$15,0)</f>
        <v>1.1906920510823686</v>
      </c>
    </row>
    <row r="53" spans="1:11" ht="12.75">
      <c r="A53">
        <v>45</v>
      </c>
      <c r="B53">
        <v>7.646727387073009</v>
      </c>
      <c r="C53">
        <v>7.646728387073008</v>
      </c>
      <c r="D53">
        <v>9.999999992515995E-07</v>
      </c>
      <c r="E53">
        <v>0.8781508832026632</v>
      </c>
      <c r="I53">
        <v>34</v>
      </c>
      <c r="J53" s="4">
        <f>1/99*($J$13-$J$12)+J52</f>
        <v>0.8081762368731564</v>
      </c>
      <c r="K53" s="5">
        <f>_XLL.PDENSITY($J$53,SimDataSolver!$E$9:$E$508,$J$14,$J$15,0)</f>
        <v>1.2514658530651164</v>
      </c>
    </row>
    <row r="54" spans="1:11" ht="12.75">
      <c r="A54">
        <v>46</v>
      </c>
      <c r="B54">
        <v>6.568453631598026</v>
      </c>
      <c r="C54">
        <v>6.568453631598025</v>
      </c>
      <c r="D54">
        <v>0</v>
      </c>
      <c r="E54">
        <v>0.684176569861487</v>
      </c>
      <c r="I54">
        <v>35</v>
      </c>
      <c r="J54" s="4">
        <f>1/99*($J$13-$J$12)+J53</f>
        <v>0.8228851761826126</v>
      </c>
      <c r="K54" s="5">
        <f>_XLL.PDENSITY($J$54,SimDataSolver!$E$9:$E$508,$J$14,$J$15,0)</f>
        <v>1.3110319194478204</v>
      </c>
    </row>
    <row r="55" spans="1:11" ht="12.75">
      <c r="A55">
        <v>47</v>
      </c>
      <c r="B55">
        <v>9.262801202757693</v>
      </c>
      <c r="C55">
        <v>9.262802202757692</v>
      </c>
      <c r="D55">
        <v>9.999999992515995E-07</v>
      </c>
      <c r="E55">
        <v>1.3887687786950795</v>
      </c>
      <c r="I55">
        <v>36</v>
      </c>
      <c r="J55" s="4">
        <f>1/99*($J$13-$J$12)+J54</f>
        <v>0.8375941154920687</v>
      </c>
      <c r="K55" s="5">
        <f>_XLL.PDENSITY($J$55,SimDataSolver!$E$9:$E$508,$J$14,$J$15,0)</f>
        <v>1.3698716402593845</v>
      </c>
    </row>
    <row r="56" spans="1:11" ht="12.75">
      <c r="A56">
        <v>48</v>
      </c>
      <c r="B56">
        <v>8.843436438227993</v>
      </c>
      <c r="C56">
        <v>8.843436438227995</v>
      </c>
      <c r="D56">
        <v>0</v>
      </c>
      <c r="E56">
        <v>1.2411429852618254</v>
      </c>
      <c r="I56">
        <v>37</v>
      </c>
      <c r="J56" s="4">
        <f>1/99*($J$13-$J$12)+J55</f>
        <v>0.8523030548015249</v>
      </c>
      <c r="K56" s="5">
        <f>_XLL.PDENSITY($J$56,SimDataSolver!$E$9:$E$508,$J$14,$J$15,0)</f>
        <v>1.4281428306520292</v>
      </c>
    </row>
    <row r="57" spans="1:11" ht="12.75">
      <c r="A57">
        <v>49</v>
      </c>
      <c r="B57">
        <v>7.925854194061968</v>
      </c>
      <c r="C57">
        <v>7.925853194061969</v>
      </c>
      <c r="D57">
        <v>-9.999999983634211E-07</v>
      </c>
      <c r="E57">
        <v>0.8558569297066523</v>
      </c>
      <c r="I57">
        <v>38</v>
      </c>
      <c r="J57" s="4">
        <f>1/99*($J$13-$J$12)+J56</f>
        <v>0.8670119941109811</v>
      </c>
      <c r="K57" s="5">
        <f>_XLL.PDENSITY($J$57,SimDataSolver!$E$9:$E$508,$J$14,$J$15,0)</f>
        <v>1.4854604736903454</v>
      </c>
    </row>
    <row r="58" spans="1:11" ht="12.75">
      <c r="A58">
        <v>50</v>
      </c>
      <c r="B58">
        <v>5.450503895790364</v>
      </c>
      <c r="C58">
        <v>5.450502895790365</v>
      </c>
      <c r="D58">
        <v>-9.999999992515995E-07</v>
      </c>
      <c r="E58">
        <v>0.6708214069846887</v>
      </c>
      <c r="I58">
        <v>39</v>
      </c>
      <c r="J58" s="4">
        <f>1/99*($J$13-$J$12)+J57</f>
        <v>0.8817209334204372</v>
      </c>
      <c r="K58" s="5">
        <f>_XLL.PDENSITY($J$58,SimDataSolver!$E$9:$E$508,$J$14,$J$15,0)</f>
        <v>1.5407820294643984</v>
      </c>
    </row>
    <row r="59" spans="1:11" ht="12.75">
      <c r="A59">
        <v>51</v>
      </c>
      <c r="B59">
        <v>9.079505555081507</v>
      </c>
      <c r="C59">
        <v>9.079505555081507</v>
      </c>
      <c r="D59">
        <v>0</v>
      </c>
      <c r="E59">
        <v>1.246139844415623</v>
      </c>
      <c r="I59">
        <v>40</v>
      </c>
      <c r="J59" s="4">
        <f>1/99*($J$13-$J$12)+J58</f>
        <v>0.8964298727298934</v>
      </c>
      <c r="K59" s="5">
        <f>_XLL.PDENSITY($J$59,SimDataSolver!$E$9:$E$508,$J$14,$J$15,0)</f>
        <v>1.5924397019909167</v>
      </c>
    </row>
    <row r="60" spans="1:11" ht="12.75">
      <c r="A60">
        <v>52</v>
      </c>
      <c r="B60">
        <v>8.047127213912098</v>
      </c>
      <c r="C60">
        <v>8.0471272139121</v>
      </c>
      <c r="D60">
        <v>0</v>
      </c>
      <c r="E60">
        <v>0.8381439903620451</v>
      </c>
      <c r="I60">
        <v>41</v>
      </c>
      <c r="J60" s="4">
        <f>1/99*($J$13-$J$12)+J59</f>
        <v>0.9111388120393495</v>
      </c>
      <c r="K60" s="5">
        <f>_XLL.PDENSITY($J$60,SimDataSolver!$E$9:$E$508,$J$14,$J$15,0)</f>
        <v>1.6383199197276783</v>
      </c>
    </row>
    <row r="61" spans="1:11" ht="12.75">
      <c r="A61">
        <v>53</v>
      </c>
      <c r="B61">
        <v>7.496189387227037</v>
      </c>
      <c r="C61">
        <v>7.496190387227037</v>
      </c>
      <c r="D61">
        <v>9.999999992515995E-07</v>
      </c>
      <c r="E61">
        <v>1.1022749686617992</v>
      </c>
      <c r="I61">
        <v>42</v>
      </c>
      <c r="J61" s="4">
        <f>1/99*($J$13-$J$12)+J60</f>
        <v>0.9258477513488057</v>
      </c>
      <c r="K61" s="5">
        <f>_XLL.PDENSITY($J$61,SimDataSolver!$E$9:$E$508,$J$14,$J$15,0)</f>
        <v>1.6761505239093004</v>
      </c>
    </row>
    <row r="62" spans="1:11" ht="12.75">
      <c r="A62">
        <v>54</v>
      </c>
      <c r="B62">
        <v>7.131684119021324</v>
      </c>
      <c r="C62">
        <v>7.131683119021325</v>
      </c>
      <c r="D62">
        <v>-9.999999992515995E-07</v>
      </c>
      <c r="E62">
        <v>0.7336759321551909</v>
      </c>
      <c r="I62">
        <v>43</v>
      </c>
      <c r="J62" s="4">
        <f>1/99*($J$13-$J$12)+J61</f>
        <v>0.9405566906582619</v>
      </c>
      <c r="K62" s="5">
        <f>_XLL.PDENSITY($J$62,SimDataSolver!$E$9:$E$508,$J$14,$J$15,0)</f>
        <v>1.7038334188310176</v>
      </c>
    </row>
    <row r="63" spans="1:11" ht="12.75">
      <c r="A63">
        <v>55</v>
      </c>
      <c r="B63">
        <v>5.669315108109701</v>
      </c>
      <c r="C63">
        <v>5.669314108109702</v>
      </c>
      <c r="D63">
        <v>-9.999999992515995E-07</v>
      </c>
      <c r="E63">
        <v>0.6586924332495961</v>
      </c>
      <c r="I63">
        <v>44</v>
      </c>
      <c r="J63" s="4">
        <f>1/99*($J$13-$J$12)+J62</f>
        <v>0.955265629967718</v>
      </c>
      <c r="K63" s="5">
        <f>_XLL.PDENSITY($J$63,SimDataSolver!$E$9:$E$508,$J$14,$J$15,0)</f>
        <v>1.7197595896894227</v>
      </c>
    </row>
    <row r="64" spans="1:11" ht="12.75">
      <c r="A64">
        <v>56</v>
      </c>
      <c r="B64">
        <v>9.837022715363508</v>
      </c>
      <c r="C64">
        <v>9.837022715363506</v>
      </c>
      <c r="D64">
        <v>0</v>
      </c>
      <c r="E64">
        <v>1.099799658218787</v>
      </c>
      <c r="I64">
        <v>45</v>
      </c>
      <c r="J64" s="4">
        <f>1/99*($J$13-$J$12)+J63</f>
        <v>0.9699745692771742</v>
      </c>
      <c r="K64" s="5">
        <f>_XLL.PDENSITY($J$64,SimDataSolver!$E$9:$E$508,$J$14,$J$15,0)</f>
        <v>1.7230583500884242</v>
      </c>
    </row>
    <row r="65" spans="1:11" ht="12.75">
      <c r="A65">
        <v>57</v>
      </c>
      <c r="B65">
        <v>9.812088296707538</v>
      </c>
      <c r="C65">
        <v>9.812088296707536</v>
      </c>
      <c r="D65">
        <v>0</v>
      </c>
      <c r="E65">
        <v>1.1923998282864927</v>
      </c>
      <c r="I65">
        <v>46</v>
      </c>
      <c r="J65" s="4">
        <f>1/99*($J$13-$J$12)+J64</f>
        <v>0.9846835085866303</v>
      </c>
      <c r="K65" s="5">
        <f>_XLL.PDENSITY($J$65,SimDataSolver!$E$9:$E$508,$J$14,$J$15,0)</f>
        <v>1.7137516317602317</v>
      </c>
    </row>
    <row r="66" spans="1:11" ht="12.75">
      <c r="A66">
        <v>58</v>
      </c>
      <c r="B66">
        <v>9.046264655773754</v>
      </c>
      <c r="C66">
        <v>9.046264655773754</v>
      </c>
      <c r="D66">
        <v>0</v>
      </c>
      <c r="E66">
        <v>0.992114657023146</v>
      </c>
      <c r="I66">
        <v>47</v>
      </c>
      <c r="J66" s="4">
        <f>1/99*($J$13-$J$12)+J65</f>
        <v>0.9993924478960865</v>
      </c>
      <c r="K66" s="5">
        <f>_XLL.PDENSITY($J$66,SimDataSolver!$E$9:$E$508,$J$14,$J$15,0)</f>
        <v>1.6927976845630917</v>
      </c>
    </row>
    <row r="67" spans="1:11" ht="12.75">
      <c r="A67">
        <v>59</v>
      </c>
      <c r="B67">
        <v>9.137530319628333</v>
      </c>
      <c r="C67">
        <v>9.137530319628333</v>
      </c>
      <c r="D67">
        <v>0</v>
      </c>
      <c r="E67">
        <v>1.3658082998711145</v>
      </c>
      <c r="I67">
        <v>48</v>
      </c>
      <c r="J67" s="4">
        <f>1/99*($J$13-$J$12)+J66</f>
        <v>1.0141013872055427</v>
      </c>
      <c r="K67" s="5">
        <f>_XLL.PDENSITY($J$67,SimDataSolver!$E$9:$E$508,$J$14,$J$15,0)</f>
        <v>1.6620154588801004</v>
      </c>
    </row>
    <row r="68" spans="1:11" ht="12.75">
      <c r="A68">
        <v>60</v>
      </c>
      <c r="B68">
        <v>7.7545799725748035</v>
      </c>
      <c r="C68">
        <v>7.7545799725748035</v>
      </c>
      <c r="D68">
        <v>0</v>
      </c>
      <c r="E68">
        <v>0.9118026983973924</v>
      </c>
      <c r="I68">
        <v>49</v>
      </c>
      <c r="J68" s="4">
        <f>1/99*($J$13-$J$12)+J67</f>
        <v>1.0288103265149988</v>
      </c>
      <c r="K68" s="5">
        <f>_XLL.PDENSITY($J$68,SimDataSolver!$E$9:$E$508,$J$14,$J$15,0)</f>
        <v>1.6238876345487774</v>
      </c>
    </row>
    <row r="69" spans="1:11" ht="12.75">
      <c r="A69">
        <v>61</v>
      </c>
      <c r="B69">
        <v>8.330103962329359</v>
      </c>
      <c r="C69">
        <v>8.330104962329358</v>
      </c>
      <c r="D69">
        <v>9.999999992515995E-07</v>
      </c>
      <c r="E69">
        <v>1.128751228196072</v>
      </c>
      <c r="I69">
        <v>50</v>
      </c>
      <c r="J69" s="4">
        <f>1/99*($J$13-$J$12)+J68</f>
        <v>1.043519265824455</v>
      </c>
      <c r="K69" s="5">
        <f>_XLL.PDENSITY($J$69,SimDataSolver!$E$9:$E$508,$J$14,$J$15,0)</f>
        <v>1.5812547334798348</v>
      </c>
    </row>
    <row r="70" spans="1:11" ht="12.75">
      <c r="A70">
        <v>62</v>
      </c>
      <c r="B70">
        <v>7.840323444754443</v>
      </c>
      <c r="C70">
        <v>7.8403234447544445</v>
      </c>
      <c r="D70">
        <v>0</v>
      </c>
      <c r="E70">
        <v>1.0608753447502208</v>
      </c>
      <c r="I70">
        <v>51</v>
      </c>
      <c r="J70" s="4">
        <f>1/99*($J$13-$J$12)+J69</f>
        <v>1.0582282051339111</v>
      </c>
      <c r="K70" s="5">
        <f>_XLL.PDENSITY($J$70,SimDataSolver!$E$9:$E$508,$J$14,$J$15,0)</f>
        <v>1.536937047018965</v>
      </c>
    </row>
    <row r="71" spans="1:11" ht="12.75">
      <c r="A71">
        <v>63</v>
      </c>
      <c r="B71">
        <v>7.822376600823076</v>
      </c>
      <c r="C71">
        <v>7.822376600823076</v>
      </c>
      <c r="D71">
        <v>0</v>
      </c>
      <c r="E71">
        <v>0.7793617050103883</v>
      </c>
      <c r="I71">
        <v>52</v>
      </c>
      <c r="J71" s="4">
        <f>1/99*($J$13-$J$12)+J70</f>
        <v>1.0729371444433673</v>
      </c>
      <c r="K71" s="5">
        <f>_XLL.PDENSITY($J$71,SimDataSolver!$E$9:$E$508,$J$14,$J$15,0)</f>
        <v>1.4933477759199456</v>
      </c>
    </row>
    <row r="72" spans="1:11" ht="12.75">
      <c r="A72">
        <v>64</v>
      </c>
      <c r="B72">
        <v>9.995488591745517</v>
      </c>
      <c r="C72">
        <v>9.995489591745516</v>
      </c>
      <c r="D72">
        <v>9.999999992515995E-07</v>
      </c>
      <c r="E72">
        <v>1.3352825952777692</v>
      </c>
      <c r="I72">
        <v>53</v>
      </c>
      <c r="J72" s="4">
        <f>1/99*($J$13-$J$12)+J71</f>
        <v>1.0876460837528235</v>
      </c>
      <c r="K72" s="5">
        <f>_XLL.PDENSITY($J$72,SimDataSolver!$E$9:$E$508,$J$14,$J$15,0)</f>
        <v>1.4521760548965519</v>
      </c>
    </row>
    <row r="73" spans="1:11" ht="12.75">
      <c r="A73">
        <v>65</v>
      </c>
      <c r="B73">
        <v>11.138442327036397</v>
      </c>
      <c r="C73">
        <v>11.138442327036396</v>
      </c>
      <c r="D73">
        <v>0</v>
      </c>
      <c r="E73">
        <v>1.4677882098962176</v>
      </c>
      <c r="I73">
        <v>54</v>
      </c>
      <c r="J73" s="4">
        <f>1/99*($J$13-$J$12)+J72</f>
        <v>1.1023550230622796</v>
      </c>
      <c r="K73" s="5">
        <f>_XLL.PDENSITY($J$73,SimDataSolver!$E$9:$E$508,$J$14,$J$15,0)</f>
        <v>1.414210471863546</v>
      </c>
    </row>
    <row r="74" spans="1:11" ht="12.75">
      <c r="A74">
        <v>66</v>
      </c>
      <c r="B74">
        <v>9.275327337568216</v>
      </c>
      <c r="C74">
        <v>9.275327337568214</v>
      </c>
      <c r="D74">
        <v>0</v>
      </c>
      <c r="E74">
        <v>1.3020588773669741</v>
      </c>
      <c r="I74">
        <v>55</v>
      </c>
      <c r="J74" s="4">
        <f>1/99*($J$13-$J$12)+J73</f>
        <v>1.1170639623717358</v>
      </c>
      <c r="K74" s="5">
        <f>_XLL.PDENSITY($J$74,SimDataSolver!$E$9:$E$508,$J$14,$J$15,0)</f>
        <v>1.379340186561704</v>
      </c>
    </row>
    <row r="75" spans="1:11" ht="12.75">
      <c r="A75">
        <v>67</v>
      </c>
      <c r="B75">
        <v>9.483486515569586</v>
      </c>
      <c r="C75">
        <v>9.483486515569588</v>
      </c>
      <c r="D75">
        <v>0</v>
      </c>
      <c r="E75">
        <v>1.0617884889707225</v>
      </c>
      <c r="I75">
        <v>56</v>
      </c>
      <c r="J75" s="4">
        <f>1/99*($J$13-$J$12)+J74</f>
        <v>1.131772901681192</v>
      </c>
      <c r="K75" s="5">
        <f>_XLL.PDENSITY($J$75,SimDataSolver!$E$9:$E$508,$J$14,$J$15,0)</f>
        <v>1.3467222584534018</v>
      </c>
    </row>
    <row r="76" spans="1:11" ht="12.75">
      <c r="A76">
        <v>68</v>
      </c>
      <c r="B76">
        <v>8.642492875677952</v>
      </c>
      <c r="C76">
        <v>8.642493875677951</v>
      </c>
      <c r="D76">
        <v>9.999999992515995E-07</v>
      </c>
      <c r="E76">
        <v>1.1389823371247776</v>
      </c>
      <c r="I76">
        <v>57</v>
      </c>
      <c r="J76" s="4">
        <f>1/99*($J$13-$J$12)+J75</f>
        <v>1.146481840990648</v>
      </c>
      <c r="K76" s="5">
        <f>_XLL.PDENSITY($J$76,SimDataSolver!$E$9:$E$508,$J$14,$J$15,0)</f>
        <v>1.3150588438585784</v>
      </c>
    </row>
    <row r="77" spans="1:11" ht="12.75">
      <c r="A77">
        <v>69</v>
      </c>
      <c r="B77">
        <v>9.645602028532945</v>
      </c>
      <c r="C77">
        <v>9.645602028532945</v>
      </c>
      <c r="D77">
        <v>0</v>
      </c>
      <c r="E77">
        <v>1.3392521058887106</v>
      </c>
      <c r="I77">
        <v>58</v>
      </c>
      <c r="J77" s="4">
        <f>1/99*($J$13-$J$12)+J76</f>
        <v>1.1611907803001043</v>
      </c>
      <c r="K77" s="5">
        <f>_XLL.PDENSITY($J$77,SimDataSolver!$E$9:$E$508,$J$14,$J$15,0)</f>
        <v>1.282903946470072</v>
      </c>
    </row>
    <row r="78" spans="1:11" ht="12.75">
      <c r="A78">
        <v>70</v>
      </c>
      <c r="B78">
        <v>8.51229619479892</v>
      </c>
      <c r="C78">
        <v>8.51229519479892</v>
      </c>
      <c r="D78">
        <v>-9.999999992515995E-07</v>
      </c>
      <c r="E78">
        <v>1.1632861259755787</v>
      </c>
      <c r="I78">
        <v>59</v>
      </c>
      <c r="J78" s="4">
        <f>1/99*($J$13-$J$12)+J77</f>
        <v>1.1758997196095604</v>
      </c>
      <c r="K78" s="5">
        <f>_XLL.PDENSITY($J$78,SimDataSolver!$E$9:$E$508,$J$14,$J$15,0)</f>
        <v>1.2489241447659267</v>
      </c>
    </row>
    <row r="79" spans="1:11" ht="12.75">
      <c r="A79">
        <v>71</v>
      </c>
      <c r="B79">
        <v>7.235087413306511</v>
      </c>
      <c r="C79">
        <v>7.235087413306512</v>
      </c>
      <c r="D79">
        <v>0</v>
      </c>
      <c r="E79">
        <v>0.9166227567193592</v>
      </c>
      <c r="I79">
        <v>60</v>
      </c>
      <c r="J79" s="4">
        <f>1/99*($J$13-$J$12)+J78</f>
        <v>1.1906086589190166</v>
      </c>
      <c r="K79" s="5">
        <f>_XLL.PDENSITY($J$79,SimDataSolver!$E$9:$E$508,$J$14,$J$15,0)</f>
        <v>1.21206604460185</v>
      </c>
    </row>
    <row r="80" spans="1:11" ht="12.75">
      <c r="A80">
        <v>72</v>
      </c>
      <c r="B80">
        <v>7.970648947808276</v>
      </c>
      <c r="C80">
        <v>7.970648947808275</v>
      </c>
      <c r="D80">
        <v>0</v>
      </c>
      <c r="E80">
        <v>0.9179568083048704</v>
      </c>
      <c r="I80">
        <v>61</v>
      </c>
      <c r="J80" s="4">
        <f>1/99*($J$13-$J$12)+J79</f>
        <v>1.2053175982284727</v>
      </c>
      <c r="K80" s="5">
        <f>_XLL.PDENSITY($J$80,SimDataSolver!$E$9:$E$508,$J$14,$J$15,0)</f>
        <v>1.1716207680804276</v>
      </c>
    </row>
    <row r="81" spans="1:11" ht="12.75">
      <c r="A81">
        <v>73</v>
      </c>
      <c r="B81">
        <v>7.355682614607633</v>
      </c>
      <c r="C81">
        <v>7.355683614607632</v>
      </c>
      <c r="D81">
        <v>9.999999992515995E-07</v>
      </c>
      <c r="E81">
        <v>1.0514978414847604</v>
      </c>
      <c r="I81">
        <v>62</v>
      </c>
      <c r="J81" s="4">
        <f>1/99*($J$13-$J$12)+J80</f>
        <v>1.220026537537929</v>
      </c>
      <c r="K81" s="5">
        <f>_XLL.PDENSITY($J$81,SimDataSolver!$E$9:$E$508,$J$14,$J$15,0)</f>
        <v>1.1272069431071363</v>
      </c>
    </row>
    <row r="82" spans="1:11" ht="12.75">
      <c r="A82">
        <v>74</v>
      </c>
      <c r="B82">
        <v>8.301114689485164</v>
      </c>
      <c r="C82">
        <v>8.301115689485163</v>
      </c>
      <c r="D82">
        <v>9.999999992515995E-07</v>
      </c>
      <c r="E82">
        <v>1.1387687986865676</v>
      </c>
      <c r="I82">
        <v>63</v>
      </c>
      <c r="J82" s="4">
        <f>1/99*($J$13-$J$12)+J81</f>
        <v>1.234735476847385</v>
      </c>
      <c r="K82" s="5">
        <f>_XLL.PDENSITY($J$82,SimDataSolver!$E$9:$E$508,$J$14,$J$15,0)</f>
        <v>1.078708880492773</v>
      </c>
    </row>
    <row r="83" spans="1:11" ht="12.75">
      <c r="A83">
        <v>75</v>
      </c>
      <c r="B83">
        <v>8.767767514049789</v>
      </c>
      <c r="C83">
        <v>8.76776651404979</v>
      </c>
      <c r="D83">
        <v>-9.999999992515995E-07</v>
      </c>
      <c r="E83">
        <v>1.1173532412368317</v>
      </c>
      <c r="I83">
        <v>64</v>
      </c>
      <c r="J83" s="4">
        <f>1/99*($J$13-$J$12)+J82</f>
        <v>1.2494444161568412</v>
      </c>
      <c r="K83" s="5">
        <f>_XLL.PDENSITY($J$83,SimDataSolver!$E$9:$E$508,$J$14,$J$15,0)</f>
        <v>1.026205519702066</v>
      </c>
    </row>
    <row r="84" spans="1:11" ht="12.75">
      <c r="A84">
        <v>76</v>
      </c>
      <c r="B84">
        <v>5.765005058085296</v>
      </c>
      <c r="C84">
        <v>5.765005058085296</v>
      </c>
      <c r="D84">
        <v>0</v>
      </c>
      <c r="E84">
        <v>0.9236526144953582</v>
      </c>
      <c r="I84">
        <v>65</v>
      </c>
      <c r="J84" s="4">
        <f>1/99*($J$13-$J$12)+J83</f>
        <v>1.2641533554662974</v>
      </c>
      <c r="K84" s="5">
        <f>_XLL.PDENSITY($J$84,SimDataSolver!$E$9:$E$508,$J$14,$J$15,0)</f>
        <v>0.9699146992065699</v>
      </c>
    </row>
    <row r="85" spans="1:11" ht="12.75">
      <c r="A85">
        <v>77</v>
      </c>
      <c r="B85">
        <v>6.831998011357384</v>
      </c>
      <c r="C85">
        <v>6.831998011357385</v>
      </c>
      <c r="D85">
        <v>0</v>
      </c>
      <c r="E85">
        <v>0.8644817541691925</v>
      </c>
      <c r="I85">
        <v>66</v>
      </c>
      <c r="J85" s="4">
        <f>1/99*($J$13-$J$12)+J84</f>
        <v>1.2788622947757535</v>
      </c>
      <c r="K85" s="5">
        <f>_XLL.PDENSITY($J$85,SimDataSolver!$E$9:$E$508,$J$14,$J$15,0)</f>
        <v>0.9101642662878847</v>
      </c>
    </row>
    <row r="86" spans="1:11" ht="12.75">
      <c r="A86">
        <v>78</v>
      </c>
      <c r="B86">
        <v>5.416475490712429</v>
      </c>
      <c r="C86">
        <v>5.41647449071243</v>
      </c>
      <c r="D86">
        <v>-9.999999992515995E-07</v>
      </c>
      <c r="E86">
        <v>0.42756347169901965</v>
      </c>
      <c r="I86">
        <v>67</v>
      </c>
      <c r="J86" s="4">
        <f>1/99*($J$13-$J$12)+J85</f>
        <v>1.2935712340852097</v>
      </c>
      <c r="K86" s="5">
        <f>_XLL.PDENSITY($J$86,SimDataSolver!$E$9:$E$508,$J$14,$J$15,0)</f>
        <v>0.8473912857185656</v>
      </c>
    </row>
    <row r="87" spans="1:11" ht="12.75">
      <c r="A87">
        <v>79</v>
      </c>
      <c r="B87">
        <v>6.629667562652774</v>
      </c>
      <c r="C87">
        <v>6.629667562652773</v>
      </c>
      <c r="D87">
        <v>0</v>
      </c>
      <c r="E87">
        <v>0.6803374414628023</v>
      </c>
      <c r="I87">
        <v>68</v>
      </c>
      <c r="J87" s="4">
        <f>1/99*($J$13-$J$12)+J86</f>
        <v>1.3082801733946658</v>
      </c>
      <c r="K87" s="5">
        <f>_XLL.PDENSITY($J$87,SimDataSolver!$E$9:$E$508,$J$14,$J$15,0)</f>
        <v>0.7821635751681254</v>
      </c>
    </row>
    <row r="88" spans="1:11" ht="12.75">
      <c r="A88">
        <v>80</v>
      </c>
      <c r="B88">
        <v>6.047096422958268</v>
      </c>
      <c r="C88">
        <v>6.047096422958269</v>
      </c>
      <c r="D88">
        <v>0</v>
      </c>
      <c r="E88">
        <v>0.6816433637753091</v>
      </c>
      <c r="I88">
        <v>69</v>
      </c>
      <c r="J88" s="4">
        <f>1/99*($J$13-$J$12)+J87</f>
        <v>1.322989112704122</v>
      </c>
      <c r="K88" s="5">
        <f>_XLL.PDENSITY($J$88,SimDataSolver!$E$9:$E$508,$J$14,$J$15,0)</f>
        <v>0.7152121594175171</v>
      </c>
    </row>
    <row r="89" spans="1:11" ht="12.75">
      <c r="A89">
        <v>81</v>
      </c>
      <c r="B89">
        <v>7.970130530865623</v>
      </c>
      <c r="C89">
        <v>7.970131530865622</v>
      </c>
      <c r="D89">
        <v>9.999999992515995E-07</v>
      </c>
      <c r="E89">
        <v>0.95542869702671</v>
      </c>
      <c r="I89">
        <v>70</v>
      </c>
      <c r="J89" s="4">
        <f>1/99*($J$13-$J$12)+J88</f>
        <v>1.3376980520135782</v>
      </c>
      <c r="K89" s="5">
        <f>_XLL.PDENSITY($J$89,SimDataSolver!$E$9:$E$508,$J$14,$J$15,0)</f>
        <v>0.6474581278390775</v>
      </c>
    </row>
    <row r="90" spans="1:11" ht="12.75">
      <c r="A90">
        <v>82</v>
      </c>
      <c r="B90">
        <v>9.919782279732924</v>
      </c>
      <c r="C90">
        <v>9.919783279732924</v>
      </c>
      <c r="D90">
        <v>9.999999992515995E-07</v>
      </c>
      <c r="E90">
        <v>1.115111725570567</v>
      </c>
      <c r="I90">
        <v>71</v>
      </c>
      <c r="J90" s="4">
        <f>1/99*($J$13-$J$12)+J89</f>
        <v>1.3524069913230343</v>
      </c>
      <c r="K90" s="5">
        <f>_XLL.PDENSITY($J$90,SimDataSolver!$E$9:$E$508,$J$14,$J$15,0)</f>
        <v>0.5800145585644656</v>
      </c>
    </row>
    <row r="91" spans="1:11" ht="12.75">
      <c r="A91">
        <v>83</v>
      </c>
      <c r="B91">
        <v>7.128056303194221</v>
      </c>
      <c r="C91">
        <v>7.1280553031942215</v>
      </c>
      <c r="D91">
        <v>-9.999999992515995E-07</v>
      </c>
      <c r="E91">
        <v>0.7555091411640069</v>
      </c>
      <c r="I91">
        <v>72</v>
      </c>
      <c r="J91" s="4">
        <f>1/99*($J$13-$J$12)+J90</f>
        <v>1.3671159306324905</v>
      </c>
      <c r="K91" s="5">
        <f>_XLL.PDENSITY($J$91,SimDataSolver!$E$9:$E$508,$J$14,$J$15,0)</f>
        <v>0.5141469046777254</v>
      </c>
    </row>
    <row r="92" spans="1:11" ht="12.75">
      <c r="A92">
        <v>84</v>
      </c>
      <c r="B92">
        <v>7.739683846295175</v>
      </c>
      <c r="C92">
        <v>7.739683846295172</v>
      </c>
      <c r="D92">
        <v>0</v>
      </c>
      <c r="E92">
        <v>0.909183419128397</v>
      </c>
      <c r="I92">
        <v>73</v>
      </c>
      <c r="J92" s="4">
        <f>1/99*($J$13-$J$12)+J91</f>
        <v>1.3818248699419466</v>
      </c>
      <c r="K92" s="5">
        <f>_XLL.PDENSITY($J$92,SimDataSolver!$E$9:$E$508,$J$14,$J$15,0)</f>
        <v>0.4511853781735665</v>
      </c>
    </row>
    <row r="93" spans="1:11" ht="12.75">
      <c r="A93">
        <v>85</v>
      </c>
      <c r="B93">
        <v>9.61864872848891</v>
      </c>
      <c r="C93">
        <v>9.61864872848891</v>
      </c>
      <c r="D93">
        <v>0</v>
      </c>
      <c r="E93">
        <v>1.1813916619397595</v>
      </c>
      <c r="I93">
        <v>74</v>
      </c>
      <c r="J93" s="4">
        <f>1/99*($J$13-$J$12)+J92</f>
        <v>1.3965338092514028</v>
      </c>
      <c r="K93" s="5">
        <f>_XLL.PDENSITY($J$93,SimDataSolver!$E$9:$E$508,$J$14,$J$15,0)</f>
        <v>0.3923984686557441</v>
      </c>
    </row>
    <row r="94" spans="1:11" ht="12.75">
      <c r="A94">
        <v>86</v>
      </c>
      <c r="B94">
        <v>8.34368879818271</v>
      </c>
      <c r="C94">
        <v>8.34368779818271</v>
      </c>
      <c r="D94">
        <v>-9.999999992515995E-07</v>
      </c>
      <c r="E94">
        <v>1.129911577163214</v>
      </c>
      <c r="I94">
        <v>75</v>
      </c>
      <c r="J94" s="4">
        <f>1/99*($J$13-$J$12)+J93</f>
        <v>1.411242748560859</v>
      </c>
      <c r="K94" s="5">
        <f>_XLL.PDENSITY($J$94,SimDataSolver!$E$9:$E$508,$J$14,$J$15,0)</f>
        <v>0.33885210088087847</v>
      </c>
    </row>
    <row r="95" spans="1:11" ht="12.75">
      <c r="A95">
        <v>87</v>
      </c>
      <c r="B95">
        <v>7.202675437247176</v>
      </c>
      <c r="C95">
        <v>7.202675437247175</v>
      </c>
      <c r="D95">
        <v>0</v>
      </c>
      <c r="E95">
        <v>0.9731410199223594</v>
      </c>
      <c r="I95">
        <v>76</v>
      </c>
      <c r="J95" s="4">
        <f>1/99*($J$13-$J$12)+J94</f>
        <v>1.4259516878703151</v>
      </c>
      <c r="K95" s="5">
        <f>_XLL.PDENSITY($J$95,SimDataSolver!$E$9:$E$508,$J$14,$J$15,0)</f>
        <v>0.2912872959318261</v>
      </c>
    </row>
    <row r="96" spans="1:11" ht="12.75">
      <c r="A96">
        <v>88</v>
      </c>
      <c r="B96">
        <v>7.345767895390257</v>
      </c>
      <c r="C96">
        <v>7.3457678953902565</v>
      </c>
      <c r="D96">
        <v>0</v>
      </c>
      <c r="E96">
        <v>0.7305353936060175</v>
      </c>
      <c r="I96">
        <v>77</v>
      </c>
      <c r="J96" s="4">
        <f>1/99*($J$13-$J$12)+J95</f>
        <v>1.4406606271797713</v>
      </c>
      <c r="K96" s="5">
        <f>_XLL.PDENSITY($J$96,SimDataSolver!$E$9:$E$508,$J$14,$J$15,0)</f>
        <v>0.2500463492608156</v>
      </c>
    </row>
    <row r="97" spans="1:11" ht="12.75">
      <c r="A97">
        <v>89</v>
      </c>
      <c r="B97">
        <v>6.692879532353611</v>
      </c>
      <c r="C97">
        <v>6.692879532353611</v>
      </c>
      <c r="D97">
        <v>0</v>
      </c>
      <c r="E97">
        <v>0.8980211179184401</v>
      </c>
      <c r="I97">
        <v>78</v>
      </c>
      <c r="J97" s="4">
        <f>1/99*($J$13-$J$12)+J96</f>
        <v>1.4553695664892274</v>
      </c>
      <c r="K97" s="5">
        <f>_XLL.PDENSITY($J$97,SimDataSolver!$E$9:$E$508,$J$14,$J$15,0)</f>
        <v>0.21506418976233313</v>
      </c>
    </row>
    <row r="98" spans="1:11" ht="12.75">
      <c r="A98">
        <v>90</v>
      </c>
      <c r="B98">
        <v>11.274987694368289</v>
      </c>
      <c r="C98">
        <v>11.274988694368288</v>
      </c>
      <c r="D98">
        <v>9.999999992515995E-07</v>
      </c>
      <c r="E98">
        <v>1.2925513542920317</v>
      </c>
      <c r="I98">
        <v>79</v>
      </c>
      <c r="J98" s="4">
        <f>1/99*($J$13-$J$12)+J97</f>
        <v>1.4700785057986836</v>
      </c>
      <c r="K98" s="5">
        <f>_XLL.PDENSITY($J$98,SimDataSolver!$E$9:$E$508,$J$14,$J$15,0)</f>
        <v>0.18592305305562093</v>
      </c>
    </row>
    <row r="99" spans="1:11" ht="12.75">
      <c r="A99">
        <v>91</v>
      </c>
      <c r="B99">
        <v>9.565263060462353</v>
      </c>
      <c r="C99">
        <v>9.565262060462354</v>
      </c>
      <c r="D99">
        <v>-9.999999992515995E-07</v>
      </c>
      <c r="E99">
        <v>1.2693177639377182</v>
      </c>
      <c r="I99">
        <v>80</v>
      </c>
      <c r="J99" s="4">
        <f>1/99*($J$13-$J$12)+J98</f>
        <v>1.4847874451081398</v>
      </c>
      <c r="K99" s="5">
        <f>_XLL.PDENSITY($J$99,SimDataSolver!$E$9:$E$508,$J$14,$J$15,0)</f>
        <v>0.16195211244746793</v>
      </c>
    </row>
    <row r="100" spans="1:11" ht="12.75">
      <c r="A100">
        <v>92</v>
      </c>
      <c r="B100">
        <v>6.918404431417267</v>
      </c>
      <c r="C100">
        <v>6.918404431417268</v>
      </c>
      <c r="D100">
        <v>0</v>
      </c>
      <c r="E100">
        <v>0.7650931750439955</v>
      </c>
      <c r="I100">
        <v>81</v>
      </c>
      <c r="J100" s="4">
        <f>1/99*($J$13-$J$12)+J99</f>
        <v>1.499496384417596</v>
      </c>
      <c r="K100" s="5">
        <f>_XLL.PDENSITY($J$100,SimDataSolver!$E$9:$E$508,$J$14,$J$15,0)</f>
        <v>0.14234496683568904</v>
      </c>
    </row>
    <row r="101" spans="1:11" ht="12.75">
      <c r="A101">
        <v>93</v>
      </c>
      <c r="B101">
        <v>8.834472153865418</v>
      </c>
      <c r="C101">
        <v>8.834473153865417</v>
      </c>
      <c r="D101">
        <v>9.999999992515995E-07</v>
      </c>
      <c r="E101">
        <v>0.9209101211822164</v>
      </c>
      <c r="I101">
        <v>82</v>
      </c>
      <c r="J101" s="4">
        <f>1/99*($J$13-$J$12)+J100</f>
        <v>1.514205323727052</v>
      </c>
      <c r="K101" s="5">
        <f>_XLL.PDENSITY($J$101,SimDataSolver!$E$9:$E$508,$J$14,$J$15,0)</f>
        <v>0.12626877187634258</v>
      </c>
    </row>
    <row r="102" spans="1:11" ht="12.75">
      <c r="A102">
        <v>94</v>
      </c>
      <c r="B102">
        <v>9.465392853876635</v>
      </c>
      <c r="C102">
        <v>9.465392853876635</v>
      </c>
      <c r="D102">
        <v>0</v>
      </c>
      <c r="E102">
        <v>1.3221583771392946</v>
      </c>
      <c r="I102">
        <v>83</v>
      </c>
      <c r="J102" s="4">
        <f>1/99*($J$13-$J$12)+J101</f>
        <v>1.5289142630365082</v>
      </c>
      <c r="K102" s="5">
        <f>_XLL.PDENSITY($J$102,SimDataSolver!$E$9:$E$508,$J$14,$J$15,0)</f>
        <v>0.11294719968134273</v>
      </c>
    </row>
    <row r="103" spans="1:11" ht="12.75">
      <c r="A103">
        <v>95</v>
      </c>
      <c r="B103">
        <v>9.155079301847433</v>
      </c>
      <c r="C103">
        <v>9.155078301847434</v>
      </c>
      <c r="D103">
        <v>-9.999999992515995E-07</v>
      </c>
      <c r="E103">
        <v>0.9302765915365343</v>
      </c>
      <c r="I103">
        <v>84</v>
      </c>
      <c r="J103" s="4">
        <f>1/99*($J$13-$J$12)+J102</f>
        <v>1.5436232023459644</v>
      </c>
      <c r="K103" s="5">
        <f>_XLL.PDENSITY($J$103,SimDataSolver!$E$9:$E$508,$J$14,$J$15,0)</f>
        <v>0.1017108352083942</v>
      </c>
    </row>
    <row r="104" spans="1:11" ht="12.75">
      <c r="A104">
        <v>96</v>
      </c>
      <c r="B104">
        <v>7.615682791693199</v>
      </c>
      <c r="C104">
        <v>7.615682791693199</v>
      </c>
      <c r="D104">
        <v>0</v>
      </c>
      <c r="E104">
        <v>0.7701884422839063</v>
      </c>
      <c r="I104">
        <v>85</v>
      </c>
      <c r="J104" s="4">
        <f>1/99*($J$13-$J$12)+J103</f>
        <v>1.5583321416554206</v>
      </c>
      <c r="K104" s="5">
        <f>_XLL.PDENSITY($J$104,SimDataSolver!$E$9:$E$508,$J$14,$J$15,0)</f>
        <v>0.09201851196268429</v>
      </c>
    </row>
    <row r="105" spans="1:11" ht="12.75">
      <c r="A105">
        <v>97</v>
      </c>
      <c r="B105">
        <v>9.188210720899406</v>
      </c>
      <c r="C105">
        <v>9.188211720899403</v>
      </c>
      <c r="D105">
        <v>9.999999974752427E-07</v>
      </c>
      <c r="E105">
        <v>1.3803240949172864</v>
      </c>
      <c r="I105">
        <v>86</v>
      </c>
      <c r="J105" s="4">
        <f>1/99*($J$13-$J$12)+J104</f>
        <v>1.5730410809648767</v>
      </c>
      <c r="K105" s="5">
        <f>_XLL.PDENSITY($J$105,SimDataSolver!$E$9:$E$508,$J$14,$J$15,0)</f>
        <v>0.08345860163505514</v>
      </c>
    </row>
    <row r="106" spans="1:11" ht="12.75">
      <c r="A106">
        <v>98</v>
      </c>
      <c r="B106">
        <v>7.887278711343267</v>
      </c>
      <c r="C106">
        <v>7.887277711343269</v>
      </c>
      <c r="D106">
        <v>-9.999999983634211E-07</v>
      </c>
      <c r="E106">
        <v>0.8112830240859202</v>
      </c>
      <c r="I106">
        <v>87</v>
      </c>
      <c r="J106" s="4">
        <f>1/99*($J$13-$J$12)+J105</f>
        <v>1.5877500202743329</v>
      </c>
      <c r="K106" s="5">
        <f>_XLL.PDENSITY($J$106,SimDataSolver!$E$9:$E$508,$J$14,$J$15,0)</f>
        <v>0.0757398524065967</v>
      </c>
    </row>
    <row r="107" spans="1:11" ht="12.75">
      <c r="A107">
        <v>99</v>
      </c>
      <c r="B107">
        <v>8.033024573345994</v>
      </c>
      <c r="C107">
        <v>8.033024573345994</v>
      </c>
      <c r="D107">
        <v>0</v>
      </c>
      <c r="E107">
        <v>0.9174697827357882</v>
      </c>
      <c r="I107">
        <v>88</v>
      </c>
      <c r="J107" s="4">
        <f>1/99*($J$13-$J$12)+J106</f>
        <v>1.602458959583789</v>
      </c>
      <c r="K107" s="5">
        <f>_XLL.PDENSITY($J$107,SimDataSolver!$E$9:$E$508,$J$14,$J$15,0)</f>
        <v>0.0686783381973178</v>
      </c>
    </row>
    <row r="108" spans="1:11" ht="12.75">
      <c r="A108">
        <v>100</v>
      </c>
      <c r="B108">
        <v>7.133817144721914</v>
      </c>
      <c r="C108">
        <v>7.133816144721915</v>
      </c>
      <c r="D108">
        <v>-9.999999992515995E-07</v>
      </c>
      <c r="E108">
        <v>0.9080744470626606</v>
      </c>
      <c r="I108">
        <v>89</v>
      </c>
      <c r="J108" s="4">
        <f>1/99*($J$13-$J$12)+J107</f>
        <v>1.6171678988932452</v>
      </c>
      <c r="K108" s="5">
        <f>_XLL.PDENSITY($J$108,SimDataSolver!$E$9:$E$508,$J$14,$J$15,0)</f>
        <v>0.06218267758113646</v>
      </c>
    </row>
    <row r="109" spans="1:11" ht="12.75">
      <c r="A109">
        <v>101</v>
      </c>
      <c r="B109">
        <v>9.893674833130177</v>
      </c>
      <c r="C109">
        <v>9.893674833130175</v>
      </c>
      <c r="D109">
        <v>0</v>
      </c>
      <c r="E109">
        <v>1.2257192949604898</v>
      </c>
      <c r="I109">
        <v>90</v>
      </c>
      <c r="J109" s="4">
        <f>1/99*($J$13-$J$12)+J108</f>
        <v>1.6318768382027014</v>
      </c>
      <c r="K109" s="5">
        <f>_XLL.PDENSITY($J$109,SimDataSolver!$E$9:$E$508,$J$14,$J$15,0)</f>
        <v>0.056236125666269225</v>
      </c>
    </row>
    <row r="110" spans="1:11" ht="12.75">
      <c r="A110">
        <v>102</v>
      </c>
      <c r="B110">
        <v>8.755732465846265</v>
      </c>
      <c r="C110">
        <v>8.755731465846265</v>
      </c>
      <c r="D110">
        <v>-9.999999992515995E-07</v>
      </c>
      <c r="E110">
        <v>1.113124731745813</v>
      </c>
      <c r="I110">
        <v>91</v>
      </c>
      <c r="J110" s="4">
        <f>1/99*($J$13-$J$12)+J109</f>
        <v>1.6465857775121575</v>
      </c>
      <c r="K110" s="5">
        <f>_XLL.PDENSITY($J$110,SimDataSolver!$E$9:$E$508,$J$14,$J$15,0)</f>
        <v>0.05087294589847291</v>
      </c>
    </row>
    <row r="111" spans="1:11" ht="12.75">
      <c r="A111">
        <v>103</v>
      </c>
      <c r="B111">
        <v>8.517779031574259</v>
      </c>
      <c r="C111">
        <v>8.517780031574258</v>
      </c>
      <c r="D111">
        <v>9.999999992515995E-07</v>
      </c>
      <c r="E111">
        <v>1.1200642686529318</v>
      </c>
      <c r="I111">
        <v>92</v>
      </c>
      <c r="J111" s="4">
        <f>1/99*($J$13-$J$12)+J110</f>
        <v>1.6612947168216137</v>
      </c>
      <c r="K111" s="5">
        <f>_XLL.PDENSITY($J$111,SimDataSolver!$E$9:$E$508,$J$14,$J$15,0)</f>
        <v>0.046148045930383054</v>
      </c>
    </row>
    <row r="112" spans="1:11" ht="12.75">
      <c r="A112">
        <v>104</v>
      </c>
      <c r="B112">
        <v>6.852806310587369</v>
      </c>
      <c r="C112">
        <v>6.852806310587369</v>
      </c>
      <c r="D112">
        <v>0</v>
      </c>
      <c r="E112">
        <v>0.9028246002522358</v>
      </c>
      <c r="I112">
        <v>93</v>
      </c>
      <c r="J112" s="4">
        <f>1/99*($J$13-$J$12)+J111</f>
        <v>1.6760036561310698</v>
      </c>
      <c r="K112" s="5">
        <f>_XLL.PDENSITY($J$112,SimDataSolver!$E$9:$E$508,$J$14,$J$15,0)</f>
        <v>0.042102436931943446</v>
      </c>
    </row>
    <row r="113" spans="1:11" ht="12.75">
      <c r="A113">
        <v>105</v>
      </c>
      <c r="B113">
        <v>8.714500724346443</v>
      </c>
      <c r="C113">
        <v>8.71450072434644</v>
      </c>
      <c r="D113">
        <v>0</v>
      </c>
      <c r="E113">
        <v>1.0285239789275602</v>
      </c>
      <c r="I113">
        <v>94</v>
      </c>
      <c r="J113" s="4">
        <f>1/99*($J$13-$J$12)+J112</f>
        <v>1.690712595440526</v>
      </c>
      <c r="K113" s="5">
        <f>_XLL.PDENSITY($J$113,SimDataSolver!$E$9:$E$508,$J$14,$J$15,0)</f>
        <v>0.03873093437245578</v>
      </c>
    </row>
    <row r="114" spans="1:11" ht="12.75">
      <c r="A114">
        <v>106</v>
      </c>
      <c r="B114">
        <v>7.441286948213108</v>
      </c>
      <c r="C114">
        <v>7.441287948213107</v>
      </c>
      <c r="D114">
        <v>9.999999992515995E-07</v>
      </c>
      <c r="E114">
        <v>1.044319376095408</v>
      </c>
      <c r="I114">
        <v>95</v>
      </c>
      <c r="J114" s="4">
        <f>1/99*($J$13-$J$12)+J113</f>
        <v>1.7054215347499821</v>
      </c>
      <c r="K114" s="5">
        <f>_XLL.PDENSITY($J$114,SimDataSolver!$E$9:$E$508,$J$14,$J$15,0)</f>
        <v>0.03596063216181731</v>
      </c>
    </row>
    <row r="115" spans="1:11" ht="12.75">
      <c r="A115">
        <v>107</v>
      </c>
      <c r="B115">
        <v>10.065894077188469</v>
      </c>
      <c r="C115">
        <v>10.065894077188469</v>
      </c>
      <c r="D115">
        <v>0</v>
      </c>
      <c r="E115">
        <v>1.38080152566616</v>
      </c>
      <c r="I115">
        <v>96</v>
      </c>
      <c r="J115" s="4">
        <f>1/99*($J$13-$J$12)+J114</f>
        <v>1.7201304740594383</v>
      </c>
      <c r="K115" s="5">
        <f>_XLL.PDENSITY($J$115,SimDataSolver!$E$9:$E$508,$J$14,$J$15,0)</f>
        <v>0.033647575785661646</v>
      </c>
    </row>
    <row r="116" spans="1:11" ht="12.75">
      <c r="A116">
        <v>108</v>
      </c>
      <c r="B116">
        <v>5.749017207384481</v>
      </c>
      <c r="C116">
        <v>5.7490172073844805</v>
      </c>
      <c r="D116">
        <v>0</v>
      </c>
      <c r="E116">
        <v>0.7592966517680114</v>
      </c>
      <c r="I116">
        <v>97</v>
      </c>
      <c r="J116" s="4">
        <f>1/99*($J$13-$J$12)+J115</f>
        <v>1.7348394133688945</v>
      </c>
      <c r="K116" s="5">
        <f>_XLL.PDENSITY($J$116,SimDataSolver!$E$9:$E$508,$J$14,$J$15,0)</f>
        <v>0.03159457361876038</v>
      </c>
    </row>
    <row r="117" spans="1:11" ht="12.75">
      <c r="A117">
        <v>109</v>
      </c>
      <c r="B117">
        <v>7.363296956268323</v>
      </c>
      <c r="C117">
        <v>7.363297956268322</v>
      </c>
      <c r="D117">
        <v>9.999999983634211E-07</v>
      </c>
      <c r="E117">
        <v>0.91872784685139</v>
      </c>
      <c r="I117">
        <v>98</v>
      </c>
      <c r="J117" s="4">
        <f>1/99*($J$13-$J$12)+J116</f>
        <v>1.7495483526783506</v>
      </c>
      <c r="K117" s="5">
        <f>_XLL.PDENSITY($J$117,SimDataSolver!$E$9:$E$508,$J$14,$J$15,0)</f>
        <v>0.029586619365047445</v>
      </c>
    </row>
    <row r="118" spans="1:11" ht="12.75">
      <c r="A118">
        <v>110</v>
      </c>
      <c r="B118">
        <v>6.929902917697284</v>
      </c>
      <c r="C118">
        <v>6.929902917697283</v>
      </c>
      <c r="D118">
        <v>0</v>
      </c>
      <c r="E118">
        <v>0.694039925044754</v>
      </c>
      <c r="I118">
        <v>99</v>
      </c>
      <c r="J118" s="4">
        <f>1/99*($J$13-$J$12)+J117</f>
        <v>1.7642572919878068</v>
      </c>
      <c r="K118" s="5">
        <f>_XLL.PDENSITY($J$118,SimDataSolver!$E$9:$E$508,$J$14,$J$15,0)</f>
        <v>0.02743442142626475</v>
      </c>
    </row>
    <row r="119" spans="1:11" ht="12.75">
      <c r="A119">
        <v>111</v>
      </c>
      <c r="B119">
        <v>8.432431294057617</v>
      </c>
      <c r="C119">
        <v>8.432432294057616</v>
      </c>
      <c r="D119">
        <v>9.999999992515995E-07</v>
      </c>
      <c r="E119">
        <v>0.9520825943581829</v>
      </c>
      <c r="I119">
        <v>100</v>
      </c>
      <c r="J119" s="4">
        <f>1/99*($J$13-$J$12)+J118</f>
        <v>1.778966231297263</v>
      </c>
      <c r="K119" s="5">
        <f>_XLL.PDENSITY($J$119,SimDataSolver!$E$9:$E$508,$J$14,$J$15,0)</f>
        <v>0.025013516085733923</v>
      </c>
    </row>
    <row r="120" spans="1:5" ht="12.75">
      <c r="A120">
        <v>112</v>
      </c>
      <c r="B120">
        <v>5.8052714174506725</v>
      </c>
      <c r="C120">
        <v>5.8052714174506725</v>
      </c>
      <c r="D120">
        <v>0</v>
      </c>
      <c r="E120">
        <v>0.7610586511746932</v>
      </c>
    </row>
    <row r="121" spans="1:5" ht="12.75">
      <c r="A121">
        <v>113</v>
      </c>
      <c r="B121">
        <v>8.041979708440868</v>
      </c>
      <c r="C121">
        <v>8.041980708440867</v>
      </c>
      <c r="D121">
        <v>9.999999992515995E-07</v>
      </c>
      <c r="E121">
        <v>1.1238127676643552</v>
      </c>
    </row>
    <row r="122" spans="1:5" ht="12.75">
      <c r="A122">
        <v>114</v>
      </c>
      <c r="B122">
        <v>10.451313823059952</v>
      </c>
      <c r="C122">
        <v>10.45131382305995</v>
      </c>
      <c r="D122">
        <v>0</v>
      </c>
      <c r="E122">
        <v>1.3118458510671331</v>
      </c>
    </row>
    <row r="123" spans="1:5" ht="12.75">
      <c r="A123">
        <v>115</v>
      </c>
      <c r="B123">
        <v>8.27892636577663</v>
      </c>
      <c r="C123">
        <v>8.27892636577663</v>
      </c>
      <c r="D123">
        <v>0</v>
      </c>
      <c r="E123">
        <v>0.9628953972442068</v>
      </c>
    </row>
    <row r="124" spans="1:5" ht="12.75">
      <c r="A124">
        <v>116</v>
      </c>
      <c r="B124">
        <v>9.869367943613518</v>
      </c>
      <c r="C124">
        <v>9.869368943613516</v>
      </c>
      <c r="D124">
        <v>9.999999974752427E-07</v>
      </c>
      <c r="E124">
        <v>1.3169908350619548</v>
      </c>
    </row>
    <row r="125" spans="1:5" ht="12.75">
      <c r="A125">
        <v>117</v>
      </c>
      <c r="B125">
        <v>9.183492347164469</v>
      </c>
      <c r="C125">
        <v>9.18349134716447</v>
      </c>
      <c r="D125">
        <v>-9.999999992515995E-07</v>
      </c>
      <c r="E125">
        <v>1.159364298498773</v>
      </c>
    </row>
    <row r="126" spans="1:5" ht="12.75">
      <c r="A126">
        <v>118</v>
      </c>
      <c r="B126">
        <v>9.060101608632648</v>
      </c>
      <c r="C126">
        <v>9.060101608632648</v>
      </c>
      <c r="D126">
        <v>0</v>
      </c>
      <c r="E126">
        <v>1.0291912130077554</v>
      </c>
    </row>
    <row r="127" spans="1:5" ht="12.75">
      <c r="A127">
        <v>119</v>
      </c>
      <c r="B127">
        <v>6.003549968521652</v>
      </c>
      <c r="C127">
        <v>6.003549968521652</v>
      </c>
      <c r="D127">
        <v>0</v>
      </c>
      <c r="E127">
        <v>0.8465018927133564</v>
      </c>
    </row>
    <row r="128" spans="1:5" ht="12.75">
      <c r="A128">
        <v>120</v>
      </c>
      <c r="B128">
        <v>7.258048028364142</v>
      </c>
      <c r="C128">
        <v>7.258049028364141</v>
      </c>
      <c r="D128">
        <v>9.999999992515995E-07</v>
      </c>
      <c r="E128">
        <v>0.8956077959343314</v>
      </c>
    </row>
    <row r="129" spans="1:5" ht="12.75">
      <c r="A129">
        <v>121</v>
      </c>
      <c r="B129">
        <v>6.812189987916981</v>
      </c>
      <c r="C129">
        <v>6.812189987916981</v>
      </c>
      <c r="D129">
        <v>0</v>
      </c>
      <c r="E129">
        <v>1.132340511396014</v>
      </c>
    </row>
    <row r="130" spans="1:5" ht="12.75">
      <c r="A130">
        <v>122</v>
      </c>
      <c r="B130">
        <v>9.459179966711266</v>
      </c>
      <c r="C130">
        <v>9.459180966711266</v>
      </c>
      <c r="D130">
        <v>9.999999992515995E-07</v>
      </c>
      <c r="E130">
        <v>1.1396784093098307</v>
      </c>
    </row>
    <row r="131" spans="1:5" ht="12.75">
      <c r="A131">
        <v>123</v>
      </c>
      <c r="B131">
        <v>8.39594888625149</v>
      </c>
      <c r="C131">
        <v>8.395947886251491</v>
      </c>
      <c r="D131">
        <v>-9.999999992515995E-07</v>
      </c>
      <c r="E131">
        <v>0.8491889768302041</v>
      </c>
    </row>
    <row r="132" spans="1:5" ht="12.75">
      <c r="A132">
        <v>124</v>
      </c>
      <c r="B132">
        <v>6.662791114650679</v>
      </c>
      <c r="C132">
        <v>6.662790114650679</v>
      </c>
      <c r="D132">
        <v>-9.999999992515995E-07</v>
      </c>
      <c r="E132">
        <v>0.8085490670997496</v>
      </c>
    </row>
    <row r="133" spans="1:5" ht="12.75">
      <c r="A133">
        <v>125</v>
      </c>
      <c r="B133">
        <v>9.953720989349842</v>
      </c>
      <c r="C133">
        <v>9.953721989349841</v>
      </c>
      <c r="D133">
        <v>9.999999992515995E-07</v>
      </c>
      <c r="E133">
        <v>1.320312806606616</v>
      </c>
    </row>
    <row r="134" spans="1:5" ht="12.75">
      <c r="A134">
        <v>126</v>
      </c>
      <c r="B134">
        <v>6.051341725160617</v>
      </c>
      <c r="C134">
        <v>6.0513417251606185</v>
      </c>
      <c r="D134">
        <v>0</v>
      </c>
      <c r="E134">
        <v>0.8801216184748172</v>
      </c>
    </row>
    <row r="135" spans="1:5" ht="12.75">
      <c r="A135">
        <v>127</v>
      </c>
      <c r="B135">
        <v>8.665024901270703</v>
      </c>
      <c r="C135">
        <v>8.665025901270702</v>
      </c>
      <c r="D135">
        <v>9.999999992515995E-07</v>
      </c>
      <c r="E135">
        <v>1.1302362515836046</v>
      </c>
    </row>
    <row r="136" spans="1:5" ht="12.75">
      <c r="A136">
        <v>128</v>
      </c>
      <c r="B136">
        <v>9.318421982195838</v>
      </c>
      <c r="C136">
        <v>9.318422982195838</v>
      </c>
      <c r="D136">
        <v>9.999999992515995E-07</v>
      </c>
      <c r="E136">
        <v>1.4722367783222148</v>
      </c>
    </row>
    <row r="137" spans="1:5" ht="12.75">
      <c r="A137">
        <v>129</v>
      </c>
      <c r="B137">
        <v>6.731540837908564</v>
      </c>
      <c r="C137">
        <v>6.731540837908565</v>
      </c>
      <c r="D137">
        <v>0</v>
      </c>
      <c r="E137">
        <v>0.6813112464838851</v>
      </c>
    </row>
    <row r="138" spans="1:5" ht="12.75">
      <c r="A138">
        <v>130</v>
      </c>
      <c r="B138">
        <v>7.640804729026408</v>
      </c>
      <c r="C138">
        <v>7.6408057290264075</v>
      </c>
      <c r="D138">
        <v>9.999999992515995E-07</v>
      </c>
      <c r="E138">
        <v>1.018599900236547</v>
      </c>
    </row>
    <row r="139" spans="1:5" ht="12.75">
      <c r="A139">
        <v>131</v>
      </c>
      <c r="B139">
        <v>5.068296850771683</v>
      </c>
      <c r="C139">
        <v>5.068296850771683</v>
      </c>
      <c r="D139">
        <v>0</v>
      </c>
      <c r="E139">
        <v>0.37253093465490195</v>
      </c>
    </row>
    <row r="140" spans="1:5" ht="12.75">
      <c r="A140">
        <v>132</v>
      </c>
      <c r="B140">
        <v>8.011156860126253</v>
      </c>
      <c r="C140">
        <v>8.011157860126252</v>
      </c>
      <c r="D140">
        <v>9.999999992515995E-07</v>
      </c>
      <c r="E140">
        <v>0.9047019321108345</v>
      </c>
    </row>
    <row r="141" spans="1:5" ht="12.75">
      <c r="A141">
        <v>133</v>
      </c>
      <c r="B141">
        <v>8.251923674206184</v>
      </c>
      <c r="C141">
        <v>8.251923674206182</v>
      </c>
      <c r="D141">
        <v>0</v>
      </c>
      <c r="E141">
        <v>1.0259603412311313</v>
      </c>
    </row>
    <row r="142" spans="1:5" ht="12.75">
      <c r="A142">
        <v>134</v>
      </c>
      <c r="B142">
        <v>8.394681102867201</v>
      </c>
      <c r="C142">
        <v>8.394681102867201</v>
      </c>
      <c r="D142">
        <v>0</v>
      </c>
      <c r="E142">
        <v>1.183703533094248</v>
      </c>
    </row>
    <row r="143" spans="1:5" ht="12.75">
      <c r="A143">
        <v>135</v>
      </c>
      <c r="B143">
        <v>4.578667513991712</v>
      </c>
      <c r="C143">
        <v>4.578666513991712</v>
      </c>
      <c r="D143">
        <v>-9.999999992515995E-07</v>
      </c>
      <c r="E143">
        <v>0.4583193436473463</v>
      </c>
    </row>
    <row r="144" spans="1:5" ht="12.75">
      <c r="A144">
        <v>136</v>
      </c>
      <c r="B144">
        <v>7.91538014153609</v>
      </c>
      <c r="C144">
        <v>7.9153811415360895</v>
      </c>
      <c r="D144">
        <v>9.999999992515995E-07</v>
      </c>
      <c r="E144">
        <v>0.9383474610378085</v>
      </c>
    </row>
    <row r="145" spans="1:5" ht="12.75">
      <c r="A145">
        <v>137</v>
      </c>
      <c r="B145">
        <v>8.219609946043107</v>
      </c>
      <c r="C145">
        <v>8.219609946043105</v>
      </c>
      <c r="D145">
        <v>0</v>
      </c>
      <c r="E145">
        <v>0.9601828525585112</v>
      </c>
    </row>
    <row r="146" spans="1:5" ht="12.75">
      <c r="A146">
        <v>138</v>
      </c>
      <c r="B146">
        <v>7.841365581034717</v>
      </c>
      <c r="C146">
        <v>7.841365581034716</v>
      </c>
      <c r="D146">
        <v>0</v>
      </c>
      <c r="E146">
        <v>1.0844909639355127</v>
      </c>
    </row>
    <row r="147" spans="1:5" ht="12.75">
      <c r="A147">
        <v>139</v>
      </c>
      <c r="B147">
        <v>6.654274197421139</v>
      </c>
      <c r="C147">
        <v>6.654274197421138</v>
      </c>
      <c r="D147">
        <v>0</v>
      </c>
      <c r="E147">
        <v>0.8190344216476227</v>
      </c>
    </row>
    <row r="148" spans="1:5" ht="12.75">
      <c r="A148">
        <v>140</v>
      </c>
      <c r="B148">
        <v>6.455479663357634</v>
      </c>
      <c r="C148">
        <v>6.455478663357635</v>
      </c>
      <c r="D148">
        <v>-9.999999992515995E-07</v>
      </c>
      <c r="E148">
        <v>0.7922427019799192</v>
      </c>
    </row>
    <row r="149" spans="1:5" ht="12.75">
      <c r="A149">
        <v>141</v>
      </c>
      <c r="B149">
        <v>6.174905694141607</v>
      </c>
      <c r="C149">
        <v>6.174904694141608</v>
      </c>
      <c r="D149">
        <v>-9.999999992515995E-07</v>
      </c>
      <c r="E149">
        <v>0.524921862687768</v>
      </c>
    </row>
    <row r="150" spans="1:5" ht="12.75">
      <c r="A150">
        <v>142</v>
      </c>
      <c r="B150">
        <v>10.481068593628642</v>
      </c>
      <c r="C150">
        <v>10.481069593628641</v>
      </c>
      <c r="D150">
        <v>9.999999992515995E-07</v>
      </c>
      <c r="E150">
        <v>1.2714262824936975</v>
      </c>
    </row>
    <row r="151" spans="1:5" ht="12.75">
      <c r="A151">
        <v>143</v>
      </c>
      <c r="B151">
        <v>7.136524354384835</v>
      </c>
      <c r="C151">
        <v>7.136524354384836</v>
      </c>
      <c r="D151">
        <v>0</v>
      </c>
      <c r="E151">
        <v>0.9408615623985541</v>
      </c>
    </row>
    <row r="152" spans="1:5" ht="12.75">
      <c r="A152">
        <v>144</v>
      </c>
      <c r="B152">
        <v>5.5120423336032704</v>
      </c>
      <c r="C152">
        <v>5.512042333603271</v>
      </c>
      <c r="D152">
        <v>0</v>
      </c>
      <c r="E152">
        <v>0.8019076130556637</v>
      </c>
    </row>
    <row r="153" spans="1:5" ht="12.75">
      <c r="A153">
        <v>145</v>
      </c>
      <c r="B153">
        <v>5.6410522791887985</v>
      </c>
      <c r="C153">
        <v>5.641051279188799</v>
      </c>
      <c r="D153">
        <v>-9.999999992515995E-07</v>
      </c>
      <c r="E153">
        <v>0.6880682013180467</v>
      </c>
    </row>
    <row r="154" spans="1:5" ht="12.75">
      <c r="A154">
        <v>146</v>
      </c>
      <c r="B154">
        <v>9.009565860579139</v>
      </c>
      <c r="C154">
        <v>9.009566860579138</v>
      </c>
      <c r="D154">
        <v>9.999999992515995E-07</v>
      </c>
      <c r="E154">
        <v>1.335159004559554</v>
      </c>
    </row>
    <row r="155" spans="1:5" ht="12.75">
      <c r="A155">
        <v>147</v>
      </c>
      <c r="B155">
        <v>8.887903316122976</v>
      </c>
      <c r="C155">
        <v>8.887903316122976</v>
      </c>
      <c r="D155">
        <v>0</v>
      </c>
      <c r="E155">
        <v>0.8721312392930279</v>
      </c>
    </row>
    <row r="156" spans="1:5" ht="12.75">
      <c r="A156">
        <v>148</v>
      </c>
      <c r="B156">
        <v>7.468560551093022</v>
      </c>
      <c r="C156">
        <v>7.468561551093021</v>
      </c>
      <c r="D156">
        <v>9.999999992515995E-07</v>
      </c>
      <c r="E156">
        <v>0.931507821875572</v>
      </c>
    </row>
    <row r="157" spans="1:5" ht="12.75">
      <c r="A157">
        <v>149</v>
      </c>
      <c r="B157">
        <v>8.158601241129178</v>
      </c>
      <c r="C157">
        <v>8.158601241129178</v>
      </c>
      <c r="D157">
        <v>0</v>
      </c>
      <c r="E157">
        <v>1.0782549084487165</v>
      </c>
    </row>
    <row r="158" spans="1:5" ht="12.75">
      <c r="A158">
        <v>150</v>
      </c>
      <c r="B158">
        <v>7.977011778520303</v>
      </c>
      <c r="C158">
        <v>7.977011778520303</v>
      </c>
      <c r="D158">
        <v>0</v>
      </c>
      <c r="E158">
        <v>1.062951150916683</v>
      </c>
    </row>
    <row r="159" spans="1:5" ht="12.75">
      <c r="A159">
        <v>151</v>
      </c>
      <c r="B159">
        <v>9.233888222636896</v>
      </c>
      <c r="C159">
        <v>9.233887222636897</v>
      </c>
      <c r="D159">
        <v>-9.999999992515995E-07</v>
      </c>
      <c r="E159">
        <v>1.0540811481384456</v>
      </c>
    </row>
    <row r="160" spans="1:5" ht="12.75">
      <c r="A160">
        <v>152</v>
      </c>
      <c r="B160">
        <v>8.522514818098362</v>
      </c>
      <c r="C160">
        <v>8.522515818098361</v>
      </c>
      <c r="D160">
        <v>9.999999992515995E-07</v>
      </c>
      <c r="E160">
        <v>1.1801644612156588</v>
      </c>
    </row>
    <row r="161" spans="1:5" ht="12.75">
      <c r="A161">
        <v>153</v>
      </c>
      <c r="B161">
        <v>9.12851376501145</v>
      </c>
      <c r="C161">
        <v>9.12851276501145</v>
      </c>
      <c r="D161">
        <v>-9.999999992515995E-07</v>
      </c>
      <c r="E161">
        <v>0.9090486770005124</v>
      </c>
    </row>
    <row r="162" spans="1:5" ht="12.75">
      <c r="A162">
        <v>154</v>
      </c>
      <c r="B162">
        <v>6.735508615142743</v>
      </c>
      <c r="C162">
        <v>6.735508615142744</v>
      </c>
      <c r="D162">
        <v>0</v>
      </c>
      <c r="E162">
        <v>0.8389047518624001</v>
      </c>
    </row>
    <row r="163" spans="1:5" ht="12.75">
      <c r="A163">
        <v>155</v>
      </c>
      <c r="B163">
        <v>6.381733892221562</v>
      </c>
      <c r="C163">
        <v>6.381733892221563</v>
      </c>
      <c r="D163">
        <v>0</v>
      </c>
      <c r="E163">
        <v>0.8072936658990659</v>
      </c>
    </row>
    <row r="164" spans="1:5" ht="12.75">
      <c r="A164">
        <v>156</v>
      </c>
      <c r="B164">
        <v>11.056905559165855</v>
      </c>
      <c r="C164">
        <v>11.056906559165855</v>
      </c>
      <c r="D164">
        <v>9.999999992515995E-07</v>
      </c>
      <c r="E164">
        <v>1.2541555427079838</v>
      </c>
    </row>
    <row r="165" spans="1:5" ht="12.75">
      <c r="A165">
        <v>157</v>
      </c>
      <c r="B165">
        <v>5.762289747961793</v>
      </c>
      <c r="C165">
        <v>5.762289747961792</v>
      </c>
      <c r="D165">
        <v>0</v>
      </c>
      <c r="E165">
        <v>0.689124675827854</v>
      </c>
    </row>
    <row r="166" spans="1:5" ht="12.75">
      <c r="A166">
        <v>158</v>
      </c>
      <c r="B166">
        <v>9.454528169218879</v>
      </c>
      <c r="C166">
        <v>9.454529169218878</v>
      </c>
      <c r="D166">
        <v>9.999999992515995E-07</v>
      </c>
      <c r="E166">
        <v>1.1458800281593104</v>
      </c>
    </row>
    <row r="167" spans="1:5" ht="12.75">
      <c r="A167">
        <v>159</v>
      </c>
      <c r="B167">
        <v>6.955085536428852</v>
      </c>
      <c r="C167">
        <v>6.955085536428852</v>
      </c>
      <c r="D167">
        <v>0</v>
      </c>
      <c r="E167">
        <v>0.8883100024707701</v>
      </c>
    </row>
    <row r="168" spans="1:5" ht="12.75">
      <c r="A168">
        <v>160</v>
      </c>
      <c r="B168">
        <v>8.986821936736431</v>
      </c>
      <c r="C168">
        <v>8.98682293673643</v>
      </c>
      <c r="D168">
        <v>9.999999992515995E-07</v>
      </c>
      <c r="E168">
        <v>1.1867383325413488</v>
      </c>
    </row>
    <row r="169" spans="1:5" ht="12.75">
      <c r="A169">
        <v>161</v>
      </c>
      <c r="B169">
        <v>7.508247031270446</v>
      </c>
      <c r="C169">
        <v>7.508246031270446</v>
      </c>
      <c r="D169">
        <v>-9.999999992515995E-07</v>
      </c>
      <c r="E169">
        <v>1.1188960002235608</v>
      </c>
    </row>
    <row r="170" spans="1:5" ht="12.75">
      <c r="A170">
        <v>162</v>
      </c>
      <c r="B170">
        <v>10.092046353870423</v>
      </c>
      <c r="C170">
        <v>10.092046353870423</v>
      </c>
      <c r="D170">
        <v>0</v>
      </c>
      <c r="E170">
        <v>1.4279305669304834</v>
      </c>
    </row>
    <row r="171" spans="1:5" ht="12.75">
      <c r="A171">
        <v>163</v>
      </c>
      <c r="B171">
        <v>6.7544847829595485</v>
      </c>
      <c r="C171">
        <v>6.7544847829595485</v>
      </c>
      <c r="D171">
        <v>0</v>
      </c>
      <c r="E171">
        <v>0.755368416948178</v>
      </c>
    </row>
    <row r="172" spans="1:5" ht="12.75">
      <c r="A172">
        <v>164</v>
      </c>
      <c r="B172">
        <v>7.780411503072431</v>
      </c>
      <c r="C172">
        <v>7.780411503072433</v>
      </c>
      <c r="D172">
        <v>0</v>
      </c>
      <c r="E172">
        <v>0.9072284384323656</v>
      </c>
    </row>
    <row r="173" spans="1:5" ht="12.75">
      <c r="A173">
        <v>165</v>
      </c>
      <c r="B173">
        <v>7.62580834593745</v>
      </c>
      <c r="C173">
        <v>7.625808345937452</v>
      </c>
      <c r="D173">
        <v>0</v>
      </c>
      <c r="E173">
        <v>0.7830251021431334</v>
      </c>
    </row>
    <row r="174" spans="1:5" ht="12.75">
      <c r="A174">
        <v>166</v>
      </c>
      <c r="B174">
        <v>9.336379381093167</v>
      </c>
      <c r="C174">
        <v>9.336379381093167</v>
      </c>
      <c r="D174">
        <v>0</v>
      </c>
      <c r="E174">
        <v>1.2202737655614166</v>
      </c>
    </row>
    <row r="175" spans="1:5" ht="12.75">
      <c r="A175">
        <v>167</v>
      </c>
      <c r="B175">
        <v>8.424490501900365</v>
      </c>
      <c r="C175">
        <v>8.424490501900365</v>
      </c>
      <c r="D175">
        <v>0</v>
      </c>
      <c r="E175">
        <v>1.2587841270553346</v>
      </c>
    </row>
    <row r="176" spans="1:5" ht="12.75">
      <c r="A176">
        <v>168</v>
      </c>
      <c r="B176">
        <v>7.154669238487569</v>
      </c>
      <c r="C176">
        <v>7.15466823848757</v>
      </c>
      <c r="D176">
        <v>-9.999999992515995E-07</v>
      </c>
      <c r="E176">
        <v>0.8984563827420926</v>
      </c>
    </row>
    <row r="177" spans="1:5" ht="12.75">
      <c r="A177">
        <v>169</v>
      </c>
      <c r="B177">
        <v>7.38741137341469</v>
      </c>
      <c r="C177">
        <v>7.387411373414689</v>
      </c>
      <c r="D177">
        <v>0</v>
      </c>
      <c r="E177">
        <v>0.648197802785845</v>
      </c>
    </row>
    <row r="178" spans="1:5" ht="12.75">
      <c r="A178">
        <v>170</v>
      </c>
      <c r="B178">
        <v>7.311132300315652</v>
      </c>
      <c r="C178">
        <v>7.311132300315652</v>
      </c>
      <c r="D178">
        <v>0</v>
      </c>
      <c r="E178">
        <v>1.0182022815362735</v>
      </c>
    </row>
    <row r="179" spans="1:5" ht="12.75">
      <c r="A179">
        <v>171</v>
      </c>
      <c r="B179">
        <v>7.546179490031264</v>
      </c>
      <c r="C179">
        <v>7.546179490031263</v>
      </c>
      <c r="D179">
        <v>0</v>
      </c>
      <c r="E179">
        <v>0.913744140340967</v>
      </c>
    </row>
    <row r="180" spans="1:5" ht="12.75">
      <c r="A180">
        <v>172</v>
      </c>
      <c r="B180">
        <v>8.444180753489437</v>
      </c>
      <c r="C180">
        <v>8.444181753489437</v>
      </c>
      <c r="D180">
        <v>9.999999992515995E-07</v>
      </c>
      <c r="E180">
        <v>1.2237634173227763</v>
      </c>
    </row>
    <row r="181" spans="1:5" ht="12.75">
      <c r="A181">
        <v>173</v>
      </c>
      <c r="B181">
        <v>4.769053969398811</v>
      </c>
      <c r="C181">
        <v>4.769052969398812</v>
      </c>
      <c r="D181">
        <v>-9.999999992515995E-07</v>
      </c>
      <c r="E181">
        <v>0.6797231712247906</v>
      </c>
    </row>
    <row r="182" spans="1:5" ht="12.75">
      <c r="A182">
        <v>174</v>
      </c>
      <c r="B182">
        <v>5.268509663445403</v>
      </c>
      <c r="C182">
        <v>5.268508663445404</v>
      </c>
      <c r="D182">
        <v>-9.999999992515995E-07</v>
      </c>
      <c r="E182">
        <v>0.5605617754862579</v>
      </c>
    </row>
    <row r="183" spans="1:5" ht="12.75">
      <c r="A183">
        <v>175</v>
      </c>
      <c r="B183">
        <v>6.49370133570749</v>
      </c>
      <c r="C183">
        <v>6.493701335707489</v>
      </c>
      <c r="D183">
        <v>0</v>
      </c>
      <c r="E183">
        <v>0.826052777843443</v>
      </c>
    </row>
    <row r="184" spans="1:5" ht="12.75">
      <c r="A184">
        <v>176</v>
      </c>
      <c r="B184">
        <v>7.506594192962329</v>
      </c>
      <c r="C184">
        <v>7.506595192962328</v>
      </c>
      <c r="D184">
        <v>9.999999983634211E-07</v>
      </c>
      <c r="E184">
        <v>0.9297723917747653</v>
      </c>
    </row>
    <row r="185" spans="1:5" ht="12.75">
      <c r="A185">
        <v>177</v>
      </c>
      <c r="B185">
        <v>8.816014851566246</v>
      </c>
      <c r="C185">
        <v>8.816014851566246</v>
      </c>
      <c r="D185">
        <v>0</v>
      </c>
      <c r="E185">
        <v>1.3221097855941173</v>
      </c>
    </row>
    <row r="186" spans="1:5" ht="12.75">
      <c r="A186">
        <v>178</v>
      </c>
      <c r="B186">
        <v>11.866516579345788</v>
      </c>
      <c r="C186">
        <v>11.866516579345788</v>
      </c>
      <c r="D186">
        <v>0</v>
      </c>
      <c r="E186">
        <v>1.522148116376786</v>
      </c>
    </row>
    <row r="187" spans="1:5" ht="12.75">
      <c r="A187">
        <v>179</v>
      </c>
      <c r="B187">
        <v>7.806942659552504</v>
      </c>
      <c r="C187">
        <v>7.806941659552505</v>
      </c>
      <c r="D187">
        <v>-9.999999992515995E-07</v>
      </c>
      <c r="E187">
        <v>0.9867231830080322</v>
      </c>
    </row>
    <row r="188" spans="1:5" ht="12.75">
      <c r="A188">
        <v>180</v>
      </c>
      <c r="B188">
        <v>7.924784730887243</v>
      </c>
      <c r="C188">
        <v>7.924784730887244</v>
      </c>
      <c r="D188">
        <v>0</v>
      </c>
      <c r="E188">
        <v>0.9600593622823859</v>
      </c>
    </row>
    <row r="189" spans="1:5" ht="12.75">
      <c r="A189">
        <v>181</v>
      </c>
      <c r="B189">
        <v>5.677409504132402</v>
      </c>
      <c r="C189">
        <v>5.677409504132402</v>
      </c>
      <c r="D189">
        <v>0</v>
      </c>
      <c r="E189">
        <v>0.8077571673084796</v>
      </c>
    </row>
    <row r="190" spans="1:5" ht="12.75">
      <c r="A190">
        <v>182</v>
      </c>
      <c r="B190">
        <v>11.366574781494291</v>
      </c>
      <c r="C190">
        <v>11.366574781494291</v>
      </c>
      <c r="D190">
        <v>0</v>
      </c>
      <c r="E190">
        <v>1.565392556804772</v>
      </c>
    </row>
    <row r="191" spans="1:5" ht="12.75">
      <c r="A191">
        <v>183</v>
      </c>
      <c r="B191">
        <v>8.59672803865719</v>
      </c>
      <c r="C191">
        <v>8.59672703865719</v>
      </c>
      <c r="D191">
        <v>-9.999999992515995E-07</v>
      </c>
      <c r="E191">
        <v>0.8978344102269198</v>
      </c>
    </row>
    <row r="192" spans="1:5" ht="12.75">
      <c r="A192">
        <v>184</v>
      </c>
      <c r="B192">
        <v>10.386958653808271</v>
      </c>
      <c r="C192">
        <v>10.386958653808271</v>
      </c>
      <c r="D192">
        <v>0</v>
      </c>
      <c r="E192">
        <v>1.1877801596923092</v>
      </c>
    </row>
    <row r="193" spans="1:5" ht="12.75">
      <c r="A193">
        <v>185</v>
      </c>
      <c r="B193">
        <v>9.33062620635722</v>
      </c>
      <c r="C193">
        <v>9.33062520635722</v>
      </c>
      <c r="D193">
        <v>-9.999999992515995E-07</v>
      </c>
      <c r="E193">
        <v>1.0764788754645118</v>
      </c>
    </row>
    <row r="194" spans="1:5" ht="12.75">
      <c r="A194">
        <v>186</v>
      </c>
      <c r="B194">
        <v>8.1697525494689</v>
      </c>
      <c r="C194">
        <v>8.1697515494689</v>
      </c>
      <c r="D194">
        <v>-9.999999992515995E-07</v>
      </c>
      <c r="E194">
        <v>0.9336872745381203</v>
      </c>
    </row>
    <row r="195" spans="1:5" ht="12.75">
      <c r="A195">
        <v>187</v>
      </c>
      <c r="B195">
        <v>8.525597519127913</v>
      </c>
      <c r="C195">
        <v>8.525598519127913</v>
      </c>
      <c r="D195">
        <v>9.999999992515995E-07</v>
      </c>
      <c r="E195">
        <v>1.1607849661157137</v>
      </c>
    </row>
    <row r="196" spans="1:5" ht="12.75">
      <c r="A196">
        <v>188</v>
      </c>
      <c r="B196">
        <v>6.990895464326288</v>
      </c>
      <c r="C196">
        <v>6.990895464326288</v>
      </c>
      <c r="D196">
        <v>0</v>
      </c>
      <c r="E196">
        <v>1.1165635144600439</v>
      </c>
    </row>
    <row r="197" spans="1:5" ht="12.75">
      <c r="A197">
        <v>189</v>
      </c>
      <c r="B197">
        <v>9.052435571318979</v>
      </c>
      <c r="C197">
        <v>9.05243457131898</v>
      </c>
      <c r="D197">
        <v>-9.999999992515995E-07</v>
      </c>
      <c r="E197">
        <v>0.9074091087315137</v>
      </c>
    </row>
    <row r="198" spans="1:5" ht="12.75">
      <c r="A198">
        <v>190</v>
      </c>
      <c r="B198">
        <v>8.270782673130286</v>
      </c>
      <c r="C198">
        <v>8.270782673130286</v>
      </c>
      <c r="D198">
        <v>0</v>
      </c>
      <c r="E198">
        <v>1.0305920024226851</v>
      </c>
    </row>
    <row r="199" spans="1:5" ht="12.75">
      <c r="A199">
        <v>191</v>
      </c>
      <c r="B199">
        <v>5.332357312953816</v>
      </c>
      <c r="C199">
        <v>5.332357312953815</v>
      </c>
      <c r="D199">
        <v>0</v>
      </c>
      <c r="E199">
        <v>0.7691080302597215</v>
      </c>
    </row>
    <row r="200" spans="1:5" ht="12.75">
      <c r="A200">
        <v>192</v>
      </c>
      <c r="B200">
        <v>9.081110224627812</v>
      </c>
      <c r="C200">
        <v>9.081110224627814</v>
      </c>
      <c r="D200">
        <v>0</v>
      </c>
      <c r="E200">
        <v>1.1732991207712085</v>
      </c>
    </row>
    <row r="201" spans="1:5" ht="12.75">
      <c r="A201">
        <v>193</v>
      </c>
      <c r="B201">
        <v>10.253713856841324</v>
      </c>
      <c r="C201">
        <v>10.253714856841324</v>
      </c>
      <c r="D201">
        <v>9.999999992515995E-07</v>
      </c>
      <c r="E201">
        <v>1.2365653828648118</v>
      </c>
    </row>
    <row r="202" spans="1:5" ht="12.75">
      <c r="A202">
        <v>194</v>
      </c>
      <c r="B202">
        <v>5.536206992171659</v>
      </c>
      <c r="C202">
        <v>5.536206992171659</v>
      </c>
      <c r="D202">
        <v>0</v>
      </c>
      <c r="E202">
        <v>0.7695393760329754</v>
      </c>
    </row>
    <row r="203" spans="1:5" ht="12.75">
      <c r="A203">
        <v>195</v>
      </c>
      <c r="B203">
        <v>9.700503296674123</v>
      </c>
      <c r="C203">
        <v>9.700503296674121</v>
      </c>
      <c r="D203">
        <v>0</v>
      </c>
      <c r="E203">
        <v>1.0457780590830716</v>
      </c>
    </row>
    <row r="204" spans="1:5" ht="12.75">
      <c r="A204">
        <v>196</v>
      </c>
      <c r="B204">
        <v>9.31483122586349</v>
      </c>
      <c r="C204">
        <v>9.31483122586349</v>
      </c>
      <c r="D204">
        <v>0</v>
      </c>
      <c r="E204">
        <v>1.0350970405047182</v>
      </c>
    </row>
    <row r="205" spans="1:5" ht="12.75">
      <c r="A205">
        <v>197</v>
      </c>
      <c r="B205">
        <v>7.48686068217131</v>
      </c>
      <c r="C205">
        <v>7.48686068217131</v>
      </c>
      <c r="D205">
        <v>0</v>
      </c>
      <c r="E205">
        <v>0.9924789857413162</v>
      </c>
    </row>
    <row r="206" spans="1:5" ht="12.75">
      <c r="A206">
        <v>198</v>
      </c>
      <c r="B206">
        <v>9.366604048111782</v>
      </c>
      <c r="C206">
        <v>9.36660404811178</v>
      </c>
      <c r="D206">
        <v>0</v>
      </c>
      <c r="E206">
        <v>1.2001969484000754</v>
      </c>
    </row>
    <row r="207" spans="1:5" ht="12.75">
      <c r="A207">
        <v>199</v>
      </c>
      <c r="B207">
        <v>9.116757713017599</v>
      </c>
      <c r="C207">
        <v>9.1167567130176</v>
      </c>
      <c r="D207">
        <v>-9.999999992515995E-07</v>
      </c>
      <c r="E207">
        <v>1.063193618800173</v>
      </c>
    </row>
    <row r="208" spans="1:5" ht="12.75">
      <c r="A208">
        <v>200</v>
      </c>
      <c r="B208">
        <v>10.443962380144706</v>
      </c>
      <c r="C208">
        <v>10.443963380144703</v>
      </c>
      <c r="D208">
        <v>9.999999974752427E-07</v>
      </c>
      <c r="E208">
        <v>1.3337987656303358</v>
      </c>
    </row>
    <row r="209" spans="1:5" ht="12.75">
      <c r="A209">
        <v>201</v>
      </c>
      <c r="B209">
        <v>6.396672270850546</v>
      </c>
      <c r="C209">
        <v>6.396671270850547</v>
      </c>
      <c r="D209">
        <v>-9.999999992515995E-07</v>
      </c>
      <c r="E209">
        <v>0.783268793661218</v>
      </c>
    </row>
    <row r="210" spans="1:5" ht="12.75">
      <c r="A210">
        <v>202</v>
      </c>
      <c r="B210">
        <v>5.802897436832892</v>
      </c>
      <c r="C210">
        <v>5.802896436832893</v>
      </c>
      <c r="D210">
        <v>-9.999999992515995E-07</v>
      </c>
      <c r="E210">
        <v>0.7748300241947879</v>
      </c>
    </row>
    <row r="211" spans="1:5" ht="12.75">
      <c r="A211">
        <v>203</v>
      </c>
      <c r="B211">
        <v>9.16145797285229</v>
      </c>
      <c r="C211">
        <v>9.161458972852289</v>
      </c>
      <c r="D211">
        <v>9.999999992515995E-07</v>
      </c>
      <c r="E211">
        <v>1.1787598932329335</v>
      </c>
    </row>
    <row r="212" spans="1:5" ht="12.75">
      <c r="A212">
        <v>204</v>
      </c>
      <c r="B212">
        <v>8.415648061464797</v>
      </c>
      <c r="C212">
        <v>8.4156470614648</v>
      </c>
      <c r="D212">
        <v>-9.999999974752427E-07</v>
      </c>
      <c r="E212">
        <v>1.0332419454865858</v>
      </c>
    </row>
    <row r="213" spans="1:5" ht="12.75">
      <c r="A213">
        <v>205</v>
      </c>
      <c r="B213">
        <v>6.056167235469918</v>
      </c>
      <c r="C213">
        <v>6.0561672354699185</v>
      </c>
      <c r="D213">
        <v>0</v>
      </c>
      <c r="E213">
        <v>0.7559594407799873</v>
      </c>
    </row>
    <row r="214" spans="1:5" ht="12.75">
      <c r="A214">
        <v>206</v>
      </c>
      <c r="B214">
        <v>7.55392030948286</v>
      </c>
      <c r="C214">
        <v>7.55392130948286</v>
      </c>
      <c r="D214">
        <v>9.999999992515995E-07</v>
      </c>
      <c r="E214">
        <v>0.9956528471228872</v>
      </c>
    </row>
    <row r="215" spans="1:5" ht="12.75">
      <c r="A215">
        <v>207</v>
      </c>
      <c r="B215">
        <v>10.734806938095808</v>
      </c>
      <c r="C215">
        <v>10.734806938095808</v>
      </c>
      <c r="D215">
        <v>0</v>
      </c>
      <c r="E215">
        <v>1.7443488123677109</v>
      </c>
    </row>
    <row r="216" spans="1:5" ht="12.75">
      <c r="A216">
        <v>208</v>
      </c>
      <c r="B216">
        <v>8.755957001006955</v>
      </c>
      <c r="C216">
        <v>8.755957001006955</v>
      </c>
      <c r="D216">
        <v>0</v>
      </c>
      <c r="E216">
        <v>1.127257292240314</v>
      </c>
    </row>
    <row r="217" spans="1:5" ht="12.75">
      <c r="A217">
        <v>209</v>
      </c>
      <c r="B217">
        <v>10.651220647143663</v>
      </c>
      <c r="C217">
        <v>10.651220647143663</v>
      </c>
      <c r="D217">
        <v>0</v>
      </c>
      <c r="E217">
        <v>1.2830149383289104</v>
      </c>
    </row>
    <row r="218" spans="1:5" ht="12.75">
      <c r="A218">
        <v>210</v>
      </c>
      <c r="B218">
        <v>8.013790570254173</v>
      </c>
      <c r="C218">
        <v>8.013790570254173</v>
      </c>
      <c r="D218">
        <v>0</v>
      </c>
      <c r="E218">
        <v>1.0575038664352345</v>
      </c>
    </row>
    <row r="219" spans="1:5" ht="12.75">
      <c r="A219">
        <v>211</v>
      </c>
      <c r="B219">
        <v>8.206666261287644</v>
      </c>
      <c r="C219">
        <v>8.206665261287645</v>
      </c>
      <c r="D219">
        <v>-9.999999992515995E-07</v>
      </c>
      <c r="E219">
        <v>0.8630086256714298</v>
      </c>
    </row>
    <row r="220" spans="1:5" ht="12.75">
      <c r="A220">
        <v>212</v>
      </c>
      <c r="B220">
        <v>7.949255148868673</v>
      </c>
      <c r="C220">
        <v>7.949255148868673</v>
      </c>
      <c r="D220">
        <v>0</v>
      </c>
      <c r="E220">
        <v>1.0014075819193078</v>
      </c>
    </row>
    <row r="221" spans="1:5" ht="12.75">
      <c r="A221">
        <v>213</v>
      </c>
      <c r="B221">
        <v>9.09778439243048</v>
      </c>
      <c r="C221">
        <v>9.09778439243048</v>
      </c>
      <c r="D221">
        <v>0</v>
      </c>
      <c r="E221">
        <v>1.1103587185605177</v>
      </c>
    </row>
    <row r="222" spans="1:5" ht="12.75">
      <c r="A222">
        <v>214</v>
      </c>
      <c r="B222">
        <v>8.571108016592225</v>
      </c>
      <c r="C222">
        <v>8.571107016592226</v>
      </c>
      <c r="D222">
        <v>-9.999999992515995E-07</v>
      </c>
      <c r="E222">
        <v>0.9864408102167906</v>
      </c>
    </row>
    <row r="223" spans="1:5" ht="12.75">
      <c r="A223">
        <v>215</v>
      </c>
      <c r="B223">
        <v>8.557880730779747</v>
      </c>
      <c r="C223">
        <v>8.557880730779745</v>
      </c>
      <c r="D223">
        <v>0</v>
      </c>
      <c r="E223">
        <v>1.087283718646327</v>
      </c>
    </row>
    <row r="224" spans="1:5" ht="12.75">
      <c r="A224">
        <v>216</v>
      </c>
      <c r="B224">
        <v>6.973931974501101</v>
      </c>
      <c r="C224">
        <v>6.973930974501101</v>
      </c>
      <c r="D224">
        <v>-9.999999992515995E-07</v>
      </c>
      <c r="E224">
        <v>0.9288679102944097</v>
      </c>
    </row>
    <row r="225" spans="1:5" ht="12.75">
      <c r="A225">
        <v>217</v>
      </c>
      <c r="B225">
        <v>7.976179206540319</v>
      </c>
      <c r="C225">
        <v>7.976180206540318</v>
      </c>
      <c r="D225">
        <v>9.999999983634211E-07</v>
      </c>
      <c r="E225">
        <v>1.2566337891223751</v>
      </c>
    </row>
    <row r="226" spans="1:5" ht="12.75">
      <c r="A226">
        <v>218</v>
      </c>
      <c r="B226">
        <v>8.823859230605752</v>
      </c>
      <c r="C226">
        <v>8.823860230605751</v>
      </c>
      <c r="D226">
        <v>9.999999992515995E-07</v>
      </c>
      <c r="E226">
        <v>1.3566483843819717</v>
      </c>
    </row>
    <row r="227" spans="1:5" ht="12.75">
      <c r="A227">
        <v>219</v>
      </c>
      <c r="B227">
        <v>7.588316007931222</v>
      </c>
      <c r="C227">
        <v>7.5883150079312225</v>
      </c>
      <c r="D227">
        <v>-9.999999992515995E-07</v>
      </c>
      <c r="E227">
        <v>0.902431899044891</v>
      </c>
    </row>
    <row r="228" spans="1:5" ht="12.75">
      <c r="A228">
        <v>220</v>
      </c>
      <c r="B228">
        <v>6.8607408566691035</v>
      </c>
      <c r="C228">
        <v>6.860739856669104</v>
      </c>
      <c r="D228">
        <v>-9.999999992515995E-07</v>
      </c>
      <c r="E228">
        <v>0.7888214481329352</v>
      </c>
    </row>
    <row r="229" spans="1:5" ht="12.75">
      <c r="A229">
        <v>221</v>
      </c>
      <c r="B229">
        <v>7.243371773473973</v>
      </c>
      <c r="C229">
        <v>7.243372773473972</v>
      </c>
      <c r="D229">
        <v>9.999999992515995E-07</v>
      </c>
      <c r="E229">
        <v>0.8352370933987092</v>
      </c>
    </row>
    <row r="230" spans="1:5" ht="12.75">
      <c r="A230">
        <v>222</v>
      </c>
      <c r="B230">
        <v>9.318490094995107</v>
      </c>
      <c r="C230">
        <v>9.318490094995107</v>
      </c>
      <c r="D230">
        <v>0</v>
      </c>
      <c r="E230">
        <v>1.1912390913941813</v>
      </c>
    </row>
    <row r="231" spans="1:5" ht="12.75">
      <c r="A231">
        <v>223</v>
      </c>
      <c r="B231">
        <v>6.7166188095146335</v>
      </c>
      <c r="C231">
        <v>6.716618809514634</v>
      </c>
      <c r="D231">
        <v>0</v>
      </c>
      <c r="E231">
        <v>0.8706726901503781</v>
      </c>
    </row>
    <row r="232" spans="1:5" ht="12.75">
      <c r="A232">
        <v>224</v>
      </c>
      <c r="B232">
        <v>7.282014925343714</v>
      </c>
      <c r="C232">
        <v>7.282014925343713</v>
      </c>
      <c r="D232">
        <v>0</v>
      </c>
      <c r="E232">
        <v>1.2434012695291985</v>
      </c>
    </row>
    <row r="233" spans="1:5" ht="12.75">
      <c r="A233">
        <v>225</v>
      </c>
      <c r="B233">
        <v>7.797703554034276</v>
      </c>
      <c r="C233">
        <v>7.797703554034276</v>
      </c>
      <c r="D233">
        <v>0</v>
      </c>
      <c r="E233">
        <v>1.1152295773407757</v>
      </c>
    </row>
    <row r="234" spans="1:5" ht="12.75">
      <c r="A234">
        <v>226</v>
      </c>
      <c r="B234">
        <v>10.564538928204627</v>
      </c>
      <c r="C234">
        <v>10.564539928204626</v>
      </c>
      <c r="D234">
        <v>9.999999992515995E-07</v>
      </c>
      <c r="E234">
        <v>1.3463171875698072</v>
      </c>
    </row>
    <row r="235" spans="1:5" ht="12.75">
      <c r="A235">
        <v>227</v>
      </c>
      <c r="B235">
        <v>5.73436493147026</v>
      </c>
      <c r="C235">
        <v>5.734364931470261</v>
      </c>
      <c r="D235">
        <v>0</v>
      </c>
      <c r="E235">
        <v>0.8465616619776445</v>
      </c>
    </row>
    <row r="236" spans="1:5" ht="12.75">
      <c r="A236">
        <v>228</v>
      </c>
      <c r="B236">
        <v>8.861613887537079</v>
      </c>
      <c r="C236">
        <v>8.861614887537076</v>
      </c>
      <c r="D236">
        <v>9.999999974752427E-07</v>
      </c>
      <c r="E236">
        <v>1.2099125798130403</v>
      </c>
    </row>
    <row r="237" spans="1:5" ht="12.75">
      <c r="A237">
        <v>229</v>
      </c>
      <c r="B237">
        <v>7.509325221081282</v>
      </c>
      <c r="C237">
        <v>7.50932522108128</v>
      </c>
      <c r="D237">
        <v>0</v>
      </c>
      <c r="E237">
        <v>1.102050946167005</v>
      </c>
    </row>
    <row r="238" spans="1:5" ht="12.75">
      <c r="A238">
        <v>230</v>
      </c>
      <c r="B238">
        <v>5.96789474640867</v>
      </c>
      <c r="C238">
        <v>5.967894746408669</v>
      </c>
      <c r="D238">
        <v>0</v>
      </c>
      <c r="E238">
        <v>0.6646786497401274</v>
      </c>
    </row>
    <row r="239" spans="1:5" ht="12.75">
      <c r="A239">
        <v>231</v>
      </c>
      <c r="B239">
        <v>9.385232235015733</v>
      </c>
      <c r="C239">
        <v>9.385232235015733</v>
      </c>
      <c r="D239">
        <v>0</v>
      </c>
      <c r="E239">
        <v>1.0802420105081594</v>
      </c>
    </row>
    <row r="240" spans="1:5" ht="12.75">
      <c r="A240">
        <v>232</v>
      </c>
      <c r="B240">
        <v>4.416702650512326</v>
      </c>
      <c r="C240">
        <v>4.416702650512327</v>
      </c>
      <c r="D240">
        <v>0</v>
      </c>
      <c r="E240">
        <v>0.4823649777844343</v>
      </c>
    </row>
    <row r="241" spans="1:5" ht="12.75">
      <c r="A241">
        <v>233</v>
      </c>
      <c r="B241">
        <v>10.17625971334253</v>
      </c>
      <c r="C241">
        <v>10.17626071334253</v>
      </c>
      <c r="D241">
        <v>9.999999992515995E-07</v>
      </c>
      <c r="E241">
        <v>1.4653055231669554</v>
      </c>
    </row>
    <row r="242" spans="1:5" ht="12.75">
      <c r="A242">
        <v>234</v>
      </c>
      <c r="B242">
        <v>9.041998731375996</v>
      </c>
      <c r="C242">
        <v>9.041998731375998</v>
      </c>
      <c r="D242">
        <v>0</v>
      </c>
      <c r="E242">
        <v>1.201089992767849</v>
      </c>
    </row>
    <row r="243" spans="1:5" ht="12.75">
      <c r="A243">
        <v>235</v>
      </c>
      <c r="B243">
        <v>8.23207973621942</v>
      </c>
      <c r="C243">
        <v>8.232078736219421</v>
      </c>
      <c r="D243">
        <v>-9.999999992515995E-07</v>
      </c>
      <c r="E243">
        <v>1.1114796469661268</v>
      </c>
    </row>
    <row r="244" spans="1:5" ht="12.75">
      <c r="A244">
        <v>236</v>
      </c>
      <c r="B244">
        <v>10.107312121418168</v>
      </c>
      <c r="C244">
        <v>10.107313121418168</v>
      </c>
      <c r="D244">
        <v>9.999999992515995E-07</v>
      </c>
      <c r="E244">
        <v>1.2595071750822515</v>
      </c>
    </row>
    <row r="245" spans="1:5" ht="12.75">
      <c r="A245">
        <v>237</v>
      </c>
      <c r="B245">
        <v>7.322843599906969</v>
      </c>
      <c r="C245">
        <v>7.32284359990697</v>
      </c>
      <c r="D245">
        <v>0</v>
      </c>
      <c r="E245">
        <v>0.8206324807610486</v>
      </c>
    </row>
    <row r="246" spans="1:5" ht="12.75">
      <c r="A246">
        <v>238</v>
      </c>
      <c r="B246">
        <v>6.895444679267123</v>
      </c>
      <c r="C246">
        <v>6.895444679267122</v>
      </c>
      <c r="D246">
        <v>0</v>
      </c>
      <c r="E246">
        <v>0.7469686346670661</v>
      </c>
    </row>
    <row r="247" spans="1:5" ht="12.75">
      <c r="A247">
        <v>239</v>
      </c>
      <c r="B247">
        <v>8.001310096086616</v>
      </c>
      <c r="C247">
        <v>8.001310096086614</v>
      </c>
      <c r="D247">
        <v>0</v>
      </c>
      <c r="E247">
        <v>0.9529115237751311</v>
      </c>
    </row>
    <row r="248" spans="1:5" ht="12.75">
      <c r="A248">
        <v>240</v>
      </c>
      <c r="B248">
        <v>9.994661478251407</v>
      </c>
      <c r="C248">
        <v>9.994662478251406</v>
      </c>
      <c r="D248">
        <v>9.999999992515995E-07</v>
      </c>
      <c r="E248">
        <v>1.198788720010388</v>
      </c>
    </row>
    <row r="249" spans="1:5" ht="12.75">
      <c r="A249">
        <v>241</v>
      </c>
      <c r="B249">
        <v>7.782663316680563</v>
      </c>
      <c r="C249">
        <v>7.782662316680564</v>
      </c>
      <c r="D249">
        <v>-9.999999992515995E-07</v>
      </c>
      <c r="E249">
        <v>0.9463764406919245</v>
      </c>
    </row>
    <row r="250" spans="1:5" ht="12.75">
      <c r="A250">
        <v>242</v>
      </c>
      <c r="B250">
        <v>7.3517158560893865</v>
      </c>
      <c r="C250">
        <v>7.351716856089385</v>
      </c>
      <c r="D250">
        <v>9.999999983634211E-07</v>
      </c>
      <c r="E250">
        <v>0.9608463776379161</v>
      </c>
    </row>
    <row r="251" spans="1:5" ht="12.75">
      <c r="A251">
        <v>243</v>
      </c>
      <c r="B251">
        <v>10.070217304311745</v>
      </c>
      <c r="C251">
        <v>10.070217304311745</v>
      </c>
      <c r="D251">
        <v>0</v>
      </c>
      <c r="E251">
        <v>1.2038944004341194</v>
      </c>
    </row>
    <row r="252" spans="1:5" ht="12.75">
      <c r="A252">
        <v>244</v>
      </c>
      <c r="B252">
        <v>10.821255936831317</v>
      </c>
      <c r="C252">
        <v>10.821256936831317</v>
      </c>
      <c r="D252">
        <v>9.999999992515995E-07</v>
      </c>
      <c r="E252">
        <v>1.4466086683826842</v>
      </c>
    </row>
    <row r="253" spans="1:5" ht="12.75">
      <c r="A253">
        <v>245</v>
      </c>
      <c r="B253">
        <v>7.576718359535589</v>
      </c>
      <c r="C253">
        <v>7.57671835953559</v>
      </c>
      <c r="D253">
        <v>0</v>
      </c>
      <c r="E253">
        <v>1.0237141402576206</v>
      </c>
    </row>
    <row r="254" spans="1:5" ht="12.75">
      <c r="A254">
        <v>246</v>
      </c>
      <c r="B254">
        <v>7.445044697976174</v>
      </c>
      <c r="C254">
        <v>7.445044697976173</v>
      </c>
      <c r="D254">
        <v>0</v>
      </c>
      <c r="E254">
        <v>1.0486373072015591</v>
      </c>
    </row>
    <row r="255" spans="1:5" ht="12.75">
      <c r="A255">
        <v>247</v>
      </c>
      <c r="B255">
        <v>10.928962346935428</v>
      </c>
      <c r="C255">
        <v>10.928962346935426</v>
      </c>
      <c r="D255">
        <v>0</v>
      </c>
      <c r="E255">
        <v>1.2740273851391182</v>
      </c>
    </row>
    <row r="256" spans="1:5" ht="12.75">
      <c r="A256">
        <v>248</v>
      </c>
      <c r="B256">
        <v>6.156741963350488</v>
      </c>
      <c r="C256">
        <v>6.1567419633504885</v>
      </c>
      <c r="D256">
        <v>0</v>
      </c>
      <c r="E256">
        <v>0.8561824182537391</v>
      </c>
    </row>
    <row r="257" spans="1:5" ht="12.75">
      <c r="A257">
        <v>249</v>
      </c>
      <c r="B257">
        <v>6.815348984010486</v>
      </c>
      <c r="C257">
        <v>6.815349984010485</v>
      </c>
      <c r="D257">
        <v>9.999999992515995E-07</v>
      </c>
      <c r="E257">
        <v>0.9895137433486695</v>
      </c>
    </row>
    <row r="258" spans="1:5" ht="12.75">
      <c r="A258">
        <v>250</v>
      </c>
      <c r="B258">
        <v>9.63511830911716</v>
      </c>
      <c r="C258">
        <v>9.63511930911716</v>
      </c>
      <c r="D258">
        <v>9.999999992515995E-07</v>
      </c>
      <c r="E258">
        <v>1.1363123832256878</v>
      </c>
    </row>
    <row r="259" spans="1:5" ht="12.75">
      <c r="A259">
        <v>251</v>
      </c>
      <c r="B259">
        <v>10.32967912226218</v>
      </c>
      <c r="C259">
        <v>10.329680122262179</v>
      </c>
      <c r="D259">
        <v>9.999999992515995E-07</v>
      </c>
      <c r="E259">
        <v>1.237324626230777</v>
      </c>
    </row>
    <row r="260" spans="1:5" ht="12.75">
      <c r="A260">
        <v>252</v>
      </c>
      <c r="B260">
        <v>5.340210644468334</v>
      </c>
      <c r="C260">
        <v>5.3402096444683345</v>
      </c>
      <c r="D260">
        <v>-9.999999992515995E-07</v>
      </c>
      <c r="E260">
        <v>0.7569211468601931</v>
      </c>
    </row>
    <row r="261" spans="1:5" ht="12.75">
      <c r="A261">
        <v>253</v>
      </c>
      <c r="B261">
        <v>12.197367143426296</v>
      </c>
      <c r="C261">
        <v>12.197368143426296</v>
      </c>
      <c r="D261">
        <v>9.999999992515995E-07</v>
      </c>
      <c r="E261">
        <v>1.6515868738527033</v>
      </c>
    </row>
    <row r="262" spans="1:5" ht="12.75">
      <c r="A262">
        <v>254</v>
      </c>
      <c r="B262">
        <v>9.754523887574454</v>
      </c>
      <c r="C262">
        <v>9.754523887574456</v>
      </c>
      <c r="D262">
        <v>0</v>
      </c>
      <c r="E262">
        <v>1.078760234502206</v>
      </c>
    </row>
    <row r="263" spans="1:5" ht="12.75">
      <c r="A263">
        <v>255</v>
      </c>
      <c r="B263">
        <v>7.667199223073967</v>
      </c>
      <c r="C263">
        <v>7.667199223073967</v>
      </c>
      <c r="D263">
        <v>0</v>
      </c>
      <c r="E263">
        <v>0.9253201712886796</v>
      </c>
    </row>
    <row r="264" spans="1:5" ht="12.75">
      <c r="A264">
        <v>256</v>
      </c>
      <c r="B264">
        <v>4.895958105634373</v>
      </c>
      <c r="C264">
        <v>4.895958105634373</v>
      </c>
      <c r="D264">
        <v>0</v>
      </c>
      <c r="E264">
        <v>0.5132680829718447</v>
      </c>
    </row>
    <row r="265" spans="1:5" ht="12.75">
      <c r="A265">
        <v>257</v>
      </c>
      <c r="B265">
        <v>11.299152242900085</v>
      </c>
      <c r="C265">
        <v>11.299153242900084</v>
      </c>
      <c r="D265">
        <v>9.999999992515995E-07</v>
      </c>
      <c r="E265">
        <v>1.356777776174334</v>
      </c>
    </row>
    <row r="266" spans="1:5" ht="12.75">
      <c r="A266">
        <v>258</v>
      </c>
      <c r="B266">
        <v>8.690160645465044</v>
      </c>
      <c r="C266">
        <v>8.690160645465044</v>
      </c>
      <c r="D266">
        <v>0</v>
      </c>
      <c r="E266">
        <v>0.8898741640905757</v>
      </c>
    </row>
    <row r="267" spans="1:5" ht="12.75">
      <c r="A267">
        <v>259</v>
      </c>
      <c r="B267">
        <v>7.257930200613584</v>
      </c>
      <c r="C267">
        <v>7.257929200613585</v>
      </c>
      <c r="D267">
        <v>-9.999999992515995E-07</v>
      </c>
      <c r="E267">
        <v>0.750609395973689</v>
      </c>
    </row>
    <row r="268" spans="1:5" ht="12.75">
      <c r="A268">
        <v>260</v>
      </c>
      <c r="B268">
        <v>7.670104248949824</v>
      </c>
      <c r="C268">
        <v>7.670104248949823</v>
      </c>
      <c r="D268">
        <v>0</v>
      </c>
      <c r="E268">
        <v>0.8766517955371856</v>
      </c>
    </row>
    <row r="269" spans="1:5" ht="12.75">
      <c r="A269">
        <v>261</v>
      </c>
      <c r="B269">
        <v>7.322035260402169</v>
      </c>
      <c r="C269">
        <v>7.3220342604021695</v>
      </c>
      <c r="D269">
        <v>-9.999999992515995E-07</v>
      </c>
      <c r="E269">
        <v>0.82780770835192</v>
      </c>
    </row>
    <row r="270" spans="1:5" ht="12.75">
      <c r="A270">
        <v>262</v>
      </c>
      <c r="B270">
        <v>10.447917222635322</v>
      </c>
      <c r="C270">
        <v>10.44791822263532</v>
      </c>
      <c r="D270">
        <v>9.999999974752427E-07</v>
      </c>
      <c r="E270">
        <v>1.2737666858845451</v>
      </c>
    </row>
    <row r="271" spans="1:5" ht="12.75">
      <c r="A271">
        <v>263</v>
      </c>
      <c r="B271">
        <v>11.95292794154856</v>
      </c>
      <c r="C271">
        <v>11.95292794154856</v>
      </c>
      <c r="D271">
        <v>0</v>
      </c>
      <c r="E271">
        <v>1.386537717499613</v>
      </c>
    </row>
    <row r="272" spans="1:5" ht="12.75">
      <c r="A272">
        <v>264</v>
      </c>
      <c r="B272">
        <v>7.464462461174689</v>
      </c>
      <c r="C272">
        <v>7.464462461174688</v>
      </c>
      <c r="D272">
        <v>0</v>
      </c>
      <c r="E272">
        <v>0.975377146322929</v>
      </c>
    </row>
    <row r="273" spans="1:5" ht="12.75">
      <c r="A273">
        <v>265</v>
      </c>
      <c r="B273">
        <v>9.663112515057303</v>
      </c>
      <c r="C273">
        <v>9.663112515057303</v>
      </c>
      <c r="D273">
        <v>0</v>
      </c>
      <c r="E273">
        <v>1.1674392705007115</v>
      </c>
    </row>
    <row r="274" spans="1:5" ht="12.75">
      <c r="A274">
        <v>266</v>
      </c>
      <c r="B274">
        <v>9.206052070052438</v>
      </c>
      <c r="C274">
        <v>9.206053070052437</v>
      </c>
      <c r="D274">
        <v>9.999999992515995E-07</v>
      </c>
      <c r="E274">
        <v>1.3034557738571824</v>
      </c>
    </row>
    <row r="275" spans="1:5" ht="12.75">
      <c r="A275">
        <v>267</v>
      </c>
      <c r="B275">
        <v>8.460683915711611</v>
      </c>
      <c r="C275">
        <v>8.460683915711613</v>
      </c>
      <c r="D275">
        <v>0</v>
      </c>
      <c r="E275">
        <v>1.1196436042012516</v>
      </c>
    </row>
    <row r="276" spans="1:5" ht="12.75">
      <c r="A276">
        <v>268</v>
      </c>
      <c r="B276">
        <v>5.593089131497349</v>
      </c>
      <c r="C276">
        <v>5.59308813149735</v>
      </c>
      <c r="D276">
        <v>-9.999999992515995E-07</v>
      </c>
      <c r="E276">
        <v>0.9498781654653974</v>
      </c>
    </row>
    <row r="277" spans="1:5" ht="12.75">
      <c r="A277">
        <v>269</v>
      </c>
      <c r="B277">
        <v>7.876649426108948</v>
      </c>
      <c r="C277">
        <v>7.876649426108948</v>
      </c>
      <c r="D277">
        <v>0</v>
      </c>
      <c r="E277">
        <v>0.7782433395979825</v>
      </c>
    </row>
    <row r="278" spans="1:5" ht="12.75">
      <c r="A278">
        <v>270</v>
      </c>
      <c r="B278">
        <v>9.174368254598159</v>
      </c>
      <c r="C278">
        <v>9.174368254598157</v>
      </c>
      <c r="D278">
        <v>0</v>
      </c>
      <c r="E278">
        <v>1.2471656624977323</v>
      </c>
    </row>
    <row r="279" spans="1:5" ht="12.75">
      <c r="A279">
        <v>271</v>
      </c>
      <c r="B279">
        <v>8.588531259599755</v>
      </c>
      <c r="C279">
        <v>8.588531259599755</v>
      </c>
      <c r="D279">
        <v>0</v>
      </c>
      <c r="E279">
        <v>0.8307044927993942</v>
      </c>
    </row>
    <row r="280" spans="1:5" ht="12.75">
      <c r="A280">
        <v>272</v>
      </c>
      <c r="B280">
        <v>11.172695129243372</v>
      </c>
      <c r="C280">
        <v>11.172695129243369</v>
      </c>
      <c r="D280">
        <v>0</v>
      </c>
      <c r="E280">
        <v>1.5860132546880625</v>
      </c>
    </row>
    <row r="281" spans="1:5" ht="12.75">
      <c r="A281">
        <v>273</v>
      </c>
      <c r="B281">
        <v>11.211971776791453</v>
      </c>
      <c r="C281">
        <v>11.211971776791454</v>
      </c>
      <c r="D281">
        <v>0</v>
      </c>
      <c r="E281">
        <v>1.3000834045682275</v>
      </c>
    </row>
    <row r="282" spans="1:5" ht="12.75">
      <c r="A282">
        <v>274</v>
      </c>
      <c r="B282">
        <v>8.062918421662529</v>
      </c>
      <c r="C282">
        <v>8.06291742166253</v>
      </c>
      <c r="D282">
        <v>-9.999999992515995E-07</v>
      </c>
      <c r="E282">
        <v>1.232838499647156</v>
      </c>
    </row>
    <row r="283" spans="1:5" ht="12.75">
      <c r="A283">
        <v>275</v>
      </c>
      <c r="B283">
        <v>10.902498618188993</v>
      </c>
      <c r="C283">
        <v>10.902497618188995</v>
      </c>
      <c r="D283">
        <v>-9.999999974752427E-07</v>
      </c>
      <c r="E283">
        <v>1.230119807266776</v>
      </c>
    </row>
    <row r="284" spans="1:5" ht="12.75">
      <c r="A284">
        <v>276</v>
      </c>
      <c r="B284">
        <v>8.850273260441302</v>
      </c>
      <c r="C284">
        <v>8.850272260441304</v>
      </c>
      <c r="D284">
        <v>-9.999999974752427E-07</v>
      </c>
      <c r="E284">
        <v>1.1748858847750538</v>
      </c>
    </row>
    <row r="285" spans="1:5" ht="12.75">
      <c r="A285">
        <v>277</v>
      </c>
      <c r="B285">
        <v>7.878504046751269</v>
      </c>
      <c r="C285">
        <v>7.878504046751267</v>
      </c>
      <c r="D285">
        <v>0</v>
      </c>
      <c r="E285">
        <v>1.1163005257558798</v>
      </c>
    </row>
    <row r="286" spans="1:5" ht="12.75">
      <c r="A286">
        <v>278</v>
      </c>
      <c r="B286">
        <v>8.352609001660825</v>
      </c>
      <c r="C286">
        <v>8.352609001660825</v>
      </c>
      <c r="D286">
        <v>0</v>
      </c>
      <c r="E286">
        <v>1.1237549956539032</v>
      </c>
    </row>
    <row r="287" spans="1:5" ht="12.75">
      <c r="A287">
        <v>279</v>
      </c>
      <c r="B287">
        <v>10.048822410753836</v>
      </c>
      <c r="C287">
        <v>10.048822410753836</v>
      </c>
      <c r="D287">
        <v>0</v>
      </c>
      <c r="E287">
        <v>1.2365030050417514</v>
      </c>
    </row>
    <row r="288" spans="1:5" ht="12.75">
      <c r="A288">
        <v>280</v>
      </c>
      <c r="B288">
        <v>7.144866356489079</v>
      </c>
      <c r="C288">
        <v>7.144866356489078</v>
      </c>
      <c r="D288">
        <v>0</v>
      </c>
      <c r="E288">
        <v>0.9817659774485468</v>
      </c>
    </row>
    <row r="289" spans="1:5" ht="12.75">
      <c r="A289">
        <v>281</v>
      </c>
      <c r="B289">
        <v>6.71106295751492</v>
      </c>
      <c r="C289">
        <v>6.711061957514921</v>
      </c>
      <c r="D289">
        <v>-9.999999992515995E-07</v>
      </c>
      <c r="E289">
        <v>0.906194359221552</v>
      </c>
    </row>
    <row r="290" spans="1:5" ht="12.75">
      <c r="A290">
        <v>282</v>
      </c>
      <c r="B290">
        <v>9.194726172793644</v>
      </c>
      <c r="C290">
        <v>9.194727172793643</v>
      </c>
      <c r="D290">
        <v>9.999999992515995E-07</v>
      </c>
      <c r="E290">
        <v>0.9963759959759575</v>
      </c>
    </row>
    <row r="291" spans="1:5" ht="12.75">
      <c r="A291">
        <v>283</v>
      </c>
      <c r="B291">
        <v>9.164700550504842</v>
      </c>
      <c r="C291">
        <v>9.16470155050484</v>
      </c>
      <c r="D291">
        <v>9.999999992515995E-07</v>
      </c>
      <c r="E291">
        <v>1.154660698869255</v>
      </c>
    </row>
    <row r="292" spans="1:5" ht="12.75">
      <c r="A292">
        <v>284</v>
      </c>
      <c r="B292">
        <v>7.470918548723946</v>
      </c>
      <c r="C292">
        <v>7.470918548723945</v>
      </c>
      <c r="D292">
        <v>0</v>
      </c>
      <c r="E292">
        <v>0.8215255699835969</v>
      </c>
    </row>
    <row r="293" spans="1:5" ht="12.75">
      <c r="A293">
        <v>285</v>
      </c>
      <c r="B293">
        <v>9.827982964137723</v>
      </c>
      <c r="C293">
        <v>9.827982964137723</v>
      </c>
      <c r="D293">
        <v>0</v>
      </c>
      <c r="E293">
        <v>1.2411831142310177</v>
      </c>
    </row>
    <row r="294" spans="1:5" ht="12.75">
      <c r="A294">
        <v>286</v>
      </c>
      <c r="B294">
        <v>7.204128357795176</v>
      </c>
      <c r="C294">
        <v>7.204127357795176</v>
      </c>
      <c r="D294">
        <v>-9.999999992515995E-07</v>
      </c>
      <c r="E294">
        <v>1.0420747603586515</v>
      </c>
    </row>
    <row r="295" spans="1:5" ht="12.75">
      <c r="A295">
        <v>287</v>
      </c>
      <c r="B295">
        <v>6.762915454750683</v>
      </c>
      <c r="C295">
        <v>6.7629144547506845</v>
      </c>
      <c r="D295">
        <v>-9.999999983634211E-07</v>
      </c>
      <c r="E295">
        <v>0.8086396535606448</v>
      </c>
    </row>
    <row r="296" spans="1:5" ht="12.75">
      <c r="A296">
        <v>288</v>
      </c>
      <c r="B296">
        <v>9.559554404083284</v>
      </c>
      <c r="C296">
        <v>9.559555404083284</v>
      </c>
      <c r="D296">
        <v>9.999999992515995E-07</v>
      </c>
      <c r="E296">
        <v>1.1996703731553398</v>
      </c>
    </row>
    <row r="297" spans="1:5" ht="12.75">
      <c r="A297">
        <v>289</v>
      </c>
      <c r="B297">
        <v>7.998081927267154</v>
      </c>
      <c r="C297">
        <v>7.998081927267155</v>
      </c>
      <c r="D297">
        <v>0</v>
      </c>
      <c r="E297">
        <v>1.1912196663911558</v>
      </c>
    </row>
    <row r="298" spans="1:5" ht="12.75">
      <c r="A298">
        <v>290</v>
      </c>
      <c r="B298">
        <v>10.125425511176921</v>
      </c>
      <c r="C298">
        <v>10.125424511176922</v>
      </c>
      <c r="D298">
        <v>-9.999999992515995E-07</v>
      </c>
      <c r="E298">
        <v>0.9999628735779423</v>
      </c>
    </row>
    <row r="299" spans="1:5" ht="12.75">
      <c r="A299">
        <v>291</v>
      </c>
      <c r="B299">
        <v>7.721409243312179</v>
      </c>
      <c r="C299">
        <v>7.72140824331218</v>
      </c>
      <c r="D299">
        <v>-9.999999992515995E-07</v>
      </c>
      <c r="E299">
        <v>0.9251588310391294</v>
      </c>
    </row>
    <row r="300" spans="1:5" ht="12.75">
      <c r="A300">
        <v>292</v>
      </c>
      <c r="B300">
        <v>6.450436409914115</v>
      </c>
      <c r="C300">
        <v>6.450435409914116</v>
      </c>
      <c r="D300">
        <v>-9.999999992515995E-07</v>
      </c>
      <c r="E300">
        <v>0.7815020569243127</v>
      </c>
    </row>
    <row r="301" spans="1:5" ht="12.75">
      <c r="A301">
        <v>293</v>
      </c>
      <c r="B301">
        <v>9.416478864805535</v>
      </c>
      <c r="C301">
        <v>9.416479864805535</v>
      </c>
      <c r="D301">
        <v>9.999999992515995E-07</v>
      </c>
      <c r="E301">
        <v>1.1101877130509503</v>
      </c>
    </row>
    <row r="302" spans="1:5" ht="12.75">
      <c r="A302">
        <v>294</v>
      </c>
      <c r="B302">
        <v>7.986165480573122</v>
      </c>
      <c r="C302">
        <v>7.986165480573122</v>
      </c>
      <c r="D302">
        <v>0</v>
      </c>
      <c r="E302">
        <v>1.0905904112527156</v>
      </c>
    </row>
    <row r="303" spans="1:5" ht="12.75">
      <c r="A303">
        <v>295</v>
      </c>
      <c r="B303">
        <v>3.5113460367177156</v>
      </c>
      <c r="C303">
        <v>3.511346036717714</v>
      </c>
      <c r="D303">
        <v>0</v>
      </c>
      <c r="E303">
        <v>0.43224283959659304</v>
      </c>
    </row>
    <row r="304" spans="1:5" ht="12.75">
      <c r="A304">
        <v>296</v>
      </c>
      <c r="B304">
        <v>9.38654961101814</v>
      </c>
      <c r="C304">
        <v>9.38654961101814</v>
      </c>
      <c r="D304">
        <v>0</v>
      </c>
      <c r="E304">
        <v>1.1305049903706141</v>
      </c>
    </row>
    <row r="305" spans="1:5" ht="12.75">
      <c r="A305">
        <v>297</v>
      </c>
      <c r="B305">
        <v>8.113370813577758</v>
      </c>
      <c r="C305">
        <v>8.113370813577758</v>
      </c>
      <c r="D305">
        <v>0</v>
      </c>
      <c r="E305">
        <v>0.9724912074056564</v>
      </c>
    </row>
    <row r="306" spans="1:5" ht="12.75">
      <c r="A306">
        <v>298</v>
      </c>
      <c r="B306">
        <v>4.929399253183417</v>
      </c>
      <c r="C306">
        <v>4.929398253183418</v>
      </c>
      <c r="D306">
        <v>-9.999999992515995E-07</v>
      </c>
      <c r="E306">
        <v>0.5628701271975765</v>
      </c>
    </row>
    <row r="307" spans="1:5" ht="12.75">
      <c r="A307">
        <v>299</v>
      </c>
      <c r="B307">
        <v>9.956754625669738</v>
      </c>
      <c r="C307">
        <v>9.956755625669738</v>
      </c>
      <c r="D307">
        <v>9.999999992515995E-07</v>
      </c>
      <c r="E307">
        <v>1.2505639030984237</v>
      </c>
    </row>
    <row r="308" spans="1:5" ht="12.75">
      <c r="A308">
        <v>300</v>
      </c>
      <c r="B308">
        <v>8.418631155209756</v>
      </c>
      <c r="C308">
        <v>8.418630155209756</v>
      </c>
      <c r="D308">
        <v>-9.999999992515995E-07</v>
      </c>
      <c r="E308">
        <v>1.1641424842848533</v>
      </c>
    </row>
    <row r="309" spans="1:5" ht="12.75">
      <c r="A309">
        <v>301</v>
      </c>
      <c r="B309">
        <v>10.519296714527655</v>
      </c>
      <c r="C309">
        <v>10.519296714527654</v>
      </c>
      <c r="D309">
        <v>0</v>
      </c>
      <c r="E309">
        <v>1.2199709677099924</v>
      </c>
    </row>
    <row r="310" spans="1:5" ht="12.75">
      <c r="A310">
        <v>302</v>
      </c>
      <c r="B310">
        <v>9.772642211549668</v>
      </c>
      <c r="C310">
        <v>9.772643211549667</v>
      </c>
      <c r="D310">
        <v>9.999999992515995E-07</v>
      </c>
      <c r="E310">
        <v>1.2302600006773707</v>
      </c>
    </row>
    <row r="311" spans="1:5" ht="12.75">
      <c r="A311">
        <v>303</v>
      </c>
      <c r="B311">
        <v>6.227575267113911</v>
      </c>
      <c r="C311">
        <v>6.22757526711391</v>
      </c>
      <c r="D311">
        <v>0</v>
      </c>
      <c r="E311">
        <v>0.8332732954377156</v>
      </c>
    </row>
    <row r="312" spans="1:5" ht="12.75">
      <c r="A312">
        <v>304</v>
      </c>
      <c r="B312">
        <v>9.143786148704063</v>
      </c>
      <c r="C312">
        <v>9.143787148704062</v>
      </c>
      <c r="D312">
        <v>9.999999992515995E-07</v>
      </c>
      <c r="E312">
        <v>0.9983382953376548</v>
      </c>
    </row>
    <row r="313" spans="1:5" ht="12.75">
      <c r="A313">
        <v>305</v>
      </c>
      <c r="B313">
        <v>6.493445109602161</v>
      </c>
      <c r="C313">
        <v>6.493444109602161</v>
      </c>
      <c r="D313">
        <v>-9.999999992515995E-07</v>
      </c>
      <c r="E313">
        <v>0.78385957612417</v>
      </c>
    </row>
    <row r="314" spans="1:5" ht="12.75">
      <c r="A314">
        <v>306</v>
      </c>
      <c r="B314">
        <v>5.750355831041087</v>
      </c>
      <c r="C314">
        <v>5.750355831041087</v>
      </c>
      <c r="D314">
        <v>0</v>
      </c>
      <c r="E314">
        <v>0.8645072210507536</v>
      </c>
    </row>
    <row r="315" spans="1:5" ht="12.75">
      <c r="A315">
        <v>307</v>
      </c>
      <c r="B315">
        <v>8.421382752983302</v>
      </c>
      <c r="C315">
        <v>8.421383752983301</v>
      </c>
      <c r="D315">
        <v>9.999999992515995E-07</v>
      </c>
      <c r="E315">
        <v>1.1472346261171913</v>
      </c>
    </row>
    <row r="316" spans="1:5" ht="12.75">
      <c r="A316">
        <v>308</v>
      </c>
      <c r="B316">
        <v>8.45205350755749</v>
      </c>
      <c r="C316">
        <v>8.45205350755749</v>
      </c>
      <c r="D316">
        <v>0</v>
      </c>
      <c r="E316">
        <v>0.9921330742612665</v>
      </c>
    </row>
    <row r="317" spans="1:5" ht="12.75">
      <c r="A317">
        <v>309</v>
      </c>
      <c r="B317">
        <v>8.425809699104128</v>
      </c>
      <c r="C317">
        <v>8.425809699104128</v>
      </c>
      <c r="D317">
        <v>0</v>
      </c>
      <c r="E317">
        <v>1.0399310327783065</v>
      </c>
    </row>
    <row r="318" spans="1:5" ht="12.75">
      <c r="A318">
        <v>310</v>
      </c>
      <c r="B318">
        <v>9.126348305607316</v>
      </c>
      <c r="C318">
        <v>9.126347305607316</v>
      </c>
      <c r="D318">
        <v>-9.999999992515995E-07</v>
      </c>
      <c r="E318">
        <v>0.8425156956440646</v>
      </c>
    </row>
    <row r="319" spans="1:5" ht="12.75">
      <c r="A319">
        <v>311</v>
      </c>
      <c r="B319">
        <v>6.019980582946532</v>
      </c>
      <c r="C319">
        <v>6.0199805829465305</v>
      </c>
      <c r="D319">
        <v>0</v>
      </c>
      <c r="E319">
        <v>0.9686753879248354</v>
      </c>
    </row>
    <row r="320" spans="1:5" ht="12.75">
      <c r="A320">
        <v>312</v>
      </c>
      <c r="B320">
        <v>6.232486308846257</v>
      </c>
      <c r="C320">
        <v>6.2324853088462575</v>
      </c>
      <c r="D320">
        <v>-9.999999992515995E-07</v>
      </c>
      <c r="E320">
        <v>0.7585304081604062</v>
      </c>
    </row>
    <row r="321" spans="1:5" ht="12.75">
      <c r="A321">
        <v>313</v>
      </c>
      <c r="B321">
        <v>9.91172844130945</v>
      </c>
      <c r="C321">
        <v>9.911729441309449</v>
      </c>
      <c r="D321">
        <v>9.999999992515995E-07</v>
      </c>
      <c r="E321">
        <v>1.2548085079651596</v>
      </c>
    </row>
    <row r="322" spans="1:5" ht="12.75">
      <c r="A322">
        <v>314</v>
      </c>
      <c r="B322">
        <v>8.901140610745188</v>
      </c>
      <c r="C322">
        <v>8.901139610745188</v>
      </c>
      <c r="D322">
        <v>-9.999999992515995E-07</v>
      </c>
      <c r="E322">
        <v>1.1272889155152785</v>
      </c>
    </row>
    <row r="323" spans="1:5" ht="12.75">
      <c r="A323">
        <v>315</v>
      </c>
      <c r="B323">
        <v>6.0511028407912555</v>
      </c>
      <c r="C323">
        <v>6.051101840791256</v>
      </c>
      <c r="D323">
        <v>-9.999999992515995E-07</v>
      </c>
      <c r="E323">
        <v>0.7420965306384099</v>
      </c>
    </row>
    <row r="324" spans="1:5" ht="12.75">
      <c r="A324">
        <v>316</v>
      </c>
      <c r="B324">
        <v>6.764102637576308</v>
      </c>
      <c r="C324">
        <v>6.764102637576307</v>
      </c>
      <c r="D324">
        <v>0</v>
      </c>
      <c r="E324">
        <v>0.7861575531104766</v>
      </c>
    </row>
    <row r="325" spans="1:5" ht="12.75">
      <c r="A325">
        <v>317</v>
      </c>
      <c r="B325">
        <v>6.772888474019752</v>
      </c>
      <c r="C325">
        <v>6.7728884740197515</v>
      </c>
      <c r="D325">
        <v>0</v>
      </c>
      <c r="E325">
        <v>0.9624490760689292</v>
      </c>
    </row>
    <row r="326" spans="1:5" ht="12.75">
      <c r="A326">
        <v>318</v>
      </c>
      <c r="B326">
        <v>6.8528713295203625</v>
      </c>
      <c r="C326">
        <v>6.852870329520363</v>
      </c>
      <c r="D326">
        <v>-9.999999992515995E-07</v>
      </c>
      <c r="E326">
        <v>0.9257880826416797</v>
      </c>
    </row>
    <row r="327" spans="1:5" ht="12.75">
      <c r="A327">
        <v>319</v>
      </c>
      <c r="B327">
        <v>8.099121664404528</v>
      </c>
      <c r="C327">
        <v>8.099121664404528</v>
      </c>
      <c r="D327">
        <v>0</v>
      </c>
      <c r="E327">
        <v>0.819552047217026</v>
      </c>
    </row>
    <row r="328" spans="1:5" ht="12.75">
      <c r="A328">
        <v>320</v>
      </c>
      <c r="B328">
        <v>8.70648794303686</v>
      </c>
      <c r="C328">
        <v>8.70648894303686</v>
      </c>
      <c r="D328">
        <v>9.999999992515995E-07</v>
      </c>
      <c r="E328">
        <v>0.9278909103131954</v>
      </c>
    </row>
    <row r="329" spans="1:5" ht="12.75">
      <c r="A329">
        <v>321</v>
      </c>
      <c r="B329">
        <v>7.297976374927588</v>
      </c>
      <c r="C329">
        <v>7.297977374927587</v>
      </c>
      <c r="D329">
        <v>9.999999992515995E-07</v>
      </c>
      <c r="E329">
        <v>0.9659638211675644</v>
      </c>
    </row>
    <row r="330" spans="1:5" ht="12.75">
      <c r="A330">
        <v>322</v>
      </c>
      <c r="B330">
        <v>7.509325162282147</v>
      </c>
      <c r="C330">
        <v>7.5093251622821455</v>
      </c>
      <c r="D330">
        <v>0</v>
      </c>
      <c r="E330">
        <v>1.1519758981955879</v>
      </c>
    </row>
    <row r="331" spans="1:5" ht="12.75">
      <c r="A331">
        <v>323</v>
      </c>
      <c r="B331">
        <v>8.348548166461157</v>
      </c>
      <c r="C331">
        <v>8.348547166461158</v>
      </c>
      <c r="D331">
        <v>-9.999999992515995E-07</v>
      </c>
      <c r="E331">
        <v>0.9328287480755566</v>
      </c>
    </row>
    <row r="332" spans="1:5" ht="12.75">
      <c r="A332">
        <v>324</v>
      </c>
      <c r="B332">
        <v>5.066492904511357</v>
      </c>
      <c r="C332">
        <v>5.0664919045113574</v>
      </c>
      <c r="D332">
        <v>-9.999999992515995E-07</v>
      </c>
      <c r="E332">
        <v>0.6240875396068988</v>
      </c>
    </row>
    <row r="333" spans="1:5" ht="12.75">
      <c r="A333">
        <v>325</v>
      </c>
      <c r="B333">
        <v>6.382043011229717</v>
      </c>
      <c r="C333">
        <v>6.382043011229717</v>
      </c>
      <c r="D333">
        <v>0</v>
      </c>
      <c r="E333">
        <v>0.9147813923554456</v>
      </c>
    </row>
    <row r="334" spans="1:5" ht="12.75">
      <c r="A334">
        <v>326</v>
      </c>
      <c r="B334">
        <v>8.721910222383775</v>
      </c>
      <c r="C334">
        <v>8.721911222383774</v>
      </c>
      <c r="D334">
        <v>9.999999992515995E-07</v>
      </c>
      <c r="E334">
        <v>1.1875470168878242</v>
      </c>
    </row>
    <row r="335" spans="1:5" ht="12.75">
      <c r="A335">
        <v>327</v>
      </c>
      <c r="B335">
        <v>7.050414628617761</v>
      </c>
      <c r="C335">
        <v>7.050414628617761</v>
      </c>
      <c r="D335">
        <v>0</v>
      </c>
      <c r="E335">
        <v>1.0368784919136815</v>
      </c>
    </row>
    <row r="336" spans="1:5" ht="12.75">
      <c r="A336">
        <v>328</v>
      </c>
      <c r="B336">
        <v>7.579378543613684</v>
      </c>
      <c r="C336">
        <v>7.579378543613684</v>
      </c>
      <c r="D336">
        <v>0</v>
      </c>
      <c r="E336">
        <v>0.9320485458358556</v>
      </c>
    </row>
    <row r="337" spans="1:5" ht="12.75">
      <c r="A337">
        <v>329</v>
      </c>
      <c r="B337">
        <v>7.165359415560089</v>
      </c>
      <c r="C337">
        <v>7.16535941556009</v>
      </c>
      <c r="D337">
        <v>0</v>
      </c>
      <c r="E337">
        <v>0.8860738174432817</v>
      </c>
    </row>
    <row r="338" spans="1:5" ht="12.75">
      <c r="A338">
        <v>330</v>
      </c>
      <c r="B338">
        <v>8.118669593757527</v>
      </c>
      <c r="C338">
        <v>8.118670593757527</v>
      </c>
      <c r="D338">
        <v>9.999999992515995E-07</v>
      </c>
      <c r="E338">
        <v>0.9759179949032273</v>
      </c>
    </row>
    <row r="339" spans="1:5" ht="12.75">
      <c r="A339">
        <v>331</v>
      </c>
      <c r="B339">
        <v>10.7776835924956</v>
      </c>
      <c r="C339">
        <v>10.7776845924956</v>
      </c>
      <c r="D339">
        <v>9.999999992515995E-07</v>
      </c>
      <c r="E339">
        <v>1.3709346807763068</v>
      </c>
    </row>
    <row r="340" spans="1:5" ht="12.75">
      <c r="A340">
        <v>332</v>
      </c>
      <c r="B340">
        <v>9.389753219473514</v>
      </c>
      <c r="C340">
        <v>9.389753219473516</v>
      </c>
      <c r="D340">
        <v>0</v>
      </c>
      <c r="E340">
        <v>0.8909613850915696</v>
      </c>
    </row>
    <row r="341" spans="1:5" ht="12.75">
      <c r="A341">
        <v>333</v>
      </c>
      <c r="B341">
        <v>9.453978676643539</v>
      </c>
      <c r="C341">
        <v>9.453979676643538</v>
      </c>
      <c r="D341">
        <v>9.999999992515995E-07</v>
      </c>
      <c r="E341">
        <v>0.9692791486748966</v>
      </c>
    </row>
    <row r="342" spans="1:5" ht="12.75">
      <c r="A342">
        <v>334</v>
      </c>
      <c r="B342">
        <v>5.272793284033241</v>
      </c>
      <c r="C342">
        <v>5.272793284033242</v>
      </c>
      <c r="D342">
        <v>0</v>
      </c>
      <c r="E342">
        <v>0.6772183065504269</v>
      </c>
    </row>
    <row r="343" spans="1:5" ht="12.75">
      <c r="A343">
        <v>335</v>
      </c>
      <c r="B343">
        <v>6.068562474490526</v>
      </c>
      <c r="C343">
        <v>6.068562474490523</v>
      </c>
      <c r="D343">
        <v>0</v>
      </c>
      <c r="E343">
        <v>1.0439349946707637</v>
      </c>
    </row>
    <row r="344" spans="1:5" ht="12.75">
      <c r="A344">
        <v>336</v>
      </c>
      <c r="B344">
        <v>8.423443420227159</v>
      </c>
      <c r="C344">
        <v>8.42344342022716</v>
      </c>
      <c r="D344">
        <v>0</v>
      </c>
      <c r="E344">
        <v>0.8330423103283725</v>
      </c>
    </row>
    <row r="345" spans="1:5" ht="12.75">
      <c r="A345">
        <v>337</v>
      </c>
      <c r="B345">
        <v>9.0199136051645</v>
      </c>
      <c r="C345">
        <v>9.019913605164497</v>
      </c>
      <c r="D345">
        <v>0</v>
      </c>
      <c r="E345">
        <v>1.1719106101317873</v>
      </c>
    </row>
    <row r="346" spans="1:5" ht="12.75">
      <c r="A346">
        <v>338</v>
      </c>
      <c r="B346">
        <v>8.679355280927142</v>
      </c>
      <c r="C346">
        <v>8.679354280927143</v>
      </c>
      <c r="D346">
        <v>-9.999999992515995E-07</v>
      </c>
      <c r="E346">
        <v>1.061396747296939</v>
      </c>
    </row>
    <row r="347" spans="1:5" ht="12.75">
      <c r="A347">
        <v>339</v>
      </c>
      <c r="B347">
        <v>8.791923575802784</v>
      </c>
      <c r="C347">
        <v>8.791923575802784</v>
      </c>
      <c r="D347">
        <v>0</v>
      </c>
      <c r="E347">
        <v>0.8807933505284185</v>
      </c>
    </row>
    <row r="348" spans="1:5" ht="12.75">
      <c r="A348">
        <v>340</v>
      </c>
      <c r="B348">
        <v>6.8199642985279905</v>
      </c>
      <c r="C348">
        <v>6.8199642985279905</v>
      </c>
      <c r="D348">
        <v>0</v>
      </c>
      <c r="E348">
        <v>1.0107463440675553</v>
      </c>
    </row>
    <row r="349" spans="1:5" ht="12.75">
      <c r="A349">
        <v>341</v>
      </c>
      <c r="B349">
        <v>9.840776471684157</v>
      </c>
      <c r="C349">
        <v>9.840777471684156</v>
      </c>
      <c r="D349">
        <v>9.999999992515995E-07</v>
      </c>
      <c r="E349">
        <v>1.4063148932827416</v>
      </c>
    </row>
    <row r="350" spans="1:5" ht="12.75">
      <c r="A350">
        <v>342</v>
      </c>
      <c r="B350">
        <v>7.807637470901108</v>
      </c>
      <c r="C350">
        <v>7.80763647090111</v>
      </c>
      <c r="D350">
        <v>-9.999999983634211E-07</v>
      </c>
      <c r="E350">
        <v>1.0838365515975166</v>
      </c>
    </row>
    <row r="351" spans="1:5" ht="12.75">
      <c r="A351">
        <v>343</v>
      </c>
      <c r="B351">
        <v>5.983702985153778</v>
      </c>
      <c r="C351">
        <v>5.983702985153778</v>
      </c>
      <c r="D351">
        <v>0</v>
      </c>
      <c r="E351">
        <v>0.7707649426308283</v>
      </c>
    </row>
    <row r="352" spans="1:5" ht="12.75">
      <c r="A352">
        <v>344</v>
      </c>
      <c r="B352">
        <v>7.047610776322074</v>
      </c>
      <c r="C352">
        <v>7.047610776322075</v>
      </c>
      <c r="D352">
        <v>0</v>
      </c>
      <c r="E352">
        <v>0.9148536433969708</v>
      </c>
    </row>
    <row r="353" spans="1:5" ht="12.75">
      <c r="A353">
        <v>345</v>
      </c>
      <c r="B353">
        <v>10.278959213388848</v>
      </c>
      <c r="C353">
        <v>10.278960213388848</v>
      </c>
      <c r="D353">
        <v>9.999999992515995E-07</v>
      </c>
      <c r="E353">
        <v>1.1438188663474729</v>
      </c>
    </row>
    <row r="354" spans="1:5" ht="12.75">
      <c r="A354">
        <v>346</v>
      </c>
      <c r="B354">
        <v>6.9034872805662335</v>
      </c>
      <c r="C354">
        <v>6.903486280566234</v>
      </c>
      <c r="D354">
        <v>-9.999999992515995E-07</v>
      </c>
      <c r="E354">
        <v>0.8061005934068142</v>
      </c>
    </row>
    <row r="355" spans="1:5" ht="12.75">
      <c r="A355">
        <v>347</v>
      </c>
      <c r="B355">
        <v>7.219329937709533</v>
      </c>
      <c r="C355">
        <v>7.219329937709534</v>
      </c>
      <c r="D355">
        <v>0</v>
      </c>
      <c r="E355">
        <v>0.9724405917626731</v>
      </c>
    </row>
    <row r="356" spans="1:5" ht="12.75">
      <c r="A356">
        <v>348</v>
      </c>
      <c r="B356">
        <v>7.966144768889654</v>
      </c>
      <c r="C356">
        <v>7.966145768889653</v>
      </c>
      <c r="D356">
        <v>9.999999992515995E-07</v>
      </c>
      <c r="E356">
        <v>0.9733497091052847</v>
      </c>
    </row>
    <row r="357" spans="1:5" ht="12.75">
      <c r="A357">
        <v>349</v>
      </c>
      <c r="B357">
        <v>10.048234489895727</v>
      </c>
      <c r="C357">
        <v>10.048235489895726</v>
      </c>
      <c r="D357">
        <v>9.999999992515995E-07</v>
      </c>
      <c r="E357">
        <v>1.0640238479443214</v>
      </c>
    </row>
    <row r="358" spans="1:5" ht="12.75">
      <c r="A358">
        <v>350</v>
      </c>
      <c r="B358">
        <v>8.71924062366564</v>
      </c>
      <c r="C358">
        <v>8.71923962366564</v>
      </c>
      <c r="D358">
        <v>-9.999999992515995E-07</v>
      </c>
      <c r="E358">
        <v>0.9633797336213091</v>
      </c>
    </row>
    <row r="359" spans="1:5" ht="12.75">
      <c r="A359">
        <v>351</v>
      </c>
      <c r="B359">
        <v>6.026182934605915</v>
      </c>
      <c r="C359">
        <v>6.026181934605916</v>
      </c>
      <c r="D359">
        <v>-9.999999992515995E-07</v>
      </c>
      <c r="E359">
        <v>0.6802709767635031</v>
      </c>
    </row>
    <row r="360" spans="1:5" ht="12.75">
      <c r="A360">
        <v>352</v>
      </c>
      <c r="B360">
        <v>7.64809974321328</v>
      </c>
      <c r="C360">
        <v>7.64809974321328</v>
      </c>
      <c r="D360">
        <v>0</v>
      </c>
      <c r="E360">
        <v>1.06123533074891</v>
      </c>
    </row>
    <row r="361" spans="1:5" ht="12.75">
      <c r="A361">
        <v>353</v>
      </c>
      <c r="B361">
        <v>9.20265745351939</v>
      </c>
      <c r="C361">
        <v>9.20265645351939</v>
      </c>
      <c r="D361">
        <v>-9.999999992515995E-07</v>
      </c>
      <c r="E361">
        <v>0.8820762449454764</v>
      </c>
    </row>
    <row r="362" spans="1:5" ht="12.75">
      <c r="A362">
        <v>354</v>
      </c>
      <c r="B362">
        <v>7.878454074318913</v>
      </c>
      <c r="C362">
        <v>7.878454074318913</v>
      </c>
      <c r="D362">
        <v>0</v>
      </c>
      <c r="E362">
        <v>1.0247690024187637</v>
      </c>
    </row>
    <row r="363" spans="1:5" ht="12.75">
      <c r="A363">
        <v>355</v>
      </c>
      <c r="B363">
        <v>4.914363249651236</v>
      </c>
      <c r="C363">
        <v>4.914363249651236</v>
      </c>
      <c r="D363">
        <v>0</v>
      </c>
      <c r="E363">
        <v>0.5385018547260085</v>
      </c>
    </row>
    <row r="364" spans="1:5" ht="12.75">
      <c r="A364">
        <v>356</v>
      </c>
      <c r="B364">
        <v>5.4796155340276105</v>
      </c>
      <c r="C364">
        <v>5.4796155340276105</v>
      </c>
      <c r="D364">
        <v>0</v>
      </c>
      <c r="E364">
        <v>0.6257956797788111</v>
      </c>
    </row>
    <row r="365" spans="1:5" ht="12.75">
      <c r="A365">
        <v>357</v>
      </c>
      <c r="B365">
        <v>7.392045986170595</v>
      </c>
      <c r="C365">
        <v>7.392045986170595</v>
      </c>
      <c r="D365">
        <v>0</v>
      </c>
      <c r="E365">
        <v>0.8052623957398736</v>
      </c>
    </row>
    <row r="366" spans="1:5" ht="12.75">
      <c r="A366">
        <v>358</v>
      </c>
      <c r="B366">
        <v>10.164555458177006</v>
      </c>
      <c r="C366">
        <v>10.164556458177005</v>
      </c>
      <c r="D366">
        <v>9.999999992515995E-07</v>
      </c>
      <c r="E366">
        <v>1.1956391520968468</v>
      </c>
    </row>
    <row r="367" spans="1:5" ht="12.75">
      <c r="A367">
        <v>359</v>
      </c>
      <c r="B367">
        <v>6.973174896967617</v>
      </c>
      <c r="C367">
        <v>6.973174896967618</v>
      </c>
      <c r="D367">
        <v>0</v>
      </c>
      <c r="E367">
        <v>1.1722506463575617</v>
      </c>
    </row>
    <row r="368" spans="1:5" ht="12.75">
      <c r="A368">
        <v>360</v>
      </c>
      <c r="B368">
        <v>7.090743078512341</v>
      </c>
      <c r="C368">
        <v>7.090743078512341</v>
      </c>
      <c r="D368">
        <v>0</v>
      </c>
      <c r="E368">
        <v>0.8892434667573887</v>
      </c>
    </row>
    <row r="369" spans="1:5" ht="12.75">
      <c r="A369">
        <v>361</v>
      </c>
      <c r="B369">
        <v>7.959383552317915</v>
      </c>
      <c r="C369">
        <v>7.959382552317916</v>
      </c>
      <c r="D369">
        <v>-9.999999992515995E-07</v>
      </c>
      <c r="E369">
        <v>0.8468359653062918</v>
      </c>
    </row>
    <row r="370" spans="1:5" ht="12.75">
      <c r="A370">
        <v>362</v>
      </c>
      <c r="B370">
        <v>10.711847904614903</v>
      </c>
      <c r="C370">
        <v>10.711847904614903</v>
      </c>
      <c r="D370">
        <v>0</v>
      </c>
      <c r="E370">
        <v>1.3009946499008067</v>
      </c>
    </row>
    <row r="371" spans="1:5" ht="12.75">
      <c r="A371">
        <v>363</v>
      </c>
      <c r="B371">
        <v>8.50459679171989</v>
      </c>
      <c r="C371">
        <v>8.504596791719889</v>
      </c>
      <c r="D371">
        <v>0</v>
      </c>
      <c r="E371">
        <v>1.0028870044951657</v>
      </c>
    </row>
    <row r="372" spans="1:5" ht="12.75">
      <c r="A372">
        <v>364</v>
      </c>
      <c r="B372">
        <v>6.038794585799281</v>
      </c>
      <c r="C372">
        <v>6.038793585799283</v>
      </c>
      <c r="D372">
        <v>-9.999999983634211E-07</v>
      </c>
      <c r="E372">
        <v>0.5265150289597045</v>
      </c>
    </row>
    <row r="373" spans="1:5" ht="12.75">
      <c r="A373">
        <v>365</v>
      </c>
      <c r="B373">
        <v>7.358581009985546</v>
      </c>
      <c r="C373">
        <v>7.358581009985545</v>
      </c>
      <c r="D373">
        <v>0</v>
      </c>
      <c r="E373">
        <v>0.9418780461148474</v>
      </c>
    </row>
    <row r="374" spans="1:5" ht="12.75">
      <c r="A374">
        <v>366</v>
      </c>
      <c r="B374">
        <v>8.286091907871208</v>
      </c>
      <c r="C374">
        <v>8.286092907871208</v>
      </c>
      <c r="D374">
        <v>9.999999992515995E-07</v>
      </c>
      <c r="E374">
        <v>1.035618395995242</v>
      </c>
    </row>
    <row r="375" spans="1:5" ht="12.75">
      <c r="A375">
        <v>367</v>
      </c>
      <c r="B375">
        <v>6.40620113850538</v>
      </c>
      <c r="C375">
        <v>6.406200138505381</v>
      </c>
      <c r="D375">
        <v>-9.999999992515995E-07</v>
      </c>
      <c r="E375">
        <v>0.9790779918658391</v>
      </c>
    </row>
    <row r="376" spans="1:5" ht="12.75">
      <c r="A376">
        <v>368</v>
      </c>
      <c r="B376">
        <v>8.410795178061692</v>
      </c>
      <c r="C376">
        <v>8.410796178061691</v>
      </c>
      <c r="D376">
        <v>9.999999992515995E-07</v>
      </c>
      <c r="E376">
        <v>1.251133975409078</v>
      </c>
    </row>
    <row r="377" spans="1:5" ht="12.75">
      <c r="A377">
        <v>369</v>
      </c>
      <c r="B377">
        <v>10.12107854081122</v>
      </c>
      <c r="C377">
        <v>10.121077540811221</v>
      </c>
      <c r="D377">
        <v>-9.999999992515995E-07</v>
      </c>
      <c r="E377">
        <v>1.080218164249527</v>
      </c>
    </row>
    <row r="378" spans="1:5" ht="12.75">
      <c r="A378">
        <v>370</v>
      </c>
      <c r="B378">
        <v>6.389114243786628</v>
      </c>
      <c r="C378">
        <v>6.389113243786629</v>
      </c>
      <c r="D378">
        <v>-9.999999992515995E-07</v>
      </c>
      <c r="E378">
        <v>0.7213930139058744</v>
      </c>
    </row>
    <row r="379" spans="1:5" ht="12.75">
      <c r="A379">
        <v>371</v>
      </c>
      <c r="B379">
        <v>9.974172557568615</v>
      </c>
      <c r="C379">
        <v>9.974173557568612</v>
      </c>
      <c r="D379">
        <v>9.999999974752427E-07</v>
      </c>
      <c r="E379">
        <v>1.1377290911539666</v>
      </c>
    </row>
    <row r="380" spans="1:5" ht="12.75">
      <c r="A380">
        <v>372</v>
      </c>
      <c r="B380">
        <v>11.324836515760184</v>
      </c>
      <c r="C380">
        <v>11.324837515760183</v>
      </c>
      <c r="D380">
        <v>9.999999992515995E-07</v>
      </c>
      <c r="E380">
        <v>1.4308245635812082</v>
      </c>
    </row>
    <row r="381" spans="1:5" ht="12.75">
      <c r="A381">
        <v>373</v>
      </c>
      <c r="B381">
        <v>5.22398013840039</v>
      </c>
      <c r="C381">
        <v>5.22398013840039</v>
      </c>
      <c r="D381">
        <v>0</v>
      </c>
      <c r="E381">
        <v>0.4978170347425841</v>
      </c>
    </row>
    <row r="382" spans="1:5" ht="12.75">
      <c r="A382">
        <v>374</v>
      </c>
      <c r="B382">
        <v>7.1299820910997145</v>
      </c>
      <c r="C382">
        <v>7.129982091099715</v>
      </c>
      <c r="D382">
        <v>0</v>
      </c>
      <c r="E382">
        <v>0.9524827085996852</v>
      </c>
    </row>
    <row r="383" spans="1:5" ht="12.75">
      <c r="A383">
        <v>375</v>
      </c>
      <c r="B383">
        <v>5.726956474849826</v>
      </c>
      <c r="C383">
        <v>5.7269564748498265</v>
      </c>
      <c r="D383">
        <v>0</v>
      </c>
      <c r="E383">
        <v>0.7427767774608014</v>
      </c>
    </row>
    <row r="384" spans="1:5" ht="12.75">
      <c r="A384">
        <v>376</v>
      </c>
      <c r="B384">
        <v>6.6851433379140905</v>
      </c>
      <c r="C384">
        <v>6.68514433791409</v>
      </c>
      <c r="D384">
        <v>9.999999992515995E-07</v>
      </c>
      <c r="E384">
        <v>0.9283367762048735</v>
      </c>
    </row>
    <row r="385" spans="1:5" ht="12.75">
      <c r="A385">
        <v>377</v>
      </c>
      <c r="B385">
        <v>8.68553943499445</v>
      </c>
      <c r="C385">
        <v>8.685539434994448</v>
      </c>
      <c r="D385">
        <v>0</v>
      </c>
      <c r="E385">
        <v>1.195036131287945</v>
      </c>
    </row>
    <row r="386" spans="1:5" ht="12.75">
      <c r="A386">
        <v>378</v>
      </c>
      <c r="B386">
        <v>11.051951519796372</v>
      </c>
      <c r="C386">
        <v>11.051951519796368</v>
      </c>
      <c r="D386">
        <v>0</v>
      </c>
      <c r="E386">
        <v>1.30147362592326</v>
      </c>
    </row>
    <row r="387" spans="1:5" ht="12.75">
      <c r="A387">
        <v>379</v>
      </c>
      <c r="B387">
        <v>6.95030670785928</v>
      </c>
      <c r="C387">
        <v>6.950306707859283</v>
      </c>
      <c r="D387">
        <v>0</v>
      </c>
      <c r="E387">
        <v>0.9885864593336833</v>
      </c>
    </row>
    <row r="388" spans="1:5" ht="12.75">
      <c r="A388">
        <v>380</v>
      </c>
      <c r="B388">
        <v>8.54021826860547</v>
      </c>
      <c r="C388">
        <v>8.540218268605468</v>
      </c>
      <c r="D388">
        <v>0</v>
      </c>
      <c r="E388">
        <v>1.3406707498741857</v>
      </c>
    </row>
    <row r="389" spans="1:5" ht="12.75">
      <c r="A389">
        <v>381</v>
      </c>
      <c r="B389">
        <v>10.01692509496061</v>
      </c>
      <c r="C389">
        <v>10.016924094960611</v>
      </c>
      <c r="D389">
        <v>-9.999999992515995E-07</v>
      </c>
      <c r="E389">
        <v>1.2077300574080356</v>
      </c>
    </row>
    <row r="390" spans="1:5" ht="12.75">
      <c r="A390">
        <v>382</v>
      </c>
      <c r="B390">
        <v>8.117738317396324</v>
      </c>
      <c r="C390">
        <v>8.117737317396324</v>
      </c>
      <c r="D390">
        <v>-9.999999992515995E-07</v>
      </c>
      <c r="E390">
        <v>1.0387589847323189</v>
      </c>
    </row>
    <row r="391" spans="1:5" ht="12.75">
      <c r="A391">
        <v>383</v>
      </c>
      <c r="B391">
        <v>6.063562983976634</v>
      </c>
      <c r="C391">
        <v>6.063562983976633</v>
      </c>
      <c r="D391">
        <v>0</v>
      </c>
      <c r="E391">
        <v>0.909504107487963</v>
      </c>
    </row>
    <row r="392" spans="1:5" ht="12.75">
      <c r="A392">
        <v>384</v>
      </c>
      <c r="B392">
        <v>6.7062361316020835</v>
      </c>
      <c r="C392">
        <v>6.706237131602083</v>
      </c>
      <c r="D392">
        <v>9.999999992515995E-07</v>
      </c>
      <c r="E392">
        <v>0.9643226668810173</v>
      </c>
    </row>
    <row r="393" spans="1:5" ht="12.75">
      <c r="A393">
        <v>385</v>
      </c>
      <c r="B393">
        <v>9.226608069968453</v>
      </c>
      <c r="C393">
        <v>9.226608069968453</v>
      </c>
      <c r="D393">
        <v>0</v>
      </c>
      <c r="E393">
        <v>0.8024329337733046</v>
      </c>
    </row>
    <row r="394" spans="1:5" ht="12.75">
      <c r="A394">
        <v>386</v>
      </c>
      <c r="B394">
        <v>9.749941842443437</v>
      </c>
      <c r="C394">
        <v>9.749942842443437</v>
      </c>
      <c r="D394">
        <v>9.999999992515995E-07</v>
      </c>
      <c r="E394">
        <v>1.0555303858156007</v>
      </c>
    </row>
    <row r="395" spans="1:5" ht="12.75">
      <c r="A395">
        <v>387</v>
      </c>
      <c r="B395">
        <v>6.778806071225828</v>
      </c>
      <c r="C395">
        <v>6.778806071225829</v>
      </c>
      <c r="D395">
        <v>0</v>
      </c>
      <c r="E395">
        <v>0.7099767399041255</v>
      </c>
    </row>
    <row r="396" spans="1:5" ht="12.75">
      <c r="A396">
        <v>388</v>
      </c>
      <c r="B396">
        <v>9.044369309241137</v>
      </c>
      <c r="C396">
        <v>9.044370309241136</v>
      </c>
      <c r="D396">
        <v>9.999999992515995E-07</v>
      </c>
      <c r="E396">
        <v>1.050047178255997</v>
      </c>
    </row>
    <row r="397" spans="1:5" ht="12.75">
      <c r="A397">
        <v>389</v>
      </c>
      <c r="B397">
        <v>9.646965401630052</v>
      </c>
      <c r="C397">
        <v>9.646966401630051</v>
      </c>
      <c r="D397">
        <v>9.999999992515995E-07</v>
      </c>
      <c r="E397">
        <v>1.364872032211251</v>
      </c>
    </row>
    <row r="398" spans="1:5" ht="12.75">
      <c r="A398">
        <v>390</v>
      </c>
      <c r="B398">
        <v>9.493715793627043</v>
      </c>
      <c r="C398">
        <v>9.493715793627047</v>
      </c>
      <c r="D398">
        <v>0</v>
      </c>
      <c r="E398">
        <v>1.0961343005662614</v>
      </c>
    </row>
    <row r="399" spans="1:5" ht="12.75">
      <c r="A399">
        <v>391</v>
      </c>
      <c r="B399">
        <v>7.2213191959463545</v>
      </c>
      <c r="C399">
        <v>7.221319195946355</v>
      </c>
      <c r="D399">
        <v>0</v>
      </c>
      <c r="E399">
        <v>0.7991761916733539</v>
      </c>
    </row>
    <row r="400" spans="1:5" ht="12.75">
      <c r="A400">
        <v>392</v>
      </c>
      <c r="B400">
        <v>7.744240037032908</v>
      </c>
      <c r="C400">
        <v>7.744241037032906</v>
      </c>
      <c r="D400">
        <v>9.999999983634211E-07</v>
      </c>
      <c r="E400">
        <v>1.0024642812966849</v>
      </c>
    </row>
    <row r="401" spans="1:5" ht="12.75">
      <c r="A401">
        <v>393</v>
      </c>
      <c r="B401">
        <v>6.603063451886756</v>
      </c>
      <c r="C401">
        <v>6.603063451886757</v>
      </c>
      <c r="D401">
        <v>0</v>
      </c>
      <c r="E401">
        <v>0.7631329642604914</v>
      </c>
    </row>
    <row r="402" spans="1:5" ht="12.75">
      <c r="A402">
        <v>394</v>
      </c>
      <c r="B402">
        <v>10.323174283298659</v>
      </c>
      <c r="C402">
        <v>10.323175283298657</v>
      </c>
      <c r="D402">
        <v>9.999999974752427E-07</v>
      </c>
      <c r="E402">
        <v>1.2778909102495666</v>
      </c>
    </row>
    <row r="403" spans="1:5" ht="12.75">
      <c r="A403">
        <v>395</v>
      </c>
      <c r="B403">
        <v>7.540932776847566</v>
      </c>
      <c r="C403">
        <v>7.540932776847566</v>
      </c>
      <c r="D403">
        <v>0</v>
      </c>
      <c r="E403">
        <v>0.9676263330719015</v>
      </c>
    </row>
    <row r="404" spans="1:5" ht="12.75">
      <c r="A404">
        <v>396</v>
      </c>
      <c r="B404">
        <v>5.812331571961252</v>
      </c>
      <c r="C404">
        <v>5.812331571961253</v>
      </c>
      <c r="D404">
        <v>0</v>
      </c>
      <c r="E404">
        <v>0.8173873661583426</v>
      </c>
    </row>
    <row r="405" spans="1:5" ht="12.75">
      <c r="A405">
        <v>397</v>
      </c>
      <c r="B405">
        <v>7.704212151047148</v>
      </c>
      <c r="C405">
        <v>7.704212151047148</v>
      </c>
      <c r="D405">
        <v>0</v>
      </c>
      <c r="E405">
        <v>0.9949703768948153</v>
      </c>
    </row>
    <row r="406" spans="1:5" ht="12.75">
      <c r="A406">
        <v>398</v>
      </c>
      <c r="B406">
        <v>8.236942497013878</v>
      </c>
      <c r="C406">
        <v>8.236942497013878</v>
      </c>
      <c r="D406">
        <v>0</v>
      </c>
      <c r="E406">
        <v>1.0011368792290332</v>
      </c>
    </row>
    <row r="407" spans="1:5" ht="12.75">
      <c r="A407">
        <v>399</v>
      </c>
      <c r="B407">
        <v>8.749949411730343</v>
      </c>
      <c r="C407">
        <v>8.749949411730341</v>
      </c>
      <c r="D407">
        <v>0</v>
      </c>
      <c r="E407">
        <v>1.331756839256201</v>
      </c>
    </row>
    <row r="408" spans="1:5" ht="12.75">
      <c r="A408">
        <v>400</v>
      </c>
      <c r="B408">
        <v>5.481212355191018</v>
      </c>
      <c r="C408">
        <v>5.481211355191019</v>
      </c>
      <c r="D408">
        <v>-9.999999992515995E-07</v>
      </c>
      <c r="E408">
        <v>0.5891779923789062</v>
      </c>
    </row>
    <row r="409" spans="1:5" ht="12.75">
      <c r="A409">
        <v>401</v>
      </c>
      <c r="B409">
        <v>7.532360324998317</v>
      </c>
      <c r="C409">
        <v>7.532361324998316</v>
      </c>
      <c r="D409">
        <v>9.999999992515995E-07</v>
      </c>
      <c r="E409">
        <v>1.0319358239937702</v>
      </c>
    </row>
    <row r="410" spans="1:5" ht="12.75">
      <c r="A410">
        <v>402</v>
      </c>
      <c r="B410">
        <v>8.435006301467054</v>
      </c>
      <c r="C410">
        <v>8.435006301467054</v>
      </c>
      <c r="D410">
        <v>0</v>
      </c>
      <c r="E410">
        <v>1.1195821561633024</v>
      </c>
    </row>
    <row r="411" spans="1:5" ht="12.75">
      <c r="A411">
        <v>403</v>
      </c>
      <c r="B411">
        <v>7.2830968239857</v>
      </c>
      <c r="C411">
        <v>7.283096823985701</v>
      </c>
      <c r="D411">
        <v>0</v>
      </c>
      <c r="E411">
        <v>0.8034772323548843</v>
      </c>
    </row>
    <row r="412" spans="1:5" ht="12.75">
      <c r="A412">
        <v>404</v>
      </c>
      <c r="B412">
        <v>9.721910143807657</v>
      </c>
      <c r="C412">
        <v>9.721911143807656</v>
      </c>
      <c r="D412">
        <v>9.999999992515995E-07</v>
      </c>
      <c r="E412">
        <v>1.101815645280306</v>
      </c>
    </row>
    <row r="413" spans="1:5" ht="12.75">
      <c r="A413">
        <v>405</v>
      </c>
      <c r="B413">
        <v>7.937590382634381</v>
      </c>
      <c r="C413">
        <v>7.93759038263438</v>
      </c>
      <c r="D413">
        <v>0</v>
      </c>
      <c r="E413">
        <v>1.0282047319288234</v>
      </c>
    </row>
    <row r="414" spans="1:5" ht="12.75">
      <c r="A414">
        <v>406</v>
      </c>
      <c r="B414">
        <v>6.2369442594245434</v>
      </c>
      <c r="C414">
        <v>6.236943259424544</v>
      </c>
      <c r="D414">
        <v>-9.999999992515995E-07</v>
      </c>
      <c r="E414">
        <v>0.7797283801841166</v>
      </c>
    </row>
    <row r="415" spans="1:5" ht="12.75">
      <c r="A415">
        <v>407</v>
      </c>
      <c r="B415">
        <v>4.838740411088911</v>
      </c>
      <c r="C415">
        <v>4.838739411088913</v>
      </c>
      <c r="D415">
        <v>-9.999999983634211E-07</v>
      </c>
      <c r="E415">
        <v>0.43957590704815325</v>
      </c>
    </row>
    <row r="416" spans="1:5" ht="12.75">
      <c r="A416">
        <v>408</v>
      </c>
      <c r="B416">
        <v>8.252940673795248</v>
      </c>
      <c r="C416">
        <v>8.252940673795246</v>
      </c>
      <c r="D416">
        <v>0</v>
      </c>
      <c r="E416">
        <v>1.0013436809083764</v>
      </c>
    </row>
    <row r="417" spans="1:5" ht="12.75">
      <c r="A417">
        <v>409</v>
      </c>
      <c r="B417">
        <v>7.395244660123762</v>
      </c>
      <c r="C417">
        <v>7.395244660123762</v>
      </c>
      <c r="D417">
        <v>0</v>
      </c>
      <c r="E417">
        <v>0.8309730546904186</v>
      </c>
    </row>
    <row r="418" spans="1:5" ht="12.75">
      <c r="A418">
        <v>410</v>
      </c>
      <c r="B418">
        <v>10.374569602457974</v>
      </c>
      <c r="C418">
        <v>10.374570602457974</v>
      </c>
      <c r="D418">
        <v>9.999999992515995E-07</v>
      </c>
      <c r="E418">
        <v>1.6225136515369303</v>
      </c>
    </row>
    <row r="419" spans="1:5" ht="12.75">
      <c r="A419">
        <v>411</v>
      </c>
      <c r="B419">
        <v>7.917396075732109</v>
      </c>
      <c r="C419">
        <v>7.917395075732109</v>
      </c>
      <c r="D419">
        <v>-9.999999992515995E-07</v>
      </c>
      <c r="E419">
        <v>1.1141690763020948</v>
      </c>
    </row>
    <row r="420" spans="1:5" ht="12.75">
      <c r="A420">
        <v>412</v>
      </c>
      <c r="B420">
        <v>9.119431772952245</v>
      </c>
      <c r="C420">
        <v>9.119431772952245</v>
      </c>
      <c r="D420">
        <v>0</v>
      </c>
      <c r="E420">
        <v>1.0871777829074152</v>
      </c>
    </row>
    <row r="421" spans="1:5" ht="12.75">
      <c r="A421">
        <v>413</v>
      </c>
      <c r="B421">
        <v>8.065037681646638</v>
      </c>
      <c r="C421">
        <v>8.065036681646639</v>
      </c>
      <c r="D421">
        <v>-9.999999992515995E-07</v>
      </c>
      <c r="E421">
        <v>1.0587148838808236</v>
      </c>
    </row>
    <row r="422" spans="1:5" ht="12.75">
      <c r="A422">
        <v>414</v>
      </c>
      <c r="B422">
        <v>7.941376669437667</v>
      </c>
      <c r="C422">
        <v>7.941376669437667</v>
      </c>
      <c r="D422">
        <v>0</v>
      </c>
      <c r="E422">
        <v>1.0530180318957365</v>
      </c>
    </row>
    <row r="423" spans="1:5" ht="12.75">
      <c r="A423">
        <v>415</v>
      </c>
      <c r="B423">
        <v>7.1853900327592735</v>
      </c>
      <c r="C423">
        <v>7.185389032759274</v>
      </c>
      <c r="D423">
        <v>-9.999999992515995E-07</v>
      </c>
      <c r="E423">
        <v>0.7672471188442457</v>
      </c>
    </row>
    <row r="424" spans="1:5" ht="12.75">
      <c r="A424">
        <v>416</v>
      </c>
      <c r="B424">
        <v>7.448454226930444</v>
      </c>
      <c r="C424">
        <v>7.448454226930445</v>
      </c>
      <c r="D424">
        <v>0</v>
      </c>
      <c r="E424">
        <v>0.610120664595542</v>
      </c>
    </row>
    <row r="425" spans="1:5" ht="12.75">
      <c r="A425">
        <v>417</v>
      </c>
      <c r="B425">
        <v>5.965567402647562</v>
      </c>
      <c r="C425">
        <v>5.965568402647561</v>
      </c>
      <c r="D425">
        <v>9.999999992515995E-07</v>
      </c>
      <c r="E425">
        <v>0.8525970907653339</v>
      </c>
    </row>
    <row r="426" spans="1:5" ht="12.75">
      <c r="A426">
        <v>418</v>
      </c>
      <c r="B426">
        <v>6.353441679438557</v>
      </c>
      <c r="C426">
        <v>6.353440679438558</v>
      </c>
      <c r="D426">
        <v>-9.999999992515995E-07</v>
      </c>
      <c r="E426">
        <v>0.6046257288696404</v>
      </c>
    </row>
    <row r="427" spans="1:5" ht="12.75">
      <c r="A427">
        <v>419</v>
      </c>
      <c r="B427">
        <v>8.468482842112703</v>
      </c>
      <c r="C427">
        <v>8.4684828421127</v>
      </c>
      <c r="D427">
        <v>0</v>
      </c>
      <c r="E427">
        <v>1.0259369880242177</v>
      </c>
    </row>
    <row r="428" spans="1:5" ht="12.75">
      <c r="A428">
        <v>420</v>
      </c>
      <c r="B428">
        <v>12.120772458057814</v>
      </c>
      <c r="C428">
        <v>12.120772458057814</v>
      </c>
      <c r="D428">
        <v>0</v>
      </c>
      <c r="E428">
        <v>1.5357950060430725</v>
      </c>
    </row>
    <row r="429" spans="1:5" ht="12.75">
      <c r="A429">
        <v>421</v>
      </c>
      <c r="B429">
        <v>7.52277471172933</v>
      </c>
      <c r="C429">
        <v>7.522774711729328</v>
      </c>
      <c r="D429">
        <v>0</v>
      </c>
      <c r="E429">
        <v>0.9854663000862199</v>
      </c>
    </row>
    <row r="430" spans="1:5" ht="12.75">
      <c r="A430">
        <v>422</v>
      </c>
      <c r="B430">
        <v>5.936662223471073</v>
      </c>
      <c r="C430">
        <v>5.936662223471073</v>
      </c>
      <c r="D430">
        <v>0</v>
      </c>
      <c r="E430">
        <v>0.9047382081594922</v>
      </c>
    </row>
    <row r="431" spans="1:5" ht="12.75">
      <c r="A431">
        <v>423</v>
      </c>
      <c r="B431">
        <v>9.054126465134646</v>
      </c>
      <c r="C431">
        <v>9.054127465134645</v>
      </c>
      <c r="D431">
        <v>9.999999992515995E-07</v>
      </c>
      <c r="E431">
        <v>1.2796284440292967</v>
      </c>
    </row>
    <row r="432" spans="1:5" ht="12.75">
      <c r="A432">
        <v>424</v>
      </c>
      <c r="B432">
        <v>6.610561436041611</v>
      </c>
      <c r="C432">
        <v>6.610561436041612</v>
      </c>
      <c r="D432">
        <v>0</v>
      </c>
      <c r="E432">
        <v>0.820504635355083</v>
      </c>
    </row>
    <row r="433" spans="1:5" ht="12.75">
      <c r="A433">
        <v>425</v>
      </c>
      <c r="B433">
        <v>9.951212473604043</v>
      </c>
      <c r="C433">
        <v>9.951212473604041</v>
      </c>
      <c r="D433">
        <v>0</v>
      </c>
      <c r="E433">
        <v>1.3732634597780211</v>
      </c>
    </row>
    <row r="434" spans="1:5" ht="12.75">
      <c r="A434">
        <v>426</v>
      </c>
      <c r="B434">
        <v>4.9595668669076</v>
      </c>
      <c r="C434">
        <v>4.9595668669076</v>
      </c>
      <c r="D434">
        <v>0</v>
      </c>
      <c r="E434">
        <v>0.7735370647732109</v>
      </c>
    </row>
    <row r="435" spans="1:5" ht="12.75">
      <c r="A435">
        <v>427</v>
      </c>
      <c r="B435">
        <v>8.813810327771332</v>
      </c>
      <c r="C435">
        <v>8.81381032777133</v>
      </c>
      <c r="D435">
        <v>0</v>
      </c>
      <c r="E435">
        <v>1.0306210131426152</v>
      </c>
    </row>
    <row r="436" spans="1:5" ht="12.75">
      <c r="A436">
        <v>428</v>
      </c>
      <c r="B436">
        <v>5.9480758930987605</v>
      </c>
      <c r="C436">
        <v>5.948075893098761</v>
      </c>
      <c r="D436">
        <v>0</v>
      </c>
      <c r="E436">
        <v>0.85375558813029</v>
      </c>
    </row>
    <row r="437" spans="1:5" ht="12.75">
      <c r="A437">
        <v>429</v>
      </c>
      <c r="B437">
        <v>9.724301900147202</v>
      </c>
      <c r="C437">
        <v>9.724302900147197</v>
      </c>
      <c r="D437">
        <v>9.999999956988859E-07</v>
      </c>
      <c r="E437">
        <v>1.244515043544605</v>
      </c>
    </row>
    <row r="438" spans="1:5" ht="12.75">
      <c r="A438">
        <v>430</v>
      </c>
      <c r="B438">
        <v>7.922711584366289</v>
      </c>
      <c r="C438">
        <v>7.92271158436629</v>
      </c>
      <c r="D438">
        <v>0</v>
      </c>
      <c r="E438">
        <v>1.0296406747366564</v>
      </c>
    </row>
    <row r="439" spans="1:5" ht="12.75">
      <c r="A439">
        <v>431</v>
      </c>
      <c r="B439">
        <v>9.422609558494814</v>
      </c>
      <c r="C439">
        <v>9.422609558494816</v>
      </c>
      <c r="D439">
        <v>0</v>
      </c>
      <c r="E439">
        <v>1.3262993387015527</v>
      </c>
    </row>
    <row r="440" spans="1:5" ht="12.75">
      <c r="A440">
        <v>432</v>
      </c>
      <c r="B440">
        <v>6.530068780558743</v>
      </c>
      <c r="C440">
        <v>6.530067780558744</v>
      </c>
      <c r="D440">
        <v>-9.999999992515995E-07</v>
      </c>
      <c r="E440">
        <v>0.8526507131354031</v>
      </c>
    </row>
    <row r="441" spans="1:5" ht="12.75">
      <c r="A441">
        <v>433</v>
      </c>
      <c r="B441">
        <v>7.2088052942187275</v>
      </c>
      <c r="C441">
        <v>7.208805294218728</v>
      </c>
      <c r="D441">
        <v>0</v>
      </c>
      <c r="E441">
        <v>0.7786701390047981</v>
      </c>
    </row>
    <row r="442" spans="1:5" ht="12.75">
      <c r="A442">
        <v>434</v>
      </c>
      <c r="B442">
        <v>7.290385478177972</v>
      </c>
      <c r="C442">
        <v>7.290385478177972</v>
      </c>
      <c r="D442">
        <v>0</v>
      </c>
      <c r="E442">
        <v>1.01023558856688</v>
      </c>
    </row>
    <row r="443" spans="1:5" ht="12.75">
      <c r="A443">
        <v>435</v>
      </c>
      <c r="B443">
        <v>6.202742780783026</v>
      </c>
      <c r="C443">
        <v>6.202741780783027</v>
      </c>
      <c r="D443">
        <v>-9.999999992515995E-07</v>
      </c>
      <c r="E443">
        <v>0.6960208045417442</v>
      </c>
    </row>
    <row r="444" spans="1:5" ht="12.75">
      <c r="A444">
        <v>436</v>
      </c>
      <c r="B444">
        <v>6.340045852934761</v>
      </c>
      <c r="C444">
        <v>6.34004685293476</v>
      </c>
      <c r="D444">
        <v>9.999999992515995E-07</v>
      </c>
      <c r="E444">
        <v>0.8519407842608822</v>
      </c>
    </row>
    <row r="445" spans="1:5" ht="12.75">
      <c r="A445">
        <v>437</v>
      </c>
      <c r="B445">
        <v>8.436404954365967</v>
      </c>
      <c r="C445">
        <v>8.436404954365967</v>
      </c>
      <c r="D445">
        <v>0</v>
      </c>
      <c r="E445">
        <v>0.9327078273753251</v>
      </c>
    </row>
    <row r="446" spans="1:5" ht="12.75">
      <c r="A446">
        <v>438</v>
      </c>
      <c r="B446">
        <v>6.773527940275695</v>
      </c>
      <c r="C446">
        <v>6.773527940275695</v>
      </c>
      <c r="D446">
        <v>0</v>
      </c>
      <c r="E446">
        <v>0.7258599511711035</v>
      </c>
    </row>
    <row r="447" spans="1:5" ht="12.75">
      <c r="A447">
        <v>439</v>
      </c>
      <c r="B447">
        <v>6.7429673457157335</v>
      </c>
      <c r="C447">
        <v>6.7429673457157335</v>
      </c>
      <c r="D447">
        <v>0</v>
      </c>
      <c r="E447">
        <v>0.9997433732916666</v>
      </c>
    </row>
    <row r="448" spans="1:5" ht="12.75">
      <c r="A448">
        <v>440</v>
      </c>
      <c r="B448">
        <v>7.227886893344024</v>
      </c>
      <c r="C448">
        <v>7.227886893344025</v>
      </c>
      <c r="D448">
        <v>0</v>
      </c>
      <c r="E448">
        <v>0.5382606367147568</v>
      </c>
    </row>
    <row r="449" spans="1:5" ht="12.75">
      <c r="A449">
        <v>441</v>
      </c>
      <c r="B449">
        <v>8.481679566817064</v>
      </c>
      <c r="C449">
        <v>8.48168056681706</v>
      </c>
      <c r="D449">
        <v>9.999999956988859E-07</v>
      </c>
      <c r="E449">
        <v>1.245458369433332</v>
      </c>
    </row>
    <row r="450" spans="1:5" ht="12.75">
      <c r="A450">
        <v>442</v>
      </c>
      <c r="B450">
        <v>9.544498983927811</v>
      </c>
      <c r="C450">
        <v>9.54449898392781</v>
      </c>
      <c r="D450">
        <v>0</v>
      </c>
      <c r="E450">
        <v>1.2577786151537562</v>
      </c>
    </row>
    <row r="451" spans="1:5" ht="12.75">
      <c r="A451">
        <v>443</v>
      </c>
      <c r="B451">
        <v>7.099893249838733</v>
      </c>
      <c r="C451">
        <v>7.099892249838733</v>
      </c>
      <c r="D451">
        <v>-9.999999992515995E-07</v>
      </c>
      <c r="E451">
        <v>0.6861631923207339</v>
      </c>
    </row>
    <row r="452" spans="1:5" ht="12.75">
      <c r="A452">
        <v>444</v>
      </c>
      <c r="B452">
        <v>8.90937888529416</v>
      </c>
      <c r="C452">
        <v>8.909378885294162</v>
      </c>
      <c r="D452">
        <v>0</v>
      </c>
      <c r="E452">
        <v>0.8587254768361945</v>
      </c>
    </row>
    <row r="453" spans="1:5" ht="12.75">
      <c r="A453">
        <v>445</v>
      </c>
      <c r="B453">
        <v>5.942618750487585</v>
      </c>
      <c r="C453">
        <v>5.942617750487586</v>
      </c>
      <c r="D453">
        <v>-9.999999992515995E-07</v>
      </c>
      <c r="E453">
        <v>0.8508998022033675</v>
      </c>
    </row>
    <row r="454" spans="1:5" ht="12.75">
      <c r="A454">
        <v>446</v>
      </c>
      <c r="B454">
        <v>6.6554783798900115</v>
      </c>
      <c r="C454">
        <v>6.655477379890012</v>
      </c>
      <c r="D454">
        <v>-9.999999992515995E-07</v>
      </c>
      <c r="E454">
        <v>0.7265201827165544</v>
      </c>
    </row>
    <row r="455" spans="1:5" ht="12.75">
      <c r="A455">
        <v>447</v>
      </c>
      <c r="B455">
        <v>9.317982852146818</v>
      </c>
      <c r="C455">
        <v>9.317983852146817</v>
      </c>
      <c r="D455">
        <v>9.999999992515995E-07</v>
      </c>
      <c r="E455">
        <v>0.8598315463755517</v>
      </c>
    </row>
    <row r="456" spans="1:5" ht="12.75">
      <c r="A456">
        <v>448</v>
      </c>
      <c r="B456">
        <v>3.5275550461746388</v>
      </c>
      <c r="C456">
        <v>3.5275540461746395</v>
      </c>
      <c r="D456">
        <v>-9.999999992515995E-07</v>
      </c>
      <c r="E456">
        <v>0.6151706117040285</v>
      </c>
    </row>
    <row r="457" spans="1:5" ht="12.75">
      <c r="A457">
        <v>449</v>
      </c>
      <c r="B457">
        <v>7.509372396277104</v>
      </c>
      <c r="C457">
        <v>7.509372396277104</v>
      </c>
      <c r="D457">
        <v>0</v>
      </c>
      <c r="E457">
        <v>0.8132086477076592</v>
      </c>
    </row>
    <row r="458" spans="1:5" ht="12.75">
      <c r="A458">
        <v>450</v>
      </c>
      <c r="B458">
        <v>7.470798723398831</v>
      </c>
      <c r="C458">
        <v>7.470798723398832</v>
      </c>
      <c r="D458">
        <v>0</v>
      </c>
      <c r="E458">
        <v>0.9349022613634754</v>
      </c>
    </row>
    <row r="459" spans="1:5" ht="12.75">
      <c r="A459">
        <v>451</v>
      </c>
      <c r="B459">
        <v>8.362692664920818</v>
      </c>
      <c r="C459">
        <v>8.362693664920815</v>
      </c>
      <c r="D459">
        <v>9.999999974752427E-07</v>
      </c>
      <c r="E459">
        <v>1.0289241541330603</v>
      </c>
    </row>
    <row r="460" spans="1:5" ht="12.75">
      <c r="A460">
        <v>452</v>
      </c>
      <c r="B460">
        <v>8.103268176698792</v>
      </c>
      <c r="C460">
        <v>8.103268176698792</v>
      </c>
      <c r="D460">
        <v>0</v>
      </c>
      <c r="E460">
        <v>1.1348699012623946</v>
      </c>
    </row>
    <row r="461" spans="1:5" ht="12.75">
      <c r="A461">
        <v>453</v>
      </c>
      <c r="B461">
        <v>7.65988349960077</v>
      </c>
      <c r="C461">
        <v>7.6598834996007685</v>
      </c>
      <c r="D461">
        <v>0</v>
      </c>
      <c r="E461">
        <v>1.1406646298644576</v>
      </c>
    </row>
    <row r="462" spans="1:5" ht="12.75">
      <c r="A462">
        <v>454</v>
      </c>
      <c r="B462">
        <v>6.420587262325357</v>
      </c>
      <c r="C462">
        <v>6.420586262325358</v>
      </c>
      <c r="D462">
        <v>-9.999999992515995E-07</v>
      </c>
      <c r="E462">
        <v>0.9977627923528796</v>
      </c>
    </row>
    <row r="463" spans="1:5" ht="12.75">
      <c r="A463">
        <v>455</v>
      </c>
      <c r="B463">
        <v>8.357542896597016</v>
      </c>
      <c r="C463">
        <v>8.357542896597018</v>
      </c>
      <c r="D463">
        <v>0</v>
      </c>
      <c r="E463">
        <v>0.996552526057246</v>
      </c>
    </row>
    <row r="464" spans="1:5" ht="12.75">
      <c r="A464">
        <v>456</v>
      </c>
      <c r="B464">
        <v>9.339763850837757</v>
      </c>
      <c r="C464">
        <v>9.339764850837756</v>
      </c>
      <c r="D464">
        <v>9.999999992515995E-07</v>
      </c>
      <c r="E464">
        <v>1.2521482623336027</v>
      </c>
    </row>
    <row r="465" spans="1:5" ht="12.75">
      <c r="A465">
        <v>457</v>
      </c>
      <c r="B465">
        <v>7.558883524474191</v>
      </c>
      <c r="C465">
        <v>7.558882524474192</v>
      </c>
      <c r="D465">
        <v>-9.999999992515995E-07</v>
      </c>
      <c r="E465">
        <v>0.8285456764972503</v>
      </c>
    </row>
    <row r="466" spans="1:5" ht="12.75">
      <c r="A466">
        <v>458</v>
      </c>
      <c r="B466">
        <v>9.075945761720691</v>
      </c>
      <c r="C466">
        <v>9.07594576172069</v>
      </c>
      <c r="D466">
        <v>0</v>
      </c>
      <c r="E466">
        <v>1.164703901970237</v>
      </c>
    </row>
    <row r="467" spans="1:5" ht="12.75">
      <c r="A467">
        <v>459</v>
      </c>
      <c r="B467">
        <v>8.564663926625796</v>
      </c>
      <c r="C467">
        <v>8.564662926625797</v>
      </c>
      <c r="D467">
        <v>-9.999999992515995E-07</v>
      </c>
      <c r="E467">
        <v>1.0449154429459309</v>
      </c>
    </row>
    <row r="468" spans="1:5" ht="12.75">
      <c r="A468">
        <v>460</v>
      </c>
      <c r="B468">
        <v>8.037057358433142</v>
      </c>
      <c r="C468">
        <v>8.037056358433142</v>
      </c>
      <c r="D468">
        <v>-9.999999992515995E-07</v>
      </c>
      <c r="E468">
        <v>0.9204053889125421</v>
      </c>
    </row>
    <row r="469" spans="1:5" ht="12.75">
      <c r="A469">
        <v>461</v>
      </c>
      <c r="B469">
        <v>11.933590916710582</v>
      </c>
      <c r="C469">
        <v>11.933591916710581</v>
      </c>
      <c r="D469">
        <v>9.999999992515995E-07</v>
      </c>
      <c r="E469">
        <v>1.3474177307583763</v>
      </c>
    </row>
    <row r="470" spans="1:5" ht="12.75">
      <c r="A470">
        <v>462</v>
      </c>
      <c r="B470">
        <v>7.996687541273764</v>
      </c>
      <c r="C470">
        <v>7.996686541273765</v>
      </c>
      <c r="D470">
        <v>-9.999999992515995E-07</v>
      </c>
      <c r="E470">
        <v>0.9271106101787437</v>
      </c>
    </row>
    <row r="471" spans="1:5" ht="12.75">
      <c r="A471">
        <v>463</v>
      </c>
      <c r="B471">
        <v>6.502550652391715</v>
      </c>
      <c r="C471">
        <v>6.502550652391716</v>
      </c>
      <c r="D471">
        <v>0</v>
      </c>
      <c r="E471">
        <v>0.7077846265942476</v>
      </c>
    </row>
    <row r="472" spans="1:5" ht="12.75">
      <c r="A472">
        <v>464</v>
      </c>
      <c r="B472">
        <v>7.577715498177321</v>
      </c>
      <c r="C472">
        <v>7.5777164981773195</v>
      </c>
      <c r="D472">
        <v>9.999999983634211E-07</v>
      </c>
      <c r="E472">
        <v>1.0253990389083545</v>
      </c>
    </row>
    <row r="473" spans="1:5" ht="12.75">
      <c r="A473">
        <v>465</v>
      </c>
      <c r="B473">
        <v>4.267480264792489</v>
      </c>
      <c r="C473">
        <v>4.26748026479249</v>
      </c>
      <c r="D473">
        <v>0</v>
      </c>
      <c r="E473">
        <v>0.6829505315694514</v>
      </c>
    </row>
    <row r="474" spans="1:5" ht="12.75">
      <c r="A474">
        <v>466</v>
      </c>
      <c r="B474">
        <v>10.426349442589467</v>
      </c>
      <c r="C474">
        <v>10.426350442589467</v>
      </c>
      <c r="D474">
        <v>9.999999992515995E-07</v>
      </c>
      <c r="E474">
        <v>1.2475625330634879</v>
      </c>
    </row>
    <row r="475" spans="1:5" ht="12.75">
      <c r="A475">
        <v>467</v>
      </c>
      <c r="B475">
        <v>9.382399566497094</v>
      </c>
      <c r="C475">
        <v>9.382398566497095</v>
      </c>
      <c r="D475">
        <v>-9.999999992515995E-07</v>
      </c>
      <c r="E475">
        <v>0.9642187625073043</v>
      </c>
    </row>
    <row r="476" spans="1:5" ht="12.75">
      <c r="A476">
        <v>468</v>
      </c>
      <c r="B476">
        <v>8.058470373603747</v>
      </c>
      <c r="C476">
        <v>8.058470373603747</v>
      </c>
      <c r="D476">
        <v>0</v>
      </c>
      <c r="E476">
        <v>1.0486303244382553</v>
      </c>
    </row>
    <row r="477" spans="1:5" ht="12.75">
      <c r="A477">
        <v>469</v>
      </c>
      <c r="B477">
        <v>8.55347296373132</v>
      </c>
      <c r="C477">
        <v>8.553472963731318</v>
      </c>
      <c r="D477">
        <v>0</v>
      </c>
      <c r="E477">
        <v>0.9230375434546626</v>
      </c>
    </row>
    <row r="478" spans="1:5" ht="12.75">
      <c r="A478">
        <v>470</v>
      </c>
      <c r="B478">
        <v>6.763694470648793</v>
      </c>
      <c r="C478">
        <v>6.763693470648794</v>
      </c>
      <c r="D478">
        <v>-9.999999992515995E-07</v>
      </c>
      <c r="E478">
        <v>0.9117974074330935</v>
      </c>
    </row>
    <row r="479" spans="1:5" ht="12.75">
      <c r="A479">
        <v>471</v>
      </c>
      <c r="B479">
        <v>7.040351480178338</v>
      </c>
      <c r="C479">
        <v>7.0403524801783375</v>
      </c>
      <c r="D479">
        <v>9.999999992515995E-07</v>
      </c>
      <c r="E479">
        <v>0.9302167489666505</v>
      </c>
    </row>
    <row r="480" spans="1:5" ht="12.75">
      <c r="A480">
        <v>472</v>
      </c>
      <c r="B480">
        <v>4.123037513132512</v>
      </c>
      <c r="C480">
        <v>4.123037513132511</v>
      </c>
      <c r="D480">
        <v>0</v>
      </c>
      <c r="E480">
        <v>0.597081964140227</v>
      </c>
    </row>
    <row r="481" spans="1:5" ht="12.75">
      <c r="A481">
        <v>473</v>
      </c>
      <c r="B481">
        <v>9.336323254686201</v>
      </c>
      <c r="C481">
        <v>9.3363242546862</v>
      </c>
      <c r="D481">
        <v>9.999999992515995E-07</v>
      </c>
      <c r="E481">
        <v>1.1888472776102437</v>
      </c>
    </row>
    <row r="482" spans="1:5" ht="12.75">
      <c r="A482">
        <v>474</v>
      </c>
      <c r="B482">
        <v>10.790717142262437</v>
      </c>
      <c r="C482">
        <v>10.790717142262437</v>
      </c>
      <c r="D482">
        <v>0</v>
      </c>
      <c r="E482">
        <v>1.2058571087863785</v>
      </c>
    </row>
    <row r="483" spans="1:5" ht="12.75">
      <c r="A483">
        <v>475</v>
      </c>
      <c r="B483">
        <v>8.140311646174665</v>
      </c>
      <c r="C483">
        <v>8.140310646174665</v>
      </c>
      <c r="D483">
        <v>-9.999999992515995E-07</v>
      </c>
      <c r="E483">
        <v>1.1458047554276027</v>
      </c>
    </row>
    <row r="484" spans="1:5" ht="12.75">
      <c r="A484">
        <v>476</v>
      </c>
      <c r="B484">
        <v>8.508669260254006</v>
      </c>
      <c r="C484">
        <v>8.508668260254007</v>
      </c>
      <c r="D484">
        <v>-9.999999992515995E-07</v>
      </c>
      <c r="E484">
        <v>1.1386304769506068</v>
      </c>
    </row>
    <row r="485" spans="1:5" ht="12.75">
      <c r="A485">
        <v>477</v>
      </c>
      <c r="B485">
        <v>6.412926695180765</v>
      </c>
      <c r="C485">
        <v>6.412926695180766</v>
      </c>
      <c r="D485">
        <v>0</v>
      </c>
      <c r="E485">
        <v>0.681451564334567</v>
      </c>
    </row>
    <row r="486" spans="1:5" ht="12.75">
      <c r="A486">
        <v>478</v>
      </c>
      <c r="B486">
        <v>9.114278148038942</v>
      </c>
      <c r="C486">
        <v>9.114279148038941</v>
      </c>
      <c r="D486">
        <v>9.999999992515995E-07</v>
      </c>
      <c r="E486">
        <v>0.9897531528014712</v>
      </c>
    </row>
    <row r="487" spans="1:5" ht="12.75">
      <c r="A487">
        <v>479</v>
      </c>
      <c r="B487">
        <v>7.28571793219213</v>
      </c>
      <c r="C487">
        <v>7.28571793219213</v>
      </c>
      <c r="D487">
        <v>0</v>
      </c>
      <c r="E487">
        <v>0.9059972400521676</v>
      </c>
    </row>
    <row r="488" spans="1:5" ht="12.75">
      <c r="A488">
        <v>480</v>
      </c>
      <c r="B488">
        <v>8.550482597658611</v>
      </c>
      <c r="C488">
        <v>8.55048259765861</v>
      </c>
      <c r="D488">
        <v>0</v>
      </c>
      <c r="E488">
        <v>1.2502791136557512</v>
      </c>
    </row>
    <row r="489" spans="1:5" ht="12.75">
      <c r="A489">
        <v>481</v>
      </c>
      <c r="B489">
        <v>8.55449021156656</v>
      </c>
      <c r="C489">
        <v>8.554491211566559</v>
      </c>
      <c r="D489">
        <v>9.999999992515995E-07</v>
      </c>
      <c r="E489">
        <v>1.2814987751511844</v>
      </c>
    </row>
    <row r="490" spans="1:5" ht="12.75">
      <c r="A490">
        <v>482</v>
      </c>
      <c r="B490">
        <v>8.56335171035253</v>
      </c>
      <c r="C490">
        <v>8.56335071035253</v>
      </c>
      <c r="D490">
        <v>-9.999999992515995E-07</v>
      </c>
      <c r="E490">
        <v>1.0242576320094248</v>
      </c>
    </row>
    <row r="491" spans="1:5" ht="12.75">
      <c r="A491">
        <v>483</v>
      </c>
      <c r="B491">
        <v>11.502626345015214</v>
      </c>
      <c r="C491">
        <v>11.502626345015214</v>
      </c>
      <c r="D491">
        <v>0</v>
      </c>
      <c r="E491">
        <v>1.212297528247692</v>
      </c>
    </row>
    <row r="492" spans="1:5" ht="12.75">
      <c r="A492">
        <v>484</v>
      </c>
      <c r="B492">
        <v>7.615419828905784</v>
      </c>
      <c r="C492">
        <v>7.615419828905784</v>
      </c>
      <c r="D492">
        <v>0</v>
      </c>
      <c r="E492">
        <v>0.9975099026526849</v>
      </c>
    </row>
    <row r="493" spans="1:5" ht="12.75">
      <c r="A493">
        <v>485</v>
      </c>
      <c r="B493">
        <v>9.176535436012538</v>
      </c>
      <c r="C493">
        <v>9.176534436012538</v>
      </c>
      <c r="D493">
        <v>-9.999999992515995E-07</v>
      </c>
      <c r="E493">
        <v>0.9422905213535181</v>
      </c>
    </row>
    <row r="494" spans="1:5" ht="12.75">
      <c r="A494">
        <v>486</v>
      </c>
      <c r="B494">
        <v>9.299159953753938</v>
      </c>
      <c r="C494">
        <v>9.299160953753937</v>
      </c>
      <c r="D494">
        <v>9.999999992515995E-07</v>
      </c>
      <c r="E494">
        <v>0.9828673050514326</v>
      </c>
    </row>
    <row r="495" spans="1:5" ht="12.75">
      <c r="A495">
        <v>487</v>
      </c>
      <c r="B495">
        <v>7.256816498467106</v>
      </c>
      <c r="C495">
        <v>7.256815498467107</v>
      </c>
      <c r="D495">
        <v>-9.999999992515995E-07</v>
      </c>
      <c r="E495">
        <v>0.7990725409422046</v>
      </c>
    </row>
    <row r="496" spans="1:5" ht="12.75">
      <c r="A496">
        <v>488</v>
      </c>
      <c r="B496">
        <v>7.446234189038098</v>
      </c>
      <c r="C496">
        <v>7.446235189038097</v>
      </c>
      <c r="D496">
        <v>9.999999992515995E-07</v>
      </c>
      <c r="E496">
        <v>0.8689378022457145</v>
      </c>
    </row>
    <row r="497" spans="1:5" ht="12.75">
      <c r="A497">
        <v>489</v>
      </c>
      <c r="B497">
        <v>5.690753278623368</v>
      </c>
      <c r="C497">
        <v>5.690753278623368</v>
      </c>
      <c r="D497">
        <v>0</v>
      </c>
      <c r="E497">
        <v>0.6767398918127565</v>
      </c>
    </row>
    <row r="498" spans="1:5" ht="12.75">
      <c r="A498">
        <v>490</v>
      </c>
      <c r="B498">
        <v>8.039197510490085</v>
      </c>
      <c r="C498">
        <v>8.039197510490085</v>
      </c>
      <c r="D498">
        <v>0</v>
      </c>
      <c r="E498">
        <v>0.9819180258420814</v>
      </c>
    </row>
    <row r="499" spans="1:5" ht="12.75">
      <c r="A499">
        <v>491</v>
      </c>
      <c r="B499">
        <v>8.220695876867142</v>
      </c>
      <c r="C499">
        <v>8.220696876867141</v>
      </c>
      <c r="D499">
        <v>9.999999992515995E-07</v>
      </c>
      <c r="E499">
        <v>1.0002637156094794</v>
      </c>
    </row>
    <row r="500" spans="1:5" ht="12.75">
      <c r="A500">
        <v>492</v>
      </c>
      <c r="B500">
        <v>7.968567587308334</v>
      </c>
      <c r="C500">
        <v>7.968567587308336</v>
      </c>
      <c r="D500">
        <v>0</v>
      </c>
      <c r="E500">
        <v>0.9320537770691373</v>
      </c>
    </row>
    <row r="501" spans="1:5" ht="12.75">
      <c r="A501">
        <v>493</v>
      </c>
      <c r="B501">
        <v>8.169564654285734</v>
      </c>
      <c r="C501">
        <v>8.169564654285733</v>
      </c>
      <c r="D501">
        <v>0</v>
      </c>
      <c r="E501">
        <v>1.0032789174856624</v>
      </c>
    </row>
    <row r="502" spans="1:5" ht="12.75">
      <c r="A502">
        <v>494</v>
      </c>
      <c r="B502">
        <v>6.713008416844421</v>
      </c>
      <c r="C502">
        <v>6.7130084168444215</v>
      </c>
      <c r="D502">
        <v>0</v>
      </c>
      <c r="E502">
        <v>0.8915450822968838</v>
      </c>
    </row>
    <row r="503" spans="1:5" ht="12.75">
      <c r="A503">
        <v>495</v>
      </c>
      <c r="B503">
        <v>8.452896419303622</v>
      </c>
      <c r="C503">
        <v>8.452897419303621</v>
      </c>
      <c r="D503">
        <v>9.999999992515995E-07</v>
      </c>
      <c r="E503">
        <v>1.0047260487747791</v>
      </c>
    </row>
    <row r="504" spans="1:5" ht="12.75">
      <c r="A504">
        <v>496</v>
      </c>
      <c r="B504">
        <v>8.544277473215912</v>
      </c>
      <c r="C504">
        <v>8.54427847321591</v>
      </c>
      <c r="D504">
        <v>9.999999974752427E-07</v>
      </c>
      <c r="E504">
        <v>1.1395404575001673</v>
      </c>
    </row>
    <row r="505" spans="1:5" ht="12.75">
      <c r="A505">
        <v>497</v>
      </c>
      <c r="B505">
        <v>5.408944668682633</v>
      </c>
      <c r="C505">
        <v>5.408944668682633</v>
      </c>
      <c r="D505">
        <v>0</v>
      </c>
      <c r="E505">
        <v>0.7439695863056199</v>
      </c>
    </row>
    <row r="506" spans="1:5" ht="12.75">
      <c r="A506">
        <v>498</v>
      </c>
      <c r="B506">
        <v>9.339808203357263</v>
      </c>
      <c r="C506">
        <v>9.339808203357265</v>
      </c>
      <c r="D506">
        <v>0</v>
      </c>
      <c r="E506">
        <v>1.2405911701436059</v>
      </c>
    </row>
    <row r="507" spans="1:5" ht="12.75">
      <c r="A507">
        <v>499</v>
      </c>
      <c r="B507">
        <v>10.536238735218227</v>
      </c>
      <c r="C507">
        <v>10.53623773521823</v>
      </c>
      <c r="D507">
        <v>-9.999999974752427E-07</v>
      </c>
      <c r="E507">
        <v>1.1634176228849884</v>
      </c>
    </row>
    <row r="508" spans="1:5" ht="12.75">
      <c r="A508">
        <v>500</v>
      </c>
      <c r="B508">
        <v>5.537998527735029</v>
      </c>
      <c r="C508">
        <v>5.53799852773503</v>
      </c>
      <c r="D508">
        <v>0</v>
      </c>
      <c r="E508">
        <v>0.6992347690151791</v>
      </c>
    </row>
    <row r="510" ht="12.75">
      <c r="A510" t="s">
        <v>15</v>
      </c>
    </row>
    <row r="511" spans="1:5" ht="12.75">
      <c r="A511" t="s">
        <v>16</v>
      </c>
      <c r="B511">
        <f>IF(ISBLANK($B510),"",_XLL.EDF(B9:B508,$B510))</f>
      </c>
      <c r="C511">
        <f>IF(ISBLANK($C510),"",_XLL.EDF(C9:C508,$C510))</f>
      </c>
      <c r="D511">
        <f>IF(ISBLANK($D510),"",_XLL.EDF(D9:D508,$D510))</f>
      </c>
      <c r="E511">
        <f>IF(ISBLANK($E510),"",_XLL.EDF(E9:E508,$E510))</f>
      </c>
    </row>
    <row r="512" ht="12.75">
      <c r="A512" t="s">
        <v>17</v>
      </c>
    </row>
    <row r="513" spans="1:5" ht="12.75">
      <c r="A513" t="s">
        <v>18</v>
      </c>
      <c r="B513">
        <f>IF(ISBLANK($B512),"",_XLL.EDF(B9:B508,$B512))</f>
      </c>
      <c r="C513">
        <f>IF(ISBLANK($C512),"",_XLL.EDF(C9:C508,$C512))</f>
      </c>
      <c r="D513">
        <f>IF(ISBLANK($D512),"",_XLL.EDF(D9:D508,$D512))</f>
      </c>
      <c r="E513">
        <f>IF(ISBLANK($E512),"",_XLL.EDF(E9:E508,$E512))</f>
      </c>
    </row>
    <row r="514" ht="12.75">
      <c r="A514" t="s">
        <v>19</v>
      </c>
    </row>
    <row r="515" spans="1:5" ht="12.75">
      <c r="A515" t="s">
        <v>20</v>
      </c>
      <c r="B515">
        <f>IF(ISBLANK($B514),"",_XLL.EDF(B9:B508,$B514))</f>
      </c>
      <c r="C515">
        <f>IF(ISBLANK($C514),"",_XLL.EDF(C9:C508,$C514))</f>
      </c>
      <c r="D515">
        <f>IF(ISBLANK($D514),"",_XLL.EDF(D9:D508,$D514))</f>
      </c>
      <c r="E515">
        <f>IF(ISBLANK($E514),"",_XLL.EDF(E9:E508,$E514))</f>
      </c>
    </row>
    <row r="516" ht="12.75">
      <c r="A516" t="s">
        <v>21</v>
      </c>
    </row>
    <row r="517" spans="1:5" ht="12.75">
      <c r="A517" t="s">
        <v>22</v>
      </c>
      <c r="B517">
        <f>IF(ISBLANK($B516),"",_XLL.EDF(B9:B508,$B516))</f>
      </c>
      <c r="C517">
        <f>IF(ISBLANK($C516),"",_XLL.EDF(C9:C508,$C516))</f>
      </c>
      <c r="D517">
        <f>IF(ISBLANK($D516),"",_XLL.EDF(D9:D508,$D516))</f>
      </c>
      <c r="E517">
        <f>IF(ISBLANK($E516),"",_XLL.EDF(E9:E508,$E516))</f>
      </c>
    </row>
    <row r="518" ht="12.75">
      <c r="A518" t="s">
        <v>23</v>
      </c>
    </row>
    <row r="519" spans="1:5" ht="12.75">
      <c r="A519" t="s">
        <v>24</v>
      </c>
      <c r="B519">
        <f>IF(ISBLANK($B518),"",_XLL.EDF(B9:B508,$B518))</f>
      </c>
      <c r="C519">
        <f>IF(ISBLANK($C518),"",_XLL.EDF(C9:C508,$C518))</f>
      </c>
      <c r="D519">
        <f>IF(ISBLANK($D518),"",_XLL.EDF(D9:D508,$D518))</f>
      </c>
      <c r="E519">
        <f>IF(ISBLANK($E518),"",_XLL.EDF(E9:E508,$E518))</f>
      </c>
    </row>
  </sheetData>
  <sheetProtection/>
  <dataValidations count="1">
    <dataValidation type="list" allowBlank="1" showInputMessage="1" showErrorMessage="1" sqref="J15">
      <formula1>"Cauchy,Cosinus,Double Exp,Epanechnikov,Gaussian,Histogram,Parzen,Quartic,Semiparametric Normal (HG),Triangle,Triweight,Uniform"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140" zoomScaleNormal="140" zoomScalePageLayoutView="0" workbookViewId="0" topLeftCell="A1">
      <selection activeCell="D9" sqref="D9"/>
    </sheetView>
  </sheetViews>
  <sheetFormatPr defaultColWidth="9.140625" defaultRowHeight="12.75"/>
  <sheetData>
    <row r="1" ht="12.75">
      <c r="A1" s="1" t="str">
        <f>_XLL.WBNAME()</f>
        <v>L16 OCT Simple SimSolver Stochastic.xls</v>
      </c>
    </row>
    <row r="2" spans="1:17" ht="12.75">
      <c r="A2" s="1"/>
      <c r="P2" t="s">
        <v>0</v>
      </c>
      <c r="Q2" t="s">
        <v>1</v>
      </c>
    </row>
    <row r="3" spans="1:17" ht="12.75">
      <c r="A3" s="1"/>
      <c r="O3">
        <v>0</v>
      </c>
      <c r="P3">
        <f>$C$5+$D$5*O3+$E$5*$G$5</f>
        <v>9.831048629337864</v>
      </c>
      <c r="Q3">
        <f>$C$6+$D$6*O3+$E$6*$G$6</f>
        <v>0.24767959289433206</v>
      </c>
    </row>
    <row r="4" spans="3:17" ht="12.75">
      <c r="C4" s="1" t="s">
        <v>4</v>
      </c>
      <c r="D4" s="1" t="s">
        <v>5</v>
      </c>
      <c r="E4" s="1" t="s">
        <v>6</v>
      </c>
      <c r="G4" t="s">
        <v>7</v>
      </c>
      <c r="O4">
        <v>0.1</v>
      </c>
      <c r="P4">
        <f aca="true" t="shared" si="0" ref="P4:P28">$C$5+$D$5*O4+$E$5*$G$5</f>
        <v>9.631048629337865</v>
      </c>
      <c r="Q4">
        <f aca="true" t="shared" si="1" ref="Q4:Q28">$C$6+$D$6*O4+$E$6*$G$6</f>
        <v>1.047679592894332</v>
      </c>
    </row>
    <row r="5" spans="1:17" ht="12.75">
      <c r="A5" s="1" t="s">
        <v>0</v>
      </c>
      <c r="B5" s="1">
        <f>C5+D5*$B$8+E5*G5</f>
        <v>8.432579091307506</v>
      </c>
      <c r="C5">
        <v>10</v>
      </c>
      <c r="D5">
        <v>-2</v>
      </c>
      <c r="E5">
        <v>2</v>
      </c>
      <c r="G5">
        <f>_XLL.NORM()</f>
        <v>-0.08447568533106731</v>
      </c>
      <c r="O5">
        <v>0.2</v>
      </c>
      <c r="P5">
        <f t="shared" si="0"/>
        <v>9.431048629337866</v>
      </c>
      <c r="Q5">
        <f t="shared" si="1"/>
        <v>1.8476795928943321</v>
      </c>
    </row>
    <row r="6" spans="1:17" ht="12.75">
      <c r="A6" s="1" t="s">
        <v>1</v>
      </c>
      <c r="B6" s="1">
        <f>C6+D6*$B$8+E6*G6</f>
        <v>5.8415577450157645</v>
      </c>
      <c r="C6">
        <v>0</v>
      </c>
      <c r="D6">
        <v>8</v>
      </c>
      <c r="E6">
        <v>1</v>
      </c>
      <c r="G6">
        <f>_XLL.NORM()</f>
        <v>0.24767959289433206</v>
      </c>
      <c r="O6">
        <v>0.3</v>
      </c>
      <c r="P6">
        <f t="shared" si="0"/>
        <v>9.231048629337867</v>
      </c>
      <c r="Q6">
        <f t="shared" si="1"/>
        <v>2.647679592894332</v>
      </c>
    </row>
    <row r="7" spans="1:17" ht="12.75">
      <c r="A7" s="1" t="s">
        <v>3</v>
      </c>
      <c r="B7" s="1">
        <f>B6-B5</f>
        <v>-2.5910213462917415</v>
      </c>
      <c r="O7">
        <v>0.4</v>
      </c>
      <c r="P7">
        <f t="shared" si="0"/>
        <v>9.031048629337864</v>
      </c>
      <c r="Q7">
        <f t="shared" si="1"/>
        <v>3.4476795928943322</v>
      </c>
    </row>
    <row r="8" spans="1:17" ht="12.75">
      <c r="A8" s="1" t="s">
        <v>2</v>
      </c>
      <c r="B8" s="1">
        <v>0.6992347690151791</v>
      </c>
      <c r="O8">
        <v>0.5</v>
      </c>
      <c r="P8">
        <f t="shared" si="0"/>
        <v>8.831048629337864</v>
      </c>
      <c r="Q8">
        <f t="shared" si="1"/>
        <v>4.2476795928943325</v>
      </c>
    </row>
    <row r="9" spans="1:17" ht="12.75">
      <c r="A9" s="1" t="s">
        <v>43</v>
      </c>
      <c r="B9" s="1"/>
      <c r="O9">
        <v>0.6</v>
      </c>
      <c r="P9">
        <f t="shared" si="0"/>
        <v>8.631048629337865</v>
      </c>
      <c r="Q9">
        <f t="shared" si="1"/>
        <v>5.047679592894331</v>
      </c>
    </row>
    <row r="10" spans="1:17" ht="12.75">
      <c r="A10" s="1" t="s">
        <v>44</v>
      </c>
      <c r="B10" s="1"/>
      <c r="O10">
        <v>0.7</v>
      </c>
      <c r="P10">
        <f t="shared" si="0"/>
        <v>8.431048629337866</v>
      </c>
      <c r="Q10">
        <f t="shared" si="1"/>
        <v>5.847679592894332</v>
      </c>
    </row>
    <row r="11" spans="1:17" ht="12.75">
      <c r="A11" s="1" t="s">
        <v>25</v>
      </c>
      <c r="B11" s="1"/>
      <c r="O11">
        <v>0.8</v>
      </c>
      <c r="P11">
        <f t="shared" si="0"/>
        <v>8.231048629337867</v>
      </c>
      <c r="Q11">
        <f t="shared" si="1"/>
        <v>6.647679592894333</v>
      </c>
    </row>
    <row r="12" spans="1:17" ht="12.75">
      <c r="A12" s="1" t="s">
        <v>26</v>
      </c>
      <c r="B12" s="1"/>
      <c r="O12">
        <v>0.9</v>
      </c>
      <c r="P12">
        <f t="shared" si="0"/>
        <v>8.031048629337864</v>
      </c>
      <c r="Q12">
        <f t="shared" si="1"/>
        <v>7.447679592894332</v>
      </c>
    </row>
    <row r="13" spans="1:17" ht="12.75">
      <c r="A13" s="1" t="s">
        <v>27</v>
      </c>
      <c r="B13" s="1"/>
      <c r="O13">
        <v>1</v>
      </c>
      <c r="P13">
        <f t="shared" si="0"/>
        <v>7.831048629337865</v>
      </c>
      <c r="Q13">
        <f t="shared" si="1"/>
        <v>8.247679592894333</v>
      </c>
    </row>
    <row r="14" spans="1:17" ht="12.75">
      <c r="A14" s="1"/>
      <c r="B14" s="1"/>
      <c r="O14">
        <v>1.1</v>
      </c>
      <c r="P14">
        <f t="shared" si="0"/>
        <v>7.631048629337865</v>
      </c>
      <c r="Q14">
        <f t="shared" si="1"/>
        <v>9.047679592894333</v>
      </c>
    </row>
    <row r="15" spans="1:17" ht="12.75">
      <c r="A15" s="1"/>
      <c r="B15" s="1"/>
      <c r="O15">
        <v>1.2</v>
      </c>
      <c r="P15">
        <f t="shared" si="0"/>
        <v>7.431048629337865</v>
      </c>
      <c r="Q15">
        <f t="shared" si="1"/>
        <v>9.847679592894332</v>
      </c>
    </row>
    <row r="16" spans="1:17" ht="12.75">
      <c r="A16" s="1"/>
      <c r="B16" s="1"/>
      <c r="O16">
        <v>1.3</v>
      </c>
      <c r="P16">
        <f t="shared" si="0"/>
        <v>7.231048629337866</v>
      </c>
      <c r="Q16">
        <f t="shared" si="1"/>
        <v>10.647679592894333</v>
      </c>
    </row>
    <row r="17" spans="1:17" ht="12.75">
      <c r="A17" s="1"/>
      <c r="B17" s="1"/>
      <c r="O17">
        <v>1.4</v>
      </c>
      <c r="P17">
        <f t="shared" si="0"/>
        <v>7.031048629337866</v>
      </c>
      <c r="Q17">
        <f t="shared" si="1"/>
        <v>11.447679592894332</v>
      </c>
    </row>
    <row r="18" spans="1:17" ht="12.75">
      <c r="A18" s="1"/>
      <c r="B18" s="1"/>
      <c r="O18">
        <v>1.5</v>
      </c>
      <c r="P18">
        <f t="shared" si="0"/>
        <v>6.831048629337865</v>
      </c>
      <c r="Q18">
        <f t="shared" si="1"/>
        <v>12.247679592894333</v>
      </c>
    </row>
    <row r="19" spans="1:17" ht="12.75">
      <c r="A19" s="1"/>
      <c r="B19" s="1"/>
      <c r="O19">
        <v>1.6</v>
      </c>
      <c r="P19">
        <f t="shared" si="0"/>
        <v>6.631048629337865</v>
      </c>
      <c r="Q19">
        <f t="shared" si="1"/>
        <v>13.047679592894333</v>
      </c>
    </row>
    <row r="20" spans="1:17" ht="12.75">
      <c r="A20" s="1"/>
      <c r="B20" s="1"/>
      <c r="O20">
        <v>1.7</v>
      </c>
      <c r="P20">
        <f t="shared" si="0"/>
        <v>6.431048629337865</v>
      </c>
      <c r="Q20">
        <f t="shared" si="1"/>
        <v>13.847679592894332</v>
      </c>
    </row>
    <row r="21" spans="1:17" ht="12.75">
      <c r="A21" s="1"/>
      <c r="B21" s="1"/>
      <c r="O21">
        <v>1.8</v>
      </c>
      <c r="P21">
        <f t="shared" si="0"/>
        <v>6.231048629337866</v>
      </c>
      <c r="Q21">
        <f t="shared" si="1"/>
        <v>14.647679592894333</v>
      </c>
    </row>
    <row r="22" spans="15:17" ht="12.75">
      <c r="O22">
        <v>1.9</v>
      </c>
      <c r="P22">
        <f t="shared" si="0"/>
        <v>6.031048629337866</v>
      </c>
      <c r="Q22">
        <f t="shared" si="1"/>
        <v>15.447679592894332</v>
      </c>
    </row>
    <row r="23" spans="15:17" ht="12.75">
      <c r="O23">
        <v>2</v>
      </c>
      <c r="P23">
        <f t="shared" si="0"/>
        <v>5.831048629337865</v>
      </c>
      <c r="Q23">
        <f t="shared" si="1"/>
        <v>16.247679592894333</v>
      </c>
    </row>
    <row r="24" spans="15:17" ht="12.75">
      <c r="O24">
        <v>2.1</v>
      </c>
      <c r="P24">
        <f t="shared" si="0"/>
        <v>5.631048629337865</v>
      </c>
      <c r="Q24">
        <f t="shared" si="1"/>
        <v>17.047679592894333</v>
      </c>
    </row>
    <row r="25" spans="1:17" ht="12.75">
      <c r="A25" s="1" t="s">
        <v>28</v>
      </c>
      <c r="O25">
        <v>2.2</v>
      </c>
      <c r="P25">
        <f t="shared" si="0"/>
        <v>5.431048629337865</v>
      </c>
      <c r="Q25">
        <f t="shared" si="1"/>
        <v>17.847679592894334</v>
      </c>
    </row>
    <row r="26" spans="1:17" ht="12.75">
      <c r="A26" s="1" t="s">
        <v>29</v>
      </c>
      <c r="O26">
        <v>2.3</v>
      </c>
      <c r="P26">
        <f t="shared" si="0"/>
        <v>5.231048629337866</v>
      </c>
      <c r="Q26">
        <f t="shared" si="1"/>
        <v>18.64767959289433</v>
      </c>
    </row>
    <row r="27" spans="15:17" ht="12.75">
      <c r="O27">
        <v>2.4</v>
      </c>
      <c r="P27">
        <f t="shared" si="0"/>
        <v>5.031048629337866</v>
      </c>
      <c r="Q27">
        <f t="shared" si="1"/>
        <v>19.447679592894332</v>
      </c>
    </row>
    <row r="28" spans="15:17" ht="12.75">
      <c r="O28">
        <v>2.5</v>
      </c>
      <c r="P28">
        <f t="shared" si="0"/>
        <v>4.831048629337865</v>
      </c>
      <c r="Q28">
        <f t="shared" si="1"/>
        <v>20.247679592894333</v>
      </c>
    </row>
    <row r="29" ht="12.75">
      <c r="A29" t="str">
        <f>SimData!A1</f>
        <v>Simetar Simulation Results for 100 Iterations.  7:48:23 PM 11/18/2009 (7.48 sec.).  © 2008.</v>
      </c>
    </row>
    <row r="30" spans="1:2" ht="12.75">
      <c r="A30" t="str">
        <f>SimData!A2</f>
        <v>Variable</v>
      </c>
      <c r="B30" t="e">
        <f>SimData!#REF!</f>
        <v>#REF!</v>
      </c>
    </row>
    <row r="31" spans="1:2" ht="12.75">
      <c r="A31" t="str">
        <f>SimData!A3</f>
        <v>Mean</v>
      </c>
      <c r="B31" t="e">
        <f>SimData!#REF!</f>
        <v>#REF!</v>
      </c>
    </row>
    <row r="32" spans="1:2" ht="12.75">
      <c r="A32" t="str">
        <f>SimData!A4</f>
        <v>StDev</v>
      </c>
      <c r="B32" t="e">
        <f>SimData!#REF!</f>
        <v>#REF!</v>
      </c>
    </row>
    <row r="33" spans="1:2" ht="12.75">
      <c r="A33" t="str">
        <f>SimData!A5</f>
        <v>CV</v>
      </c>
      <c r="B33" t="e">
        <f>SimData!#REF!</f>
        <v>#REF!</v>
      </c>
    </row>
    <row r="34" spans="1:2" ht="12.75">
      <c r="A34" t="str">
        <f>SimData!A6</f>
        <v>Min</v>
      </c>
      <c r="B34" t="e">
        <f>SimData!#REF!</f>
        <v>#REF!</v>
      </c>
    </row>
    <row r="35" spans="1:2" ht="12.75">
      <c r="A35" t="str">
        <f>SimData!A7</f>
        <v>Max</v>
      </c>
      <c r="B35" t="e">
        <f>SimData!#REF!</f>
        <v>#REF!</v>
      </c>
    </row>
    <row r="36" spans="1:2" ht="12.75">
      <c r="A36" t="str">
        <f>SimData!A8</f>
        <v>Iteration</v>
      </c>
      <c r="B36" t="e">
        <f>SimData!#REF!</f>
        <v>#REF!</v>
      </c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I3" sqref="I3"/>
    </sheetView>
  </sheetViews>
  <sheetFormatPr defaultColWidth="9.140625" defaultRowHeight="12.75"/>
  <sheetData>
    <row r="1" ht="12.75">
      <c r="A1" t="s">
        <v>30</v>
      </c>
    </row>
    <row r="2" spans="1:3" ht="12.75">
      <c r="A2" t="s">
        <v>8</v>
      </c>
      <c r="B2" t="str">
        <f>ADDRESS(ROW(Model!$B$7),COLUMN(Model!$B$7),4,,_XLL.WSNAME(Model!$B$7))</f>
        <v>Model!B7</v>
      </c>
      <c r="C2" t="str">
        <f>ADDRESS(ROW(Model!$B$8),COLUMN(Model!$B$8),4,,_XLL.WSNAME(Model!$B$8))</f>
        <v>Model!B8</v>
      </c>
    </row>
    <row r="3" spans="1:3" ht="12.75">
      <c r="A3" t="s">
        <v>9</v>
      </c>
      <c r="B3">
        <f>AVERAGE(B9:B108)</f>
        <v>3.999999994341863E-08</v>
      </c>
      <c r="C3">
        <f>AVERAGE(C9:C108)</f>
        <v>0.9994417218487299</v>
      </c>
    </row>
    <row r="4" spans="1:3" ht="12.75">
      <c r="A4" t="s">
        <v>10</v>
      </c>
      <c r="B4">
        <f>STDEV(B9:B108)</f>
        <v>6.343691683069457E-07</v>
      </c>
      <c r="C4">
        <f>STDEV(C9:C108)</f>
        <v>0.21985040966991537</v>
      </c>
    </row>
    <row r="5" spans="1:12" ht="12.75">
      <c r="A5" t="s">
        <v>11</v>
      </c>
      <c r="B5">
        <f>100*B4/B3</f>
        <v>1585.9229230107064</v>
      </c>
      <c r="C5">
        <f>100*C4/C3</f>
        <v>21.997321591022267</v>
      </c>
      <c r="K5" t="str">
        <f>SimData!$C$8</f>
        <v>Price</v>
      </c>
      <c r="L5" t="s">
        <v>31</v>
      </c>
    </row>
    <row r="6" spans="1:12" ht="12.75">
      <c r="A6" t="s">
        <v>12</v>
      </c>
      <c r="B6">
        <f>MIN(B9:B108)</f>
        <v>-9.999999992515995E-07</v>
      </c>
      <c r="C6">
        <f>MIN(C9:C108)</f>
        <v>0.34688061283443006</v>
      </c>
      <c r="K6">
        <f>SMALL(SimData!$C$9:$C$108,1)</f>
        <v>0.34688061283443006</v>
      </c>
      <c r="L6">
        <v>0</v>
      </c>
    </row>
    <row r="7" spans="1:12" ht="12.75">
      <c r="A7" t="s">
        <v>13</v>
      </c>
      <c r="B7">
        <f>MAX(B9:B108)</f>
        <v>9.999999992515995E-07</v>
      </c>
      <c r="C7">
        <f>MAX(C9:C108)</f>
        <v>1.6693110997755594</v>
      </c>
      <c r="K7">
        <f>SMALL(SimData!$C$9:$C$108,2)</f>
        <v>0.5131833883413355</v>
      </c>
      <c r="L7">
        <f>1/(COUNT(SimData!$C$9:$C$108)-1)+$L$6</f>
        <v>0.010101010101010102</v>
      </c>
    </row>
    <row r="8" spans="1:12" ht="12.75">
      <c r="A8" t="s">
        <v>14</v>
      </c>
      <c r="B8" t="str">
        <f>Model!$A$7</f>
        <v>S-D</v>
      </c>
      <c r="C8" t="str">
        <f>Model!$A$8</f>
        <v>Price</v>
      </c>
      <c r="K8">
        <f>SMALL(SimData!$C$9:$C$108,3)</f>
        <v>0.5987098958999583</v>
      </c>
      <c r="L8">
        <f>1/(COUNT(SimData!$C$9:$C$108)-1)+$L$7</f>
        <v>0.020202020202020204</v>
      </c>
    </row>
    <row r="9" spans="1:12" ht="12.75">
      <c r="A9">
        <v>1</v>
      </c>
      <c r="B9">
        <v>0</v>
      </c>
      <c r="C9">
        <v>1.4443255229786902</v>
      </c>
      <c r="K9">
        <f>SMALL(SimData!$C$9:$C$108,4)</f>
        <v>0.6323037633216455</v>
      </c>
      <c r="L9">
        <f>1/(COUNT(SimData!$C$9:$C$108)-1)+$L$8</f>
        <v>0.030303030303030304</v>
      </c>
    </row>
    <row r="10" spans="1:12" ht="12.75">
      <c r="A10">
        <v>2</v>
      </c>
      <c r="B10">
        <v>-9.999999992515995E-07</v>
      </c>
      <c r="C10">
        <v>1.0528020412947485</v>
      </c>
      <c r="K10">
        <f>SMALL(SimData!$C$9:$C$108,5)</f>
        <v>0.6483025343608747</v>
      </c>
      <c r="L10">
        <f>1/(COUNT(SimData!$C$9:$C$108)-1)+$L$9</f>
        <v>0.04040404040404041</v>
      </c>
    </row>
    <row r="11" spans="1:12" ht="12.75">
      <c r="A11">
        <v>3</v>
      </c>
      <c r="B11">
        <v>-9.999999992515995E-07</v>
      </c>
      <c r="C11">
        <v>0.9266785661048498</v>
      </c>
      <c r="K11">
        <f>SMALL(SimData!$C$9:$C$108,6)</f>
        <v>0.6694752963578126</v>
      </c>
      <c r="L11">
        <f>1/(COUNT(SimData!$C$9:$C$108)-1)+$L$10</f>
        <v>0.05050505050505051</v>
      </c>
    </row>
    <row r="12" spans="1:12" ht="12.75">
      <c r="A12">
        <v>4</v>
      </c>
      <c r="B12">
        <v>-9.999999992515995E-07</v>
      </c>
      <c r="C12">
        <v>0.833088166688892</v>
      </c>
      <c r="K12">
        <f>SMALL(SimData!$C$9:$C$108,7)</f>
        <v>0.679462794876305</v>
      </c>
      <c r="L12">
        <f>1/(COUNT(SimData!$C$9:$C$108)-1)+$L$11</f>
        <v>0.060606060606060615</v>
      </c>
    </row>
    <row r="13" spans="1:12" ht="12.75">
      <c r="A13">
        <v>5</v>
      </c>
      <c r="B13">
        <v>9.999999992515995E-07</v>
      </c>
      <c r="C13">
        <v>1.0125353504524428</v>
      </c>
      <c r="K13">
        <f>SMALL(SimData!$C$9:$C$108,8)</f>
        <v>0.7047048377936287</v>
      </c>
      <c r="L13">
        <f>1/(COUNT(SimData!$C$9:$C$108)-1)+$L$12</f>
        <v>0.07070707070707072</v>
      </c>
    </row>
    <row r="14" spans="1:12" ht="12.75">
      <c r="A14">
        <v>6</v>
      </c>
      <c r="B14">
        <v>-9.999999992515995E-07</v>
      </c>
      <c r="C14">
        <v>0.9453463949357833</v>
      </c>
      <c r="K14">
        <f>SMALL(SimData!$C$9:$C$108,9)</f>
        <v>0.7088042367572103</v>
      </c>
      <c r="L14">
        <f>1/(COUNT(SimData!$C$9:$C$108)-1)+$L$13</f>
        <v>0.08080808080808081</v>
      </c>
    </row>
    <row r="15" spans="1:12" ht="12.75">
      <c r="A15">
        <v>7</v>
      </c>
      <c r="B15">
        <v>0</v>
      </c>
      <c r="C15">
        <v>0.8757441239324555</v>
      </c>
      <c r="K15">
        <f>SMALL(SimData!$C$9:$C$108,10)</f>
        <v>0.7314168308165657</v>
      </c>
      <c r="L15">
        <f>1/(COUNT(SimData!$C$9:$C$108)-1)+$L$14</f>
        <v>0.09090909090909091</v>
      </c>
    </row>
    <row r="16" spans="1:12" ht="12.75">
      <c r="A16">
        <v>8</v>
      </c>
      <c r="B16">
        <v>0</v>
      </c>
      <c r="C16">
        <v>1.1915551319181032</v>
      </c>
      <c r="K16">
        <f>SMALL(SimData!$C$9:$C$108,11)</f>
        <v>0.7365471735107474</v>
      </c>
      <c r="L16">
        <f>1/(COUNT(SimData!$C$9:$C$108)-1)+$L$15</f>
        <v>0.10101010101010101</v>
      </c>
    </row>
    <row r="17" spans="1:12" ht="12.75">
      <c r="A17">
        <v>9</v>
      </c>
      <c r="B17">
        <v>0</v>
      </c>
      <c r="C17">
        <v>0.9307277462731393</v>
      </c>
      <c r="K17">
        <f>SMALL(SimData!$C$9:$C$108,12)</f>
        <v>0.754600092121467</v>
      </c>
      <c r="L17">
        <f>1/(COUNT(SimData!$C$9:$C$108)-1)+$L$16</f>
        <v>0.1111111111111111</v>
      </c>
    </row>
    <row r="18" spans="1:12" ht="12.75">
      <c r="A18">
        <v>10</v>
      </c>
      <c r="B18">
        <v>-9.999999992515995E-07</v>
      </c>
      <c r="C18">
        <v>0.6483025343608747</v>
      </c>
      <c r="K18">
        <f>SMALL(SimData!$C$9:$C$108,13)</f>
        <v>0.7674896700304227</v>
      </c>
      <c r="L18">
        <f>1/(COUNT(SimData!$C$9:$C$108)-1)+$L$17</f>
        <v>0.1212121212121212</v>
      </c>
    </row>
    <row r="19" spans="1:12" ht="12.75">
      <c r="A19">
        <v>11</v>
      </c>
      <c r="B19">
        <v>9.999999992515995E-07</v>
      </c>
      <c r="C19">
        <v>0.9540473719729943</v>
      </c>
      <c r="K19">
        <f>SMALL(SimData!$C$9:$C$108,14)</f>
        <v>0.7675294957176263</v>
      </c>
      <c r="L19">
        <f>1/(COUNT(SimData!$C$9:$C$108)-1)+$L$18</f>
        <v>0.1313131313131313</v>
      </c>
    </row>
    <row r="20" spans="1:12" ht="12.75">
      <c r="A20">
        <v>12</v>
      </c>
      <c r="B20">
        <v>0</v>
      </c>
      <c r="C20">
        <v>0.886911923402697</v>
      </c>
      <c r="K20">
        <f>SMALL(SimData!$C$9:$C$108,15)</f>
        <v>0.772965482840654</v>
      </c>
      <c r="L20">
        <f>1/(COUNT(SimData!$C$9:$C$108)-1)+$L$19</f>
        <v>0.1414141414141414</v>
      </c>
    </row>
    <row r="21" spans="1:12" ht="12.75">
      <c r="A21">
        <v>13</v>
      </c>
      <c r="B21">
        <v>9.999999992515995E-07</v>
      </c>
      <c r="C21">
        <v>0.9217508658118512</v>
      </c>
      <c r="K21">
        <f>SMALL(SimData!$C$9:$C$108,16)</f>
        <v>0.7939789885710612</v>
      </c>
      <c r="L21">
        <f>1/(COUNT(SimData!$C$9:$C$108)-1)+$L$20</f>
        <v>0.15151515151515152</v>
      </c>
    </row>
    <row r="22" spans="1:12" ht="12.75">
      <c r="A22">
        <v>14</v>
      </c>
      <c r="B22">
        <v>0</v>
      </c>
      <c r="C22">
        <v>0.9485573457216756</v>
      </c>
      <c r="K22">
        <f>SMALL(SimData!$C$9:$C$108,17)</f>
        <v>0.8155450490022688</v>
      </c>
      <c r="L22">
        <f>1/(COUNT(SimData!$C$9:$C$108)-1)+$L$21</f>
        <v>0.16161616161616163</v>
      </c>
    </row>
    <row r="23" spans="1:12" ht="12.75">
      <c r="A23">
        <v>15</v>
      </c>
      <c r="B23">
        <v>0</v>
      </c>
      <c r="C23">
        <v>1.150143441379108</v>
      </c>
      <c r="K23">
        <f>SMALL(SimData!$C$9:$C$108,18)</f>
        <v>0.833088166688892</v>
      </c>
      <c r="L23">
        <f>1/(COUNT(SimData!$C$9:$C$108)-1)+$L$22</f>
        <v>0.17171717171717174</v>
      </c>
    </row>
    <row r="24" spans="1:12" ht="12.75">
      <c r="A24">
        <v>16</v>
      </c>
      <c r="B24">
        <v>9.999999992515995E-07</v>
      </c>
      <c r="C24">
        <v>1.2159334363327723</v>
      </c>
      <c r="K24">
        <f>SMALL(SimData!$C$9:$C$108,19)</f>
        <v>0.835533118815861</v>
      </c>
      <c r="L24">
        <f>1/(COUNT(SimData!$C$9:$C$108)-1)+$L$23</f>
        <v>0.18181818181818185</v>
      </c>
    </row>
    <row r="25" spans="1:12" ht="12.75">
      <c r="A25">
        <v>17</v>
      </c>
      <c r="B25">
        <v>0</v>
      </c>
      <c r="C25">
        <v>0.7674896700304227</v>
      </c>
      <c r="K25">
        <f>SMALL(SimData!$C$9:$C$108,20)</f>
        <v>0.840633323309161</v>
      </c>
      <c r="L25">
        <f>1/(COUNT(SimData!$C$9:$C$108)-1)+$L$24</f>
        <v>0.19191919191919196</v>
      </c>
    </row>
    <row r="26" spans="1:12" ht="12.75">
      <c r="A26">
        <v>18</v>
      </c>
      <c r="B26">
        <v>0</v>
      </c>
      <c r="C26">
        <v>0.8759036365825548</v>
      </c>
      <c r="K26">
        <f>SMALL(SimData!$C$9:$C$108,21)</f>
        <v>0.8425828966392661</v>
      </c>
      <c r="L26">
        <f>1/(COUNT(SimData!$C$9:$C$108)-1)+$L$25</f>
        <v>0.20202020202020207</v>
      </c>
    </row>
    <row r="27" spans="1:12" ht="12.75">
      <c r="A27">
        <v>19</v>
      </c>
      <c r="B27">
        <v>0</v>
      </c>
      <c r="C27">
        <v>0.679462794876305</v>
      </c>
      <c r="K27">
        <f>SMALL(SimData!$C$9:$C$108,22)</f>
        <v>0.8453442140630766</v>
      </c>
      <c r="L27">
        <f>1/(COUNT(SimData!$C$9:$C$108)-1)+$L$26</f>
        <v>0.21212121212121218</v>
      </c>
    </row>
    <row r="28" spans="1:12" ht="12.75">
      <c r="A28">
        <v>20</v>
      </c>
      <c r="B28">
        <v>9.999999992515995E-07</v>
      </c>
      <c r="C28">
        <v>1.0837759999469532</v>
      </c>
      <c r="K28">
        <f>SMALL(SimData!$C$9:$C$108,23)</f>
        <v>0.8531690862838188</v>
      </c>
      <c r="L28">
        <f>1/(COUNT(SimData!$C$9:$C$108)-1)+$L$27</f>
        <v>0.2222222222222223</v>
      </c>
    </row>
    <row r="29" spans="1:12" ht="12.75">
      <c r="A29">
        <v>21</v>
      </c>
      <c r="B29">
        <v>0</v>
      </c>
      <c r="C29">
        <v>1.0214937585052535</v>
      </c>
      <c r="K29">
        <f>SMALL(SimData!$C$9:$C$108,24)</f>
        <v>0.8661953865458076</v>
      </c>
      <c r="L29">
        <f>1/(COUNT(SimData!$C$9:$C$108)-1)+$L$28</f>
        <v>0.2323232323232324</v>
      </c>
    </row>
    <row r="30" spans="1:12" ht="12.75">
      <c r="A30">
        <v>22</v>
      </c>
      <c r="B30">
        <v>0</v>
      </c>
      <c r="C30">
        <v>1.0765586184686577</v>
      </c>
      <c r="K30">
        <f>SMALL(SimData!$C$9:$C$108,25)</f>
        <v>0.8757441239324555</v>
      </c>
      <c r="L30">
        <f>1/(COUNT(SimData!$C$9:$C$108)-1)+$L$29</f>
        <v>0.24242424242424251</v>
      </c>
    </row>
    <row r="31" spans="1:12" ht="12.75">
      <c r="A31">
        <v>23</v>
      </c>
      <c r="B31">
        <v>-9.999999992515995E-07</v>
      </c>
      <c r="C31">
        <v>0.8862310259659567</v>
      </c>
      <c r="K31">
        <f>SMALL(SimData!$C$9:$C$108,26)</f>
        <v>0.8759036365825548</v>
      </c>
      <c r="L31">
        <f>1/(COUNT(SimData!$C$9:$C$108)-1)+$L$30</f>
        <v>0.2525252525252526</v>
      </c>
    </row>
    <row r="32" spans="1:12" ht="12.75">
      <c r="A32">
        <v>24</v>
      </c>
      <c r="B32">
        <v>0</v>
      </c>
      <c r="C32">
        <v>1.0769884748140635</v>
      </c>
      <c r="K32">
        <f>SMALL(SimData!$C$9:$C$108,27)</f>
        <v>0.8862310259659567</v>
      </c>
      <c r="L32">
        <f>1/(COUNT(SimData!$C$9:$C$108)-1)+$L$31</f>
        <v>0.2626262626262627</v>
      </c>
    </row>
    <row r="33" spans="1:12" ht="12.75">
      <c r="A33">
        <v>25</v>
      </c>
      <c r="B33">
        <v>-9.999999992515995E-07</v>
      </c>
      <c r="C33">
        <v>0.840633323309161</v>
      </c>
      <c r="K33">
        <f>SMALL(SimData!$C$9:$C$108,28)</f>
        <v>0.886911923402697</v>
      </c>
      <c r="L33">
        <f>1/(COUNT(SimData!$C$9:$C$108)-1)+$L$32</f>
        <v>0.2727272727272728</v>
      </c>
    </row>
    <row r="34" spans="1:12" ht="12.75">
      <c r="A34">
        <v>26</v>
      </c>
      <c r="B34">
        <v>0</v>
      </c>
      <c r="C34">
        <v>0.9999702168557532</v>
      </c>
      <c r="K34">
        <f>SMALL(SimData!$C$9:$C$108,29)</f>
        <v>0.8995256092602459</v>
      </c>
      <c r="L34">
        <f>1/(COUNT(SimData!$C$9:$C$108)-1)+$L$33</f>
        <v>0.28282828282828293</v>
      </c>
    </row>
    <row r="35" spans="1:12" ht="12.75">
      <c r="A35">
        <v>27</v>
      </c>
      <c r="B35">
        <v>-9.999999992515995E-07</v>
      </c>
      <c r="C35">
        <v>0.6694752963578126</v>
      </c>
      <c r="K35">
        <f>SMALL(SimData!$C$9:$C$108,30)</f>
        <v>0.9037127805358558</v>
      </c>
      <c r="L35">
        <f>1/(COUNT(SimData!$C$9:$C$108)-1)+$L$34</f>
        <v>0.29292929292929304</v>
      </c>
    </row>
    <row r="36" spans="1:12" ht="12.75">
      <c r="A36">
        <v>28</v>
      </c>
      <c r="B36">
        <v>9.999999983634211E-07</v>
      </c>
      <c r="C36">
        <v>0.9864299426734144</v>
      </c>
      <c r="K36">
        <f>SMALL(SimData!$C$9:$C$108,31)</f>
        <v>0.9101569910853442</v>
      </c>
      <c r="L36">
        <f>1/(COUNT(SimData!$C$9:$C$108)-1)+$L$35</f>
        <v>0.30303030303030315</v>
      </c>
    </row>
    <row r="37" spans="1:12" ht="12.75">
      <c r="A37">
        <v>29</v>
      </c>
      <c r="B37">
        <v>0</v>
      </c>
      <c r="C37">
        <v>0.8425828966392661</v>
      </c>
      <c r="K37">
        <f>SMALL(SimData!$C$9:$C$108,32)</f>
        <v>0.9119670936358474</v>
      </c>
      <c r="L37">
        <f>1/(COUNT(SimData!$C$9:$C$108)-1)+$L$36</f>
        <v>0.31313131313131326</v>
      </c>
    </row>
    <row r="38" spans="1:12" ht="12.75">
      <c r="A38">
        <v>30</v>
      </c>
      <c r="B38">
        <v>0</v>
      </c>
      <c r="C38">
        <v>1.022983857333112</v>
      </c>
      <c r="K38">
        <f>SMALL(SimData!$C$9:$C$108,33)</f>
        <v>0.9145760988434369</v>
      </c>
      <c r="L38">
        <f>1/(COUNT(SimData!$C$9:$C$108)-1)+$L$37</f>
        <v>0.32323232323232337</v>
      </c>
    </row>
    <row r="39" spans="1:12" ht="12.75">
      <c r="A39">
        <v>31</v>
      </c>
      <c r="B39">
        <v>0</v>
      </c>
      <c r="C39">
        <v>0.9119670936358474</v>
      </c>
      <c r="K39">
        <f>SMALL(SimData!$C$9:$C$108,34)</f>
        <v>0.9217508658118512</v>
      </c>
      <c r="L39">
        <f>1/(COUNT(SimData!$C$9:$C$108)-1)+$L$38</f>
        <v>0.3333333333333335</v>
      </c>
    </row>
    <row r="40" spans="1:12" ht="12.75">
      <c r="A40">
        <v>32</v>
      </c>
      <c r="B40">
        <v>0</v>
      </c>
      <c r="C40">
        <v>0.8155450490022688</v>
      </c>
      <c r="K40">
        <f>SMALL(SimData!$C$9:$C$108,35)</f>
        <v>0.9222337040277968</v>
      </c>
      <c r="L40">
        <f>1/(COUNT(SimData!$C$9:$C$108)-1)+$L$39</f>
        <v>0.3434343434343436</v>
      </c>
    </row>
    <row r="41" spans="1:12" ht="12.75">
      <c r="A41">
        <v>33</v>
      </c>
      <c r="B41">
        <v>0</v>
      </c>
      <c r="C41">
        <v>0.6323037633216455</v>
      </c>
      <c r="K41">
        <f>SMALL(SimData!$C$9:$C$108,36)</f>
        <v>0.9266785661048498</v>
      </c>
      <c r="L41">
        <f>1/(COUNT(SimData!$C$9:$C$108)-1)+$L$40</f>
        <v>0.3535353535353537</v>
      </c>
    </row>
    <row r="42" spans="1:12" ht="12.75">
      <c r="A42">
        <v>34</v>
      </c>
      <c r="B42">
        <v>0</v>
      </c>
      <c r="C42">
        <v>0.754600092121467</v>
      </c>
      <c r="K42">
        <f>SMALL(SimData!$C$9:$C$108,37)</f>
        <v>0.9307277462731393</v>
      </c>
      <c r="L42">
        <f>1/(COUNT(SimData!$C$9:$C$108)-1)+$L$41</f>
        <v>0.3636363636363638</v>
      </c>
    </row>
    <row r="43" spans="1:12" ht="12.75">
      <c r="A43">
        <v>35</v>
      </c>
      <c r="B43">
        <v>9.999999992515995E-07</v>
      </c>
      <c r="C43">
        <v>1.0570208010666287</v>
      </c>
      <c r="K43">
        <f>SMALL(SimData!$C$9:$C$108,38)</f>
        <v>0.9307763753975046</v>
      </c>
      <c r="L43">
        <f>1/(COUNT(SimData!$C$9:$C$108)-1)+$L$42</f>
        <v>0.3737373737373739</v>
      </c>
    </row>
    <row r="44" spans="1:12" ht="12.75">
      <c r="A44">
        <v>36</v>
      </c>
      <c r="B44">
        <v>0</v>
      </c>
      <c r="C44">
        <v>0.9432506551372251</v>
      </c>
      <c r="K44">
        <f>SMALL(SimData!$C$9:$C$108,39)</f>
        <v>0.9332501074572307</v>
      </c>
      <c r="L44">
        <f>1/(COUNT(SimData!$C$9:$C$108)-1)+$L$43</f>
        <v>0.38383838383838403</v>
      </c>
    </row>
    <row r="45" spans="1:12" ht="12.75">
      <c r="A45">
        <v>37</v>
      </c>
      <c r="B45">
        <v>-9.999999992515995E-07</v>
      </c>
      <c r="C45">
        <v>0.9145760988434369</v>
      </c>
      <c r="K45">
        <f>SMALL(SimData!$C$9:$C$108,40)</f>
        <v>0.93763507234462</v>
      </c>
      <c r="L45">
        <f>1/(COUNT(SimData!$C$9:$C$108)-1)+$L$44</f>
        <v>0.39393939393939414</v>
      </c>
    </row>
    <row r="46" spans="1:12" ht="12.75">
      <c r="A46">
        <v>38</v>
      </c>
      <c r="B46">
        <v>0</v>
      </c>
      <c r="C46">
        <v>1.0833864206151906</v>
      </c>
      <c r="K46">
        <f>SMALL(SimData!$C$9:$C$108,41)</f>
        <v>0.9432506551372251</v>
      </c>
      <c r="L46">
        <f>1/(COUNT(SimData!$C$9:$C$108)-1)+$L$45</f>
        <v>0.40404040404040426</v>
      </c>
    </row>
    <row r="47" spans="1:12" ht="12.75">
      <c r="A47">
        <v>39</v>
      </c>
      <c r="B47">
        <v>9.999999992515995E-07</v>
      </c>
      <c r="C47">
        <v>1.0903929988433165</v>
      </c>
      <c r="K47">
        <f>SMALL(SimData!$C$9:$C$108,42)</f>
        <v>0.9453463949357833</v>
      </c>
      <c r="L47">
        <f>1/(COUNT(SimData!$C$9:$C$108)-1)+$L$46</f>
        <v>0.41414141414141437</v>
      </c>
    </row>
    <row r="48" spans="1:12" ht="12.75">
      <c r="A48">
        <v>40</v>
      </c>
      <c r="B48">
        <v>0</v>
      </c>
      <c r="C48">
        <v>0.7939789885710612</v>
      </c>
      <c r="K48">
        <f>SMALL(SimData!$C$9:$C$108,43)</f>
        <v>0.9484136940264632</v>
      </c>
      <c r="L48">
        <f>1/(COUNT(SimData!$C$9:$C$108)-1)+$L$47</f>
        <v>0.4242424242424245</v>
      </c>
    </row>
    <row r="49" spans="1:12" ht="12.75">
      <c r="A49">
        <v>41</v>
      </c>
      <c r="B49">
        <v>-9.999999974752427E-07</v>
      </c>
      <c r="C49">
        <v>0.7314168308165657</v>
      </c>
      <c r="K49">
        <f>SMALL(SimData!$C$9:$C$108,44)</f>
        <v>0.9485573457216756</v>
      </c>
      <c r="L49">
        <f>1/(COUNT(SimData!$C$9:$C$108)-1)+$L$48</f>
        <v>0.4343434343434346</v>
      </c>
    </row>
    <row r="50" spans="1:12" ht="12.75">
      <c r="A50">
        <v>42</v>
      </c>
      <c r="B50">
        <v>9.999999992515995E-07</v>
      </c>
      <c r="C50">
        <v>0.9923451233385139</v>
      </c>
      <c r="K50">
        <f>SMALL(SimData!$C$9:$C$108,45)</f>
        <v>0.9540473719729943</v>
      </c>
      <c r="L50">
        <f>1/(COUNT(SimData!$C$9:$C$108)-1)+$L$49</f>
        <v>0.4444444444444447</v>
      </c>
    </row>
    <row r="51" spans="1:12" ht="12.75">
      <c r="A51">
        <v>43</v>
      </c>
      <c r="B51">
        <v>0</v>
      </c>
      <c r="C51">
        <v>1.0015659648227748</v>
      </c>
      <c r="K51">
        <f>SMALL(SimData!$C$9:$C$108,46)</f>
        <v>0.9619344945096113</v>
      </c>
      <c r="L51">
        <f>1/(COUNT(SimData!$C$9:$C$108)-1)+$L$50</f>
        <v>0.4545454545454548</v>
      </c>
    </row>
    <row r="52" spans="1:12" ht="12.75">
      <c r="A52">
        <v>44</v>
      </c>
      <c r="B52">
        <v>0</v>
      </c>
      <c r="C52">
        <v>1.356029342333078</v>
      </c>
      <c r="K52">
        <f>SMALL(SimData!$C$9:$C$108,47)</f>
        <v>0.9627904038592378</v>
      </c>
      <c r="L52">
        <f>1/(COUNT(SimData!$C$9:$C$108)-1)+$L$51</f>
        <v>0.4646464646464649</v>
      </c>
    </row>
    <row r="53" spans="1:12" ht="12.75">
      <c r="A53">
        <v>45</v>
      </c>
      <c r="B53">
        <v>-9.999999992515995E-07</v>
      </c>
      <c r="C53">
        <v>1.3391012257036117</v>
      </c>
      <c r="K53">
        <f>SMALL(SimData!$C$9:$C$108,48)</f>
        <v>0.9659429475603665</v>
      </c>
      <c r="L53">
        <f>1/(COUNT(SimData!$C$9:$C$108)-1)+$L$52</f>
        <v>0.47474747474747503</v>
      </c>
    </row>
    <row r="54" spans="1:12" ht="12.75">
      <c r="A54">
        <v>46</v>
      </c>
      <c r="B54">
        <v>0</v>
      </c>
      <c r="C54">
        <v>1.3346464353620962</v>
      </c>
      <c r="K54">
        <f>SMALL(SimData!$C$9:$C$108,49)</f>
        <v>0.9680423366909041</v>
      </c>
      <c r="L54">
        <f>1/(COUNT(SimData!$C$9:$C$108)-1)+$L$53</f>
        <v>0.48484848484848514</v>
      </c>
    </row>
    <row r="55" spans="1:12" ht="12.75">
      <c r="A55">
        <v>47</v>
      </c>
      <c r="B55">
        <v>-9.999999992515995E-07</v>
      </c>
      <c r="C55">
        <v>0.9484136940264632</v>
      </c>
      <c r="K55">
        <f>SMALL(SimData!$C$9:$C$108,50)</f>
        <v>0.9864299426734144</v>
      </c>
      <c r="L55">
        <f>1/(COUNT(SimData!$C$9:$C$108)-1)+$L$54</f>
        <v>0.49494949494949525</v>
      </c>
    </row>
    <row r="56" spans="1:12" ht="12.75">
      <c r="A56">
        <v>48</v>
      </c>
      <c r="B56">
        <v>0</v>
      </c>
      <c r="C56">
        <v>0.8531690862838188</v>
      </c>
      <c r="K56">
        <f>SMALL(SimData!$C$9:$C$108,51)</f>
        <v>0.9910717059935682</v>
      </c>
      <c r="L56">
        <f>1/(COUNT(SimData!$C$9:$C$108)-1)+$L$55</f>
        <v>0.5050505050505053</v>
      </c>
    </row>
    <row r="57" spans="1:12" ht="12.75">
      <c r="A57">
        <v>49</v>
      </c>
      <c r="B57">
        <v>0</v>
      </c>
      <c r="C57">
        <v>0.835533118815861</v>
      </c>
      <c r="K57">
        <f>SMALL(SimData!$C$9:$C$108,52)</f>
        <v>0.9923451233385139</v>
      </c>
      <c r="L57">
        <f>1/(COUNT(SimData!$C$9:$C$108)-1)+$L$56</f>
        <v>0.5151515151515154</v>
      </c>
    </row>
    <row r="58" spans="1:12" ht="12.75">
      <c r="A58">
        <v>50</v>
      </c>
      <c r="B58">
        <v>0</v>
      </c>
      <c r="C58">
        <v>1.1099156401236157</v>
      </c>
      <c r="K58">
        <f>SMALL(SimData!$C$9:$C$108,53)</f>
        <v>0.9957098191541964</v>
      </c>
      <c r="L58">
        <f>1/(COUNT(SimData!$C$9:$C$108)-1)+$L$57</f>
        <v>0.5252525252525254</v>
      </c>
    </row>
    <row r="59" spans="1:12" ht="12.75">
      <c r="A59">
        <v>51</v>
      </c>
      <c r="B59">
        <v>0</v>
      </c>
      <c r="C59">
        <v>0.9037127805358558</v>
      </c>
      <c r="K59">
        <f>SMALL(SimData!$C$9:$C$108,54)</f>
        <v>0.9999702168557532</v>
      </c>
      <c r="L59">
        <f>1/(COUNT(SimData!$C$9:$C$108)-1)+$L$58</f>
        <v>0.5353535353535355</v>
      </c>
    </row>
    <row r="60" spans="1:12" ht="12.75">
      <c r="A60">
        <v>52</v>
      </c>
      <c r="B60">
        <v>9.999999992515995E-07</v>
      </c>
      <c r="C60">
        <v>1.0314690771372421</v>
      </c>
      <c r="K60">
        <f>SMALL(SimData!$C$9:$C$108,55)</f>
        <v>1.0015659648227748</v>
      </c>
      <c r="L60">
        <f>1/(COUNT(SimData!$C$9:$C$108)-1)+$L$59</f>
        <v>0.5454545454545455</v>
      </c>
    </row>
    <row r="61" spans="1:12" ht="12.75">
      <c r="A61">
        <v>53</v>
      </c>
      <c r="B61">
        <v>0</v>
      </c>
      <c r="C61">
        <v>1.122763547052764</v>
      </c>
      <c r="K61">
        <f>SMALL(SimData!$C$9:$C$108,56)</f>
        <v>1.0089259960410253</v>
      </c>
      <c r="L61">
        <f>1/(COUNT(SimData!$C$9:$C$108)-1)+$L$60</f>
        <v>0.5555555555555556</v>
      </c>
    </row>
    <row r="62" spans="1:12" ht="12.75">
      <c r="A62">
        <v>54</v>
      </c>
      <c r="B62">
        <v>-9.999999992515995E-07</v>
      </c>
      <c r="C62">
        <v>0.8453442140630766</v>
      </c>
      <c r="K62">
        <f>SMALL(SimData!$C$9:$C$108,57)</f>
        <v>1.0125353504524428</v>
      </c>
      <c r="L62">
        <f>1/(COUNT(SimData!$C$9:$C$108)-1)+$L$61</f>
        <v>0.5656565656565656</v>
      </c>
    </row>
    <row r="63" spans="1:12" ht="12.75">
      <c r="A63">
        <v>55</v>
      </c>
      <c r="B63">
        <v>0</v>
      </c>
      <c r="C63">
        <v>0.9332501074572307</v>
      </c>
      <c r="K63">
        <f>SMALL(SimData!$C$9:$C$108,58)</f>
        <v>1.0214937585052535</v>
      </c>
      <c r="L63">
        <f>1/(COUNT(SimData!$C$9:$C$108)-1)+$L$62</f>
        <v>0.5757575757575757</v>
      </c>
    </row>
    <row r="64" spans="1:12" ht="12.75">
      <c r="A64">
        <v>56</v>
      </c>
      <c r="B64">
        <v>0</v>
      </c>
      <c r="C64">
        <v>0.9307763753975046</v>
      </c>
      <c r="K64">
        <f>SMALL(SimData!$C$9:$C$108,59)</f>
        <v>1.022983857333112</v>
      </c>
      <c r="L64">
        <f>1/(COUNT(SimData!$C$9:$C$108)-1)+$L$63</f>
        <v>0.5858585858585857</v>
      </c>
    </row>
    <row r="65" spans="1:12" ht="12.75">
      <c r="A65">
        <v>57</v>
      </c>
      <c r="B65">
        <v>9.999999992515995E-07</v>
      </c>
      <c r="C65">
        <v>0.9957098191541964</v>
      </c>
      <c r="K65">
        <f>SMALL(SimData!$C$9:$C$108,60)</f>
        <v>1.0314690771372421</v>
      </c>
      <c r="L65">
        <f>1/(COUNT(SimData!$C$9:$C$108)-1)+$L$64</f>
        <v>0.5959595959595958</v>
      </c>
    </row>
    <row r="66" spans="1:12" ht="12.75">
      <c r="A66">
        <v>58</v>
      </c>
      <c r="B66">
        <v>0</v>
      </c>
      <c r="C66">
        <v>0.7365471735107474</v>
      </c>
      <c r="K66">
        <f>SMALL(SimData!$C$9:$C$108,61)</f>
        <v>1.0387220844999057</v>
      </c>
      <c r="L66">
        <f>1/(COUNT(SimData!$C$9:$C$108)-1)+$L$65</f>
        <v>0.6060606060606059</v>
      </c>
    </row>
    <row r="67" spans="1:12" ht="12.75">
      <c r="A67">
        <v>59</v>
      </c>
      <c r="B67">
        <v>0</v>
      </c>
      <c r="C67">
        <v>0.8995256092602459</v>
      </c>
      <c r="K67">
        <f>SMALL(SimData!$C$9:$C$108,62)</f>
        <v>1.0528020412947485</v>
      </c>
      <c r="L67">
        <f>1/(COUNT(SimData!$C$9:$C$108)-1)+$L$66</f>
        <v>0.6161616161616159</v>
      </c>
    </row>
    <row r="68" spans="1:12" ht="12.75">
      <c r="A68">
        <v>60</v>
      </c>
      <c r="B68">
        <v>9.999999992515995E-07</v>
      </c>
      <c r="C68">
        <v>1.2634111013399085</v>
      </c>
      <c r="K68">
        <f>SMALL(SimData!$C$9:$C$108,63)</f>
        <v>1.0563656191439907</v>
      </c>
      <c r="L68">
        <f>1/(COUNT(SimData!$C$9:$C$108)-1)+$L$67</f>
        <v>0.626262626262626</v>
      </c>
    </row>
    <row r="69" spans="1:12" ht="12.75">
      <c r="A69">
        <v>61</v>
      </c>
      <c r="B69">
        <v>0</v>
      </c>
      <c r="C69">
        <v>0.7047048377936287</v>
      </c>
      <c r="K69">
        <f>SMALL(SimData!$C$9:$C$108,64)</f>
        <v>1.0570208010666287</v>
      </c>
      <c r="L69">
        <f>1/(COUNT(SimData!$C$9:$C$108)-1)+$L$68</f>
        <v>0.636363636363636</v>
      </c>
    </row>
    <row r="70" spans="1:12" ht="12.75">
      <c r="A70">
        <v>62</v>
      </c>
      <c r="B70">
        <v>9.999999992515995E-07</v>
      </c>
      <c r="C70">
        <v>1.1095109465872819</v>
      </c>
      <c r="K70">
        <f>SMALL(SimData!$C$9:$C$108,65)</f>
        <v>1.0765586184686577</v>
      </c>
      <c r="L70">
        <f>1/(COUNT(SimData!$C$9:$C$108)-1)+$L$69</f>
        <v>0.6464646464646461</v>
      </c>
    </row>
    <row r="71" spans="1:12" ht="12.75">
      <c r="A71">
        <v>63</v>
      </c>
      <c r="B71">
        <v>9.999999992515995E-07</v>
      </c>
      <c r="C71">
        <v>1.327848306598895</v>
      </c>
      <c r="K71">
        <f>SMALL(SimData!$C$9:$C$108,66)</f>
        <v>1.0769884748140635</v>
      </c>
      <c r="L71">
        <f>1/(COUNT(SimData!$C$9:$C$108)-1)+$L$70</f>
        <v>0.6565656565656561</v>
      </c>
    </row>
    <row r="72" spans="1:12" ht="12.75">
      <c r="A72">
        <v>64</v>
      </c>
      <c r="B72">
        <v>-9.999999992515995E-07</v>
      </c>
      <c r="C72">
        <v>1.0968526596996981</v>
      </c>
      <c r="K72">
        <f>SMALL(SimData!$C$9:$C$108,67)</f>
        <v>1.08147397210538</v>
      </c>
      <c r="L72">
        <f>1/(COUNT(SimData!$C$9:$C$108)-1)+$L$71</f>
        <v>0.6666666666666662</v>
      </c>
    </row>
    <row r="73" spans="1:12" ht="12.75">
      <c r="A73">
        <v>65</v>
      </c>
      <c r="B73">
        <v>9.999999992515995E-07</v>
      </c>
      <c r="C73">
        <v>1.1591468648569159</v>
      </c>
      <c r="K73">
        <f>SMALL(SimData!$C$9:$C$108,68)</f>
        <v>1.0833864206151906</v>
      </c>
      <c r="L73">
        <f>1/(COUNT(SimData!$C$9:$C$108)-1)+$L$72</f>
        <v>0.6767676767676762</v>
      </c>
    </row>
    <row r="74" spans="1:12" ht="12.75">
      <c r="A74">
        <v>66</v>
      </c>
      <c r="B74">
        <v>0</v>
      </c>
      <c r="C74">
        <v>0.8661953865458076</v>
      </c>
      <c r="K74">
        <f>SMALL(SimData!$C$9:$C$108,69)</f>
        <v>1.0836306968586669</v>
      </c>
      <c r="L74">
        <f>1/(COUNT(SimData!$C$9:$C$108)-1)+$L$73</f>
        <v>0.6868686868686863</v>
      </c>
    </row>
    <row r="75" spans="1:12" ht="12.75">
      <c r="A75">
        <v>67</v>
      </c>
      <c r="B75">
        <v>0</v>
      </c>
      <c r="C75">
        <v>1.6693110997755594</v>
      </c>
      <c r="K75">
        <f>SMALL(SimData!$C$9:$C$108,70)</f>
        <v>1.0837759999469532</v>
      </c>
      <c r="L75">
        <f>1/(COUNT(SimData!$C$9:$C$108)-1)+$L$74</f>
        <v>0.6969696969696964</v>
      </c>
    </row>
    <row r="76" spans="1:12" ht="12.75">
      <c r="A76">
        <v>68</v>
      </c>
      <c r="B76">
        <v>-9.999999992515995E-07</v>
      </c>
      <c r="C76">
        <v>0.7088042367572103</v>
      </c>
      <c r="K76">
        <f>SMALL(SimData!$C$9:$C$108,71)</f>
        <v>1.0903929988433165</v>
      </c>
      <c r="L76">
        <f>1/(COUNT(SimData!$C$9:$C$108)-1)+$L$75</f>
        <v>0.7070707070707064</v>
      </c>
    </row>
    <row r="77" spans="1:12" ht="12.75">
      <c r="A77">
        <v>69</v>
      </c>
      <c r="B77">
        <v>9.999999974752427E-07</v>
      </c>
      <c r="C77">
        <v>1.439867872859419</v>
      </c>
      <c r="K77">
        <f>SMALL(SimData!$C$9:$C$108,72)</f>
        <v>1.0905344413498357</v>
      </c>
      <c r="L77">
        <f>1/(COUNT(SimData!$C$9:$C$108)-1)+$L$76</f>
        <v>0.7171717171717165</v>
      </c>
    </row>
    <row r="78" spans="1:12" ht="12.75">
      <c r="A78">
        <v>70</v>
      </c>
      <c r="B78">
        <v>-9.999999992515995E-07</v>
      </c>
      <c r="C78">
        <v>1.261285861163897</v>
      </c>
      <c r="K78">
        <f>SMALL(SimData!$C$9:$C$108,73)</f>
        <v>1.096766590840945</v>
      </c>
      <c r="L78">
        <f>1/(COUNT(SimData!$C$9:$C$108)-1)+$L$77</f>
        <v>0.7272727272727265</v>
      </c>
    </row>
    <row r="79" spans="1:12" ht="12.75">
      <c r="A79">
        <v>71</v>
      </c>
      <c r="B79">
        <v>0</v>
      </c>
      <c r="C79">
        <v>1.1594712982117514</v>
      </c>
      <c r="K79">
        <f>SMALL(SimData!$C$9:$C$108,74)</f>
        <v>1.0968526596996981</v>
      </c>
      <c r="L79">
        <f>1/(COUNT(SimData!$C$9:$C$108)-1)+$L$78</f>
        <v>0.7373737373737366</v>
      </c>
    </row>
    <row r="80" spans="1:12" ht="12.75">
      <c r="A80">
        <v>72</v>
      </c>
      <c r="B80">
        <v>0</v>
      </c>
      <c r="C80">
        <v>1.08147397210538</v>
      </c>
      <c r="K80">
        <f>SMALL(SimData!$C$9:$C$108,75)</f>
        <v>1.1095109465872819</v>
      </c>
      <c r="L80">
        <f>1/(COUNT(SimData!$C$9:$C$108)-1)+$L$79</f>
        <v>0.7474747474747466</v>
      </c>
    </row>
    <row r="81" spans="1:12" ht="12.75">
      <c r="A81">
        <v>73</v>
      </c>
      <c r="B81">
        <v>0</v>
      </c>
      <c r="C81">
        <v>1.2046097038602923</v>
      </c>
      <c r="K81">
        <f>SMALL(SimData!$C$9:$C$108,76)</f>
        <v>1.1099156401236157</v>
      </c>
      <c r="L81">
        <f>1/(COUNT(SimData!$C$9:$C$108)-1)+$L$80</f>
        <v>0.7575757575757567</v>
      </c>
    </row>
    <row r="82" spans="1:12" ht="12.75">
      <c r="A82">
        <v>74</v>
      </c>
      <c r="B82">
        <v>0</v>
      </c>
      <c r="C82">
        <v>1.4588304077075058</v>
      </c>
      <c r="K82">
        <f>SMALL(SimData!$C$9:$C$108,77)</f>
        <v>1.122763547052764</v>
      </c>
      <c r="L82">
        <f>1/(COUNT(SimData!$C$9:$C$108)-1)+$L$81</f>
        <v>0.7676767676767667</v>
      </c>
    </row>
    <row r="83" spans="1:12" ht="12.75">
      <c r="A83">
        <v>75</v>
      </c>
      <c r="B83">
        <v>0</v>
      </c>
      <c r="C83">
        <v>0.772965482840654</v>
      </c>
      <c r="K83">
        <f>SMALL(SimData!$C$9:$C$108,78)</f>
        <v>1.1341293950474287</v>
      </c>
      <c r="L83">
        <f>1/(COUNT(SimData!$C$9:$C$108)-1)+$L$82</f>
        <v>0.7777777777777768</v>
      </c>
    </row>
    <row r="84" spans="1:12" ht="12.75">
      <c r="A84">
        <v>76</v>
      </c>
      <c r="B84">
        <v>9.999999992515995E-07</v>
      </c>
      <c r="C84">
        <v>1.0563656191439907</v>
      </c>
      <c r="K84">
        <f>SMALL(SimData!$C$9:$C$108,79)</f>
        <v>1.1413932675036211</v>
      </c>
      <c r="L84">
        <f>1/(COUNT(SimData!$C$9:$C$108)-1)+$L$83</f>
        <v>0.7878787878787868</v>
      </c>
    </row>
    <row r="85" spans="1:12" ht="12.75">
      <c r="A85">
        <v>77</v>
      </c>
      <c r="B85">
        <v>9.999999992515995E-07</v>
      </c>
      <c r="C85">
        <v>1.1907782293921985</v>
      </c>
      <c r="K85">
        <f>SMALL(SimData!$C$9:$C$108,80)</f>
        <v>1.150143441379108</v>
      </c>
      <c r="L85">
        <f>1/(COUNT(SimData!$C$9:$C$108)-1)+$L$84</f>
        <v>0.7979797979797969</v>
      </c>
    </row>
    <row r="86" spans="1:12" ht="12.75">
      <c r="A86">
        <v>78</v>
      </c>
      <c r="B86">
        <v>0</v>
      </c>
      <c r="C86">
        <v>0.9680423366909041</v>
      </c>
      <c r="K86">
        <f>SMALL(SimData!$C$9:$C$108,81)</f>
        <v>1.1591468648569159</v>
      </c>
      <c r="L86">
        <f>1/(COUNT(SimData!$C$9:$C$108)-1)+$L$85</f>
        <v>0.808080808080807</v>
      </c>
    </row>
    <row r="87" spans="1:12" ht="12.75">
      <c r="A87">
        <v>79</v>
      </c>
      <c r="B87">
        <v>0</v>
      </c>
      <c r="C87">
        <v>0.9910717059935682</v>
      </c>
      <c r="K87">
        <f>SMALL(SimData!$C$9:$C$108,82)</f>
        <v>1.1594712982117514</v>
      </c>
      <c r="L87">
        <f>1/(COUNT(SimData!$C$9:$C$108)-1)+$L$86</f>
        <v>0.818181818181817</v>
      </c>
    </row>
    <row r="88" spans="1:12" ht="12.75">
      <c r="A88">
        <v>80</v>
      </c>
      <c r="B88">
        <v>-9.999999992515995E-07</v>
      </c>
      <c r="C88">
        <v>0.93763507234462</v>
      </c>
      <c r="K88">
        <f>SMALL(SimData!$C$9:$C$108,83)</f>
        <v>1.1826158794496826</v>
      </c>
      <c r="L88">
        <f>1/(COUNT(SimData!$C$9:$C$108)-1)+$L$87</f>
        <v>0.8282828282828271</v>
      </c>
    </row>
    <row r="89" spans="1:12" ht="12.75">
      <c r="A89">
        <v>81</v>
      </c>
      <c r="B89">
        <v>0</v>
      </c>
      <c r="C89">
        <v>0.9101569910853442</v>
      </c>
      <c r="K89">
        <f>SMALL(SimData!$C$9:$C$108,84)</f>
        <v>1.1907782293921985</v>
      </c>
      <c r="L89">
        <f>1/(COUNT(SimData!$C$9:$C$108)-1)+$L$88</f>
        <v>0.8383838383838371</v>
      </c>
    </row>
    <row r="90" spans="1:12" ht="12.75">
      <c r="A90">
        <v>82</v>
      </c>
      <c r="B90">
        <v>0</v>
      </c>
      <c r="C90">
        <v>0.7675294957176263</v>
      </c>
      <c r="K90">
        <f>SMALL(SimData!$C$9:$C$108,85)</f>
        <v>1.1915551319181032</v>
      </c>
      <c r="L90">
        <f>1/(COUNT(SimData!$C$9:$C$108)-1)+$L$89</f>
        <v>0.8484848484848472</v>
      </c>
    </row>
    <row r="91" spans="1:12" ht="12.75">
      <c r="A91">
        <v>83</v>
      </c>
      <c r="B91">
        <v>9.999999992515995E-07</v>
      </c>
      <c r="C91">
        <v>1.1826158794496826</v>
      </c>
      <c r="K91">
        <f>SMALL(SimData!$C$9:$C$108,86)</f>
        <v>1.2043894605236183</v>
      </c>
      <c r="L91">
        <f>1/(COUNT(SimData!$C$9:$C$108)-1)+$L$90</f>
        <v>0.8585858585858572</v>
      </c>
    </row>
    <row r="92" spans="1:12" ht="12.75">
      <c r="A92">
        <v>84</v>
      </c>
      <c r="B92">
        <v>0</v>
      </c>
      <c r="C92">
        <v>0.9619344945096113</v>
      </c>
      <c r="K92">
        <f>SMALL(SimData!$C$9:$C$108,87)</f>
        <v>1.2046097038602923</v>
      </c>
      <c r="L92">
        <f>1/(COUNT(SimData!$C$9:$C$108)-1)+$L$91</f>
        <v>0.8686868686868673</v>
      </c>
    </row>
    <row r="93" spans="1:12" ht="12.75">
      <c r="A93">
        <v>85</v>
      </c>
      <c r="B93">
        <v>0</v>
      </c>
      <c r="C93">
        <v>1.0089259960410253</v>
      </c>
      <c r="K93">
        <f>SMALL(SimData!$C$9:$C$108,88)</f>
        <v>1.2159334363327723</v>
      </c>
      <c r="L93">
        <f>1/(COUNT(SimData!$C$9:$C$108)-1)+$L$92</f>
        <v>0.8787878787878773</v>
      </c>
    </row>
    <row r="94" spans="1:12" ht="12.75">
      <c r="A94">
        <v>86</v>
      </c>
      <c r="B94">
        <v>0</v>
      </c>
      <c r="C94">
        <v>1.0905344413498357</v>
      </c>
      <c r="K94">
        <f>SMALL(SimData!$C$9:$C$108,89)</f>
        <v>1.261285861163897</v>
      </c>
      <c r="L94">
        <f>1/(COUNT(SimData!$C$9:$C$108)-1)+$L$93</f>
        <v>0.8888888888888874</v>
      </c>
    </row>
    <row r="95" spans="1:12" ht="12.75">
      <c r="A95">
        <v>87</v>
      </c>
      <c r="B95">
        <v>0</v>
      </c>
      <c r="C95">
        <v>0.9659429475603665</v>
      </c>
      <c r="K95">
        <f>SMALL(SimData!$C$9:$C$108,90)</f>
        <v>1.2634111013399085</v>
      </c>
      <c r="L95">
        <f>1/(COUNT(SimData!$C$9:$C$108)-1)+$L$94</f>
        <v>0.8989898989898975</v>
      </c>
    </row>
    <row r="96" spans="1:12" ht="12.75">
      <c r="A96">
        <v>88</v>
      </c>
      <c r="B96">
        <v>-9.999999992515995E-07</v>
      </c>
      <c r="C96">
        <v>0.9627904038592378</v>
      </c>
      <c r="K96">
        <f>SMALL(SimData!$C$9:$C$108,91)</f>
        <v>1.327848306598895</v>
      </c>
      <c r="L96">
        <f>1/(COUNT(SimData!$C$9:$C$108)-1)+$L$95</f>
        <v>0.9090909090909075</v>
      </c>
    </row>
    <row r="97" spans="1:12" ht="12.75">
      <c r="A97">
        <v>89</v>
      </c>
      <c r="B97">
        <v>0</v>
      </c>
      <c r="C97">
        <v>1.1341293950474287</v>
      </c>
      <c r="K97">
        <f>SMALL(SimData!$C$9:$C$108,92)</f>
        <v>1.3346464353620962</v>
      </c>
      <c r="L97">
        <f>1/(COUNT(SimData!$C$9:$C$108)-1)+$L$96</f>
        <v>0.9191919191919176</v>
      </c>
    </row>
    <row r="98" spans="1:12" ht="12.75">
      <c r="A98">
        <v>90</v>
      </c>
      <c r="B98">
        <v>0</v>
      </c>
      <c r="C98">
        <v>1.2043894605236183</v>
      </c>
      <c r="K98">
        <f>SMALL(SimData!$C$9:$C$108,93)</f>
        <v>1.3391012257036117</v>
      </c>
      <c r="L98">
        <f>1/(COUNT(SimData!$C$9:$C$108)-1)+$L$97</f>
        <v>0.9292929292929276</v>
      </c>
    </row>
    <row r="99" spans="1:12" ht="12.75">
      <c r="A99">
        <v>91</v>
      </c>
      <c r="B99">
        <v>0</v>
      </c>
      <c r="C99">
        <v>0.5131833883413355</v>
      </c>
      <c r="K99">
        <f>SMALL(SimData!$C$9:$C$108,94)</f>
        <v>1.356029342333078</v>
      </c>
      <c r="L99">
        <f>1/(COUNT(SimData!$C$9:$C$108)-1)+$L$98</f>
        <v>0.9393939393939377</v>
      </c>
    </row>
    <row r="100" spans="1:12" ht="12.75">
      <c r="A100">
        <v>92</v>
      </c>
      <c r="B100">
        <v>0</v>
      </c>
      <c r="C100">
        <v>1.0836306968586669</v>
      </c>
      <c r="K100">
        <f>SMALL(SimData!$C$9:$C$108,95)</f>
        <v>1.3794415059480412</v>
      </c>
      <c r="L100">
        <f>1/(COUNT(SimData!$C$9:$C$108)-1)+$L$99</f>
        <v>0.9494949494949477</v>
      </c>
    </row>
    <row r="101" spans="1:12" ht="12.75">
      <c r="A101">
        <v>93</v>
      </c>
      <c r="B101">
        <v>9.999999974752427E-07</v>
      </c>
      <c r="C101">
        <v>1.096766590840945</v>
      </c>
      <c r="K101">
        <f>SMALL(SimData!$C$9:$C$108,96)</f>
        <v>1.439867872859419</v>
      </c>
      <c r="L101">
        <f>1/(COUNT(SimData!$C$9:$C$108)-1)+$L$100</f>
        <v>0.9595959595959578</v>
      </c>
    </row>
    <row r="102" spans="1:12" ht="12.75">
      <c r="A102">
        <v>94</v>
      </c>
      <c r="B102">
        <v>0</v>
      </c>
      <c r="C102">
        <v>1.0387220844999057</v>
      </c>
      <c r="K102">
        <f>SMALL(SimData!$C$9:$C$108,97)</f>
        <v>1.4443255229786902</v>
      </c>
      <c r="L102">
        <f>1/(COUNT(SimData!$C$9:$C$108)-1)+$L$101</f>
        <v>0.9696969696969678</v>
      </c>
    </row>
    <row r="103" spans="1:12" ht="12.75">
      <c r="A103">
        <v>95</v>
      </c>
      <c r="B103">
        <v>0</v>
      </c>
      <c r="C103">
        <v>0.9222337040277968</v>
      </c>
      <c r="K103">
        <f>SMALL(SimData!$C$9:$C$108,98)</f>
        <v>1.4588304077075058</v>
      </c>
      <c r="L103">
        <f>1/(COUNT(SimData!$C$9:$C$108)-1)+$L$102</f>
        <v>0.9797979797979779</v>
      </c>
    </row>
    <row r="104" spans="1:12" ht="12.75">
      <c r="A104">
        <v>96</v>
      </c>
      <c r="B104">
        <v>0</v>
      </c>
      <c r="C104">
        <v>1.1413932675036211</v>
      </c>
      <c r="K104">
        <f>SMALL(SimData!$C$9:$C$108,99)</f>
        <v>1.5393913284323186</v>
      </c>
      <c r="L104">
        <f>1/(COUNT(SimData!$C$9:$C$108)-1)+$L$103</f>
        <v>0.989898989898988</v>
      </c>
    </row>
    <row r="105" spans="1:12" ht="12.75">
      <c r="A105">
        <v>97</v>
      </c>
      <c r="B105">
        <v>0</v>
      </c>
      <c r="C105">
        <v>0.34688061283443006</v>
      </c>
      <c r="K105">
        <f>SMALL(SimData!$C$9:$C$108,100)</f>
        <v>1.6693110997755594</v>
      </c>
      <c r="L105">
        <f>1/(COUNT(SimData!$C$9:$C$108)-1)+$L$104</f>
        <v>0.999999999999998</v>
      </c>
    </row>
    <row r="106" spans="1:3" ht="12.75">
      <c r="A106">
        <v>98</v>
      </c>
      <c r="B106">
        <v>9.999999992515995E-07</v>
      </c>
      <c r="C106">
        <v>0.5987098958999583</v>
      </c>
    </row>
    <row r="107" spans="1:3" ht="12.75">
      <c r="A107">
        <v>99</v>
      </c>
      <c r="B107">
        <v>9.999999992515995E-07</v>
      </c>
      <c r="C107">
        <v>1.5393913284323186</v>
      </c>
    </row>
    <row r="108" spans="1:3" ht="12.75">
      <c r="A108">
        <v>100</v>
      </c>
      <c r="B108">
        <v>0</v>
      </c>
      <c r="C108">
        <v>1.3794415059480412</v>
      </c>
    </row>
    <row r="110" ht="12.75">
      <c r="A110" t="s">
        <v>15</v>
      </c>
    </row>
    <row r="111" spans="1:3" ht="12.75">
      <c r="A111" t="s">
        <v>16</v>
      </c>
      <c r="B111">
        <f>IF(ISBLANK($B110)=TRUE,"",_XLL.EDF(B9:B108,$B110))</f>
      </c>
      <c r="C111">
        <f>IF(ISBLANK($C110)=TRUE,"",_XLL.EDF(C9:C108,$C110))</f>
      </c>
    </row>
    <row r="112" ht="12.75">
      <c r="A112" t="s">
        <v>17</v>
      </c>
    </row>
    <row r="113" spans="1:3" ht="12.75">
      <c r="A113" t="s">
        <v>18</v>
      </c>
      <c r="B113">
        <f>IF(ISBLANK($B112)=TRUE,"",_XLL.EDF(B9:B108,$B112))</f>
      </c>
      <c r="C113">
        <f>IF(ISBLANK($C112)=TRUE,"",_XLL.EDF(C9:C108,$C112))</f>
      </c>
    </row>
    <row r="114" ht="12.75">
      <c r="A114" t="s">
        <v>19</v>
      </c>
    </row>
    <row r="115" spans="1:3" ht="12.75">
      <c r="A115" t="s">
        <v>20</v>
      </c>
      <c r="B115">
        <f>IF(ISBLANK($B114)=TRUE,"",_XLL.EDF(B9:B108,$B114))</f>
      </c>
      <c r="C115">
        <f>IF(ISBLANK($C114)=TRUE,"",_XLL.EDF(C9:C108,$C114))</f>
      </c>
    </row>
    <row r="116" ht="12.75">
      <c r="A116" t="s">
        <v>21</v>
      </c>
    </row>
    <row r="117" spans="1:3" ht="12.75">
      <c r="A117" t="s">
        <v>22</v>
      </c>
      <c r="B117">
        <f>IF(ISBLANK($B116)=TRUE,"",_XLL.EDF(B9:B108,$B116))</f>
      </c>
      <c r="C117">
        <f>IF(ISBLANK($C116)=TRUE,"",_XLL.EDF(C9:C108,$C116))</f>
      </c>
    </row>
    <row r="118" ht="12.75">
      <c r="A118" t="s">
        <v>23</v>
      </c>
    </row>
    <row r="119" spans="1:3" ht="12.75">
      <c r="A119" t="s">
        <v>24</v>
      </c>
      <c r="B119">
        <f>IF(ISBLANK($B118)=TRUE,"",_XLL.EDF(B9:B108,$B118))</f>
      </c>
      <c r="C119">
        <f>IF(ISBLANK($C118)=TRUE,"",_XLL.EDF(C9:C108,$C118))</f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&amp; Food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Person</cp:lastModifiedBy>
  <cp:lastPrinted>2007-11-11T16:35:44Z</cp:lastPrinted>
  <dcterms:created xsi:type="dcterms:W3CDTF">2003-12-01T14:17:54Z</dcterms:created>
  <dcterms:modified xsi:type="dcterms:W3CDTF">2016-12-06T21:58:13Z</dcterms:modified>
  <cp:category/>
  <cp:version/>
  <cp:contentType/>
  <cp:contentStatus/>
</cp:coreProperties>
</file>