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85" yWindow="120" windowWidth="16125" windowHeight="8850" activeTab="2"/>
  </bookViews>
  <sheets>
    <sheet name="Gen 1" sheetId="1" r:id="rId1"/>
    <sheet name="Gen 2" sheetId="2" r:id="rId2"/>
    <sheet name="SimData 2" sheetId="5" r:id="rId3"/>
  </sheets>
  <definedNames>
    <definedName name="_xlnm.Print_Area" localSheetId="0">'Gen 1'!$A$1:$H$125</definedName>
    <definedName name="_xlnm.Print_Area" localSheetId="1">'Gen 2'!$A$1:$I$28</definedName>
    <definedName name="_xlnm.Print_Area" localSheetId="2">'SimData 2'!$A$1:$Q$33</definedName>
  </definedNames>
  <calcPr calcId="145621"/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H14" i="1"/>
  <c r="T5" i="5"/>
  <c r="T4" i="5"/>
  <c r="T12" i="5" s="1"/>
  <c r="T10" i="5"/>
  <c r="H8" i="5"/>
  <c r="Q5" i="5"/>
  <c r="Q6" i="5" s="1"/>
  <c r="Q7" i="5" s="1"/>
  <c r="Q8" i="5" s="1"/>
  <c r="Q9" i="5" s="1"/>
  <c r="Q10" i="5" s="1"/>
  <c r="Q11" i="5" s="1"/>
  <c r="Q12" i="5" s="1"/>
  <c r="Q13" i="5" s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Q35" i="5" s="1"/>
  <c r="Q36" i="5" s="1"/>
  <c r="Q37" i="5" s="1"/>
  <c r="Q38" i="5" s="1"/>
  <c r="Q39" i="5" s="1"/>
  <c r="Q40" i="5" s="1"/>
  <c r="Q41" i="5" s="1"/>
  <c r="Q42" i="5" s="1"/>
  <c r="Q43" i="5" s="1"/>
  <c r="Q44" i="5" s="1"/>
  <c r="Q45" i="5" s="1"/>
  <c r="Q46" i="5" s="1"/>
  <c r="Q47" i="5" s="1"/>
  <c r="Q48" i="5" s="1"/>
  <c r="Q49" i="5" s="1"/>
  <c r="Q50" i="5" s="1"/>
  <c r="Q51" i="5" s="1"/>
  <c r="Q52" i="5" s="1"/>
  <c r="Q53" i="5" s="1"/>
  <c r="Q54" i="5" s="1"/>
  <c r="Q55" i="5" s="1"/>
  <c r="Q56" i="5" s="1"/>
  <c r="Q57" i="5" s="1"/>
  <c r="Q58" i="5" s="1"/>
  <c r="Q59" i="5" s="1"/>
  <c r="Q60" i="5" s="1"/>
  <c r="Q61" i="5" s="1"/>
  <c r="Q62" i="5" s="1"/>
  <c r="Q63" i="5" s="1"/>
  <c r="Q64" i="5" s="1"/>
  <c r="Q65" i="5" s="1"/>
  <c r="Q66" i="5" s="1"/>
  <c r="Q67" i="5" s="1"/>
  <c r="Q68" i="5" s="1"/>
  <c r="Q69" i="5" s="1"/>
  <c r="Q70" i="5" s="1"/>
  <c r="Q71" i="5" s="1"/>
  <c r="Q72" i="5" s="1"/>
  <c r="Q73" i="5" s="1"/>
  <c r="Q74" i="5" s="1"/>
  <c r="Q75" i="5" s="1"/>
  <c r="Q76" i="5" s="1"/>
  <c r="Q77" i="5" s="1"/>
  <c r="Q78" i="5" s="1"/>
  <c r="Q79" i="5" s="1"/>
  <c r="Q80" i="5" s="1"/>
  <c r="Q81" i="5" s="1"/>
  <c r="Q82" i="5" s="1"/>
  <c r="Q83" i="5" s="1"/>
  <c r="Q84" i="5" s="1"/>
  <c r="Q85" i="5" s="1"/>
  <c r="Q86" i="5" s="1"/>
  <c r="Q87" i="5" s="1"/>
  <c r="Q88" i="5" s="1"/>
  <c r="Q89" i="5" s="1"/>
  <c r="Q90" i="5" s="1"/>
  <c r="Q91" i="5" s="1"/>
  <c r="Q92" i="5" s="1"/>
  <c r="Q93" i="5" s="1"/>
  <c r="Q94" i="5" s="1"/>
  <c r="Q95" i="5" s="1"/>
  <c r="Q96" i="5" s="1"/>
  <c r="Q97" i="5" s="1"/>
  <c r="Q98" i="5" s="1"/>
  <c r="Q99" i="5" s="1"/>
  <c r="Q100" i="5" s="1"/>
  <c r="Q101" i="5" s="1"/>
  <c r="Q102" i="5" s="1"/>
  <c r="Q103" i="5" s="1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H119" i="5"/>
  <c r="H117" i="5"/>
  <c r="H115" i="5"/>
  <c r="H113" i="5"/>
  <c r="H111" i="5"/>
  <c r="H7" i="5"/>
  <c r="H6" i="5"/>
  <c r="H4" i="5"/>
  <c r="H5" i="5" s="1"/>
  <c r="H3" i="5"/>
  <c r="G119" i="5"/>
  <c r="G117" i="5"/>
  <c r="G115" i="5"/>
  <c r="G113" i="5"/>
  <c r="G111" i="5"/>
  <c r="G8" i="5"/>
  <c r="G7" i="5"/>
  <c r="G6" i="5"/>
  <c r="G4" i="5"/>
  <c r="G3" i="5"/>
  <c r="F119" i="5"/>
  <c r="F117" i="5"/>
  <c r="F115" i="5"/>
  <c r="F113" i="5"/>
  <c r="F111" i="5"/>
  <c r="F8" i="5"/>
  <c r="F7" i="5"/>
  <c r="F6" i="5"/>
  <c r="F4" i="5"/>
  <c r="F3" i="5"/>
  <c r="E119" i="5"/>
  <c r="E117" i="5"/>
  <c r="E115" i="5"/>
  <c r="E113" i="5"/>
  <c r="E111" i="5"/>
  <c r="E8" i="5"/>
  <c r="E7" i="5"/>
  <c r="E6" i="5"/>
  <c r="E4" i="5"/>
  <c r="E3" i="5"/>
  <c r="D119" i="5"/>
  <c r="D117" i="5"/>
  <c r="D115" i="5"/>
  <c r="D113" i="5"/>
  <c r="D111" i="5"/>
  <c r="D8" i="5"/>
  <c r="D7" i="5"/>
  <c r="D6" i="5"/>
  <c r="D4" i="5"/>
  <c r="D5" i="5" s="1"/>
  <c r="D3" i="5"/>
  <c r="C119" i="5"/>
  <c r="C117" i="5"/>
  <c r="C115" i="5"/>
  <c r="C113" i="5"/>
  <c r="C111" i="5"/>
  <c r="C8" i="5"/>
  <c r="C7" i="5"/>
  <c r="C6" i="5"/>
  <c r="C4" i="5"/>
  <c r="C3" i="5"/>
  <c r="C5" i="5"/>
  <c r="B119" i="5"/>
  <c r="B117" i="5"/>
  <c r="B115" i="5"/>
  <c r="B113" i="5"/>
  <c r="B111" i="5"/>
  <c r="B8" i="5"/>
  <c r="B7" i="5"/>
  <c r="B6" i="5"/>
  <c r="B4" i="5"/>
  <c r="B3" i="5"/>
  <c r="B5" i="5" s="1"/>
  <c r="B14" i="2"/>
  <c r="C14" i="1"/>
  <c r="C115" i="1" s="1"/>
  <c r="D14" i="1"/>
  <c r="D115" i="1" s="1"/>
  <c r="E14" i="1"/>
  <c r="E115" i="1" s="1"/>
  <c r="F14" i="1"/>
  <c r="F115" i="1" s="1"/>
  <c r="G14" i="1"/>
  <c r="G115" i="1" s="1"/>
  <c r="B14" i="1"/>
  <c r="B115" i="1" s="1"/>
  <c r="E116" i="1"/>
  <c r="P15" i="1"/>
  <c r="B15" i="1"/>
  <c r="B31" i="1"/>
  <c r="B47" i="1"/>
  <c r="B63" i="1"/>
  <c r="B79" i="1"/>
  <c r="B95" i="1"/>
  <c r="B111" i="1"/>
  <c r="C23" i="1"/>
  <c r="C39" i="1"/>
  <c r="C55" i="1"/>
  <c r="C71" i="1"/>
  <c r="C87" i="1"/>
  <c r="C103" i="1"/>
  <c r="B11" i="2"/>
  <c r="B12" i="1"/>
  <c r="B25" i="1"/>
  <c r="B41" i="1"/>
  <c r="B57" i="1"/>
  <c r="B73" i="1"/>
  <c r="B89" i="1"/>
  <c r="B105" i="1"/>
  <c r="C17" i="1"/>
  <c r="C33" i="1"/>
  <c r="C49" i="1"/>
  <c r="C65" i="1"/>
  <c r="C81" i="1"/>
  <c r="C97" i="1"/>
  <c r="C113" i="1"/>
  <c r="C2" i="5"/>
  <c r="B20" i="1"/>
  <c r="B52" i="1"/>
  <c r="B84" i="1"/>
  <c r="C14" i="2"/>
  <c r="C44" i="1"/>
  <c r="C76" i="1"/>
  <c r="C108" i="1"/>
  <c r="B18" i="1"/>
  <c r="B62" i="1"/>
  <c r="B104" i="1"/>
  <c r="C42" i="1"/>
  <c r="C86" i="1"/>
  <c r="H2" i="5"/>
  <c r="B34" i="1"/>
  <c r="B78" i="1"/>
  <c r="C16" i="1"/>
  <c r="C58" i="1"/>
  <c r="C102" i="1"/>
  <c r="B26" i="1"/>
  <c r="B112" i="1"/>
  <c r="C94" i="1"/>
  <c r="B54" i="1"/>
  <c r="C34" i="1"/>
  <c r="A1" i="2"/>
  <c r="B102" i="1"/>
  <c r="B22" i="1"/>
  <c r="C88" i="1"/>
  <c r="C18" i="1"/>
  <c r="B86" i="1"/>
  <c r="C56" i="1"/>
  <c r="C40" i="1"/>
  <c r="F2" i="5"/>
  <c r="B106" i="1"/>
  <c r="C66" i="1"/>
  <c r="B32" i="1"/>
  <c r="C98" i="1"/>
  <c r="B80" i="1"/>
  <c r="C110" i="1"/>
  <c r="B19" i="1"/>
  <c r="B35" i="1"/>
  <c r="B51" i="1"/>
  <c r="B67" i="1"/>
  <c r="B83" i="1"/>
  <c r="B99" i="1"/>
  <c r="C12" i="2"/>
  <c r="C27" i="1"/>
  <c r="C43" i="1"/>
  <c r="C59" i="1"/>
  <c r="C75" i="1"/>
  <c r="C91" i="1"/>
  <c r="C107" i="1"/>
  <c r="E2" i="5"/>
  <c r="C15" i="2"/>
  <c r="B29" i="1"/>
  <c r="B45" i="1"/>
  <c r="B61" i="1"/>
  <c r="B77" i="1"/>
  <c r="B93" i="1"/>
  <c r="B109" i="1"/>
  <c r="C21" i="1"/>
  <c r="C37" i="1"/>
  <c r="C53" i="1"/>
  <c r="C69" i="1"/>
  <c r="C85" i="1"/>
  <c r="C101" i="1"/>
  <c r="A2" i="1"/>
  <c r="B28" i="1"/>
  <c r="B60" i="1"/>
  <c r="B92" i="1"/>
  <c r="C20" i="1"/>
  <c r="C52" i="1"/>
  <c r="C84" i="1"/>
  <c r="T11" i="5"/>
  <c r="B30" i="1"/>
  <c r="B72" i="1"/>
  <c r="B114" i="1"/>
  <c r="C54" i="1"/>
  <c r="C96" i="1"/>
  <c r="D12" i="1"/>
  <c r="B46" i="1"/>
  <c r="B88" i="1"/>
  <c r="C26" i="1"/>
  <c r="C70" i="1"/>
  <c r="C112" i="1"/>
  <c r="B48" i="1"/>
  <c r="C30" i="1"/>
  <c r="C114" i="1"/>
  <c r="B74" i="1"/>
  <c r="G12" i="1"/>
  <c r="B64" i="1"/>
  <c r="C62" i="1"/>
  <c r="C24" i="1"/>
  <c r="B38" i="1"/>
  <c r="B90" i="1"/>
  <c r="C11" i="2"/>
  <c r="C46" i="1"/>
  <c r="B42" i="1"/>
  <c r="B23" i="1"/>
  <c r="B39" i="1"/>
  <c r="B55" i="1"/>
  <c r="B71" i="1"/>
  <c r="B87" i="1"/>
  <c r="B103" i="1"/>
  <c r="C15" i="1"/>
  <c r="C31" i="1"/>
  <c r="C47" i="1"/>
  <c r="C63" i="1"/>
  <c r="C79" i="1"/>
  <c r="C95" i="1"/>
  <c r="C111" i="1"/>
  <c r="B12" i="2"/>
  <c r="B17" i="1"/>
  <c r="B33" i="1"/>
  <c r="B49" i="1"/>
  <c r="B65" i="1"/>
  <c r="B81" i="1"/>
  <c r="B97" i="1"/>
  <c r="B113" i="1"/>
  <c r="C25" i="1"/>
  <c r="C41" i="1"/>
  <c r="C57" i="1"/>
  <c r="C73" i="1"/>
  <c r="C89" i="1"/>
  <c r="C105" i="1"/>
  <c r="A1" i="1"/>
  <c r="C13" i="1"/>
  <c r="B36" i="1"/>
  <c r="B68" i="1"/>
  <c r="B100" i="1"/>
  <c r="C28" i="1"/>
  <c r="C60" i="1"/>
  <c r="C92" i="1"/>
  <c r="D2" i="5"/>
  <c r="B40" i="1"/>
  <c r="B82" i="1"/>
  <c r="C22" i="1"/>
  <c r="C64" i="1"/>
  <c r="C106" i="1"/>
  <c r="C17" i="2"/>
  <c r="B56" i="1"/>
  <c r="B98" i="1"/>
  <c r="C38" i="1"/>
  <c r="C80" i="1"/>
  <c r="E12" i="1"/>
  <c r="B70" i="1"/>
  <c r="C50" i="1"/>
  <c r="A2" i="2"/>
  <c r="B96" i="1"/>
  <c r="C78" i="1"/>
  <c r="B16" i="1"/>
  <c r="C82" i="1"/>
  <c r="C104" i="1"/>
  <c r="C72" i="1"/>
  <c r="T9" i="5"/>
  <c r="B27" i="1"/>
  <c r="B43" i="1"/>
  <c r="B59" i="1"/>
  <c r="B75" i="1"/>
  <c r="B91" i="1"/>
  <c r="B107" i="1"/>
  <c r="C19" i="1"/>
  <c r="C35" i="1"/>
  <c r="C51" i="1"/>
  <c r="C67" i="1"/>
  <c r="C83" i="1"/>
  <c r="C99" i="1"/>
  <c r="T6" i="5"/>
  <c r="U12" i="5" s="1"/>
  <c r="F12" i="1"/>
  <c r="B21" i="1"/>
  <c r="B37" i="1"/>
  <c r="B53" i="1"/>
  <c r="B69" i="1"/>
  <c r="B85" i="1"/>
  <c r="B101" i="1"/>
  <c r="C16" i="2"/>
  <c r="C29" i="1"/>
  <c r="C45" i="1"/>
  <c r="C61" i="1"/>
  <c r="C77" i="1"/>
  <c r="C93" i="1"/>
  <c r="C109" i="1"/>
  <c r="G2" i="5"/>
  <c r="C13" i="2"/>
  <c r="B44" i="1"/>
  <c r="B76" i="1"/>
  <c r="B108" i="1"/>
  <c r="C36" i="1"/>
  <c r="C68" i="1"/>
  <c r="C100" i="1"/>
  <c r="H12" i="1"/>
  <c r="B50" i="1"/>
  <c r="B94" i="1"/>
  <c r="C32" i="1"/>
  <c r="C74" i="1"/>
  <c r="U10" i="5"/>
  <c r="B24" i="1"/>
  <c r="B66" i="1"/>
  <c r="B110" i="1"/>
  <c r="C48" i="1"/>
  <c r="C90" i="1"/>
  <c r="B2" i="5"/>
  <c r="B58" i="1"/>
  <c r="E5" i="5" l="1"/>
  <c r="G5" i="5"/>
  <c r="F5" i="5"/>
  <c r="D110" i="1"/>
  <c r="G110" i="1" s="1"/>
  <c r="D66" i="1"/>
  <c r="G66" i="1" s="1"/>
  <c r="D24" i="1"/>
  <c r="G24" i="1" s="1"/>
  <c r="F86" i="1"/>
  <c r="F42" i="1"/>
  <c r="D104" i="1"/>
  <c r="G104" i="1" s="1"/>
  <c r="D62" i="1"/>
  <c r="G62" i="1" s="1"/>
  <c r="D18" i="1"/>
  <c r="G18" i="1" s="1"/>
  <c r="F80" i="1"/>
  <c r="F38" i="1"/>
  <c r="D88" i="1"/>
  <c r="G88" i="1" s="1"/>
  <c r="D46" i="1"/>
  <c r="G46" i="1" s="1"/>
  <c r="F106" i="1"/>
  <c r="F64" i="1"/>
  <c r="F22" i="1"/>
  <c r="D82" i="1"/>
  <c r="G82" i="1" s="1"/>
  <c r="D40" i="1"/>
  <c r="G40" i="1" s="1"/>
  <c r="F102" i="1"/>
  <c r="F58" i="1"/>
  <c r="F16" i="1"/>
  <c r="D98" i="1"/>
  <c r="G98" i="1" s="1"/>
  <c r="D78" i="1"/>
  <c r="G78" i="1" s="1"/>
  <c r="D56" i="1"/>
  <c r="G56" i="1" s="1"/>
  <c r="D34" i="1"/>
  <c r="G34" i="1" s="1"/>
  <c r="F96" i="1"/>
  <c r="F74" i="1"/>
  <c r="F54" i="1"/>
  <c r="F32" i="1"/>
  <c r="D114" i="1"/>
  <c r="G114" i="1" s="1"/>
  <c r="D94" i="1"/>
  <c r="G94" i="1" s="1"/>
  <c r="D72" i="1"/>
  <c r="G72" i="1" s="1"/>
  <c r="D50" i="1"/>
  <c r="G50" i="1" s="1"/>
  <c r="D30" i="1"/>
  <c r="G30" i="1" s="1"/>
  <c r="F112" i="1"/>
  <c r="F90" i="1"/>
  <c r="F70" i="1"/>
  <c r="F48" i="1"/>
  <c r="F26" i="1"/>
  <c r="D112" i="1"/>
  <c r="G112" i="1" s="1"/>
  <c r="D102" i="1"/>
  <c r="G102" i="1" s="1"/>
  <c r="D90" i="1"/>
  <c r="G90" i="1" s="1"/>
  <c r="D80" i="1"/>
  <c r="G80" i="1" s="1"/>
  <c r="D70" i="1"/>
  <c r="G70" i="1" s="1"/>
  <c r="D58" i="1"/>
  <c r="G58" i="1" s="1"/>
  <c r="D48" i="1"/>
  <c r="G48" i="1" s="1"/>
  <c r="D38" i="1"/>
  <c r="G38" i="1" s="1"/>
  <c r="D26" i="1"/>
  <c r="G26" i="1" s="1"/>
  <c r="D16" i="1"/>
  <c r="G16" i="1" s="1"/>
  <c r="F110" i="1"/>
  <c r="H110" i="1" s="1"/>
  <c r="F98" i="1"/>
  <c r="F88" i="1"/>
  <c r="H88" i="1" s="1"/>
  <c r="F78" i="1"/>
  <c r="F66" i="1"/>
  <c r="F56" i="1"/>
  <c r="F46" i="1"/>
  <c r="F34" i="1"/>
  <c r="H34" i="1" s="1"/>
  <c r="F24" i="1"/>
  <c r="D106" i="1"/>
  <c r="G106" i="1" s="1"/>
  <c r="D96" i="1"/>
  <c r="G96" i="1" s="1"/>
  <c r="D86" i="1"/>
  <c r="G86" i="1" s="1"/>
  <c r="D74" i="1"/>
  <c r="G74" i="1" s="1"/>
  <c r="D64" i="1"/>
  <c r="G64" i="1" s="1"/>
  <c r="D54" i="1"/>
  <c r="G54" i="1" s="1"/>
  <c r="D42" i="1"/>
  <c r="G42" i="1" s="1"/>
  <c r="D32" i="1"/>
  <c r="G32" i="1" s="1"/>
  <c r="D22" i="1"/>
  <c r="G22" i="1" s="1"/>
  <c r="F114" i="1"/>
  <c r="F104" i="1"/>
  <c r="F94" i="1"/>
  <c r="F82" i="1"/>
  <c r="H82" i="1" s="1"/>
  <c r="F72" i="1"/>
  <c r="H72" i="1" s="1"/>
  <c r="F62" i="1"/>
  <c r="F50" i="1"/>
  <c r="F40" i="1"/>
  <c r="F30" i="1"/>
  <c r="F18" i="1"/>
  <c r="H18" i="1" s="1"/>
  <c r="D108" i="1"/>
  <c r="G108" i="1" s="1"/>
  <c r="D100" i="1"/>
  <c r="G100" i="1" s="1"/>
  <c r="D92" i="1"/>
  <c r="G92" i="1" s="1"/>
  <c r="D84" i="1"/>
  <c r="G84" i="1" s="1"/>
  <c r="D76" i="1"/>
  <c r="G76" i="1" s="1"/>
  <c r="D68" i="1"/>
  <c r="G68" i="1" s="1"/>
  <c r="D60" i="1"/>
  <c r="G60" i="1" s="1"/>
  <c r="D52" i="1"/>
  <c r="G52" i="1" s="1"/>
  <c r="D44" i="1"/>
  <c r="G44" i="1" s="1"/>
  <c r="D36" i="1"/>
  <c r="G36" i="1" s="1"/>
  <c r="D28" i="1"/>
  <c r="G28" i="1" s="1"/>
  <c r="D20" i="1"/>
  <c r="G20" i="1" s="1"/>
  <c r="F108" i="1"/>
  <c r="H108" i="1" s="1"/>
  <c r="F100" i="1"/>
  <c r="H100" i="1" s="1"/>
  <c r="F92" i="1"/>
  <c r="H92" i="1" s="1"/>
  <c r="F84" i="1"/>
  <c r="H84" i="1" s="1"/>
  <c r="F76" i="1"/>
  <c r="H76" i="1" s="1"/>
  <c r="F68" i="1"/>
  <c r="H68" i="1" s="1"/>
  <c r="F60" i="1"/>
  <c r="H60" i="1" s="1"/>
  <c r="F52" i="1"/>
  <c r="H52" i="1" s="1"/>
  <c r="F44" i="1"/>
  <c r="H44" i="1" s="1"/>
  <c r="F36" i="1"/>
  <c r="H36" i="1" s="1"/>
  <c r="F28" i="1"/>
  <c r="H28" i="1" s="1"/>
  <c r="F20" i="1"/>
  <c r="H20" i="1" s="1"/>
  <c r="D113" i="1"/>
  <c r="G113" i="1" s="1"/>
  <c r="D109" i="1"/>
  <c r="G109" i="1" s="1"/>
  <c r="D105" i="1"/>
  <c r="G105" i="1" s="1"/>
  <c r="D101" i="1"/>
  <c r="G101" i="1" s="1"/>
  <c r="D97" i="1"/>
  <c r="G97" i="1" s="1"/>
  <c r="D93" i="1"/>
  <c r="G93" i="1" s="1"/>
  <c r="D89" i="1"/>
  <c r="G89" i="1" s="1"/>
  <c r="D85" i="1"/>
  <c r="G85" i="1" s="1"/>
  <c r="D81" i="1"/>
  <c r="G81" i="1" s="1"/>
  <c r="D77" i="1"/>
  <c r="G77" i="1" s="1"/>
  <c r="D73" i="1"/>
  <c r="G73" i="1" s="1"/>
  <c r="D69" i="1"/>
  <c r="G69" i="1" s="1"/>
  <c r="D65" i="1"/>
  <c r="G65" i="1" s="1"/>
  <c r="D61" i="1"/>
  <c r="G61" i="1" s="1"/>
  <c r="D57" i="1"/>
  <c r="G57" i="1" s="1"/>
  <c r="D53" i="1"/>
  <c r="G53" i="1" s="1"/>
  <c r="D49" i="1"/>
  <c r="G49" i="1" s="1"/>
  <c r="D45" i="1"/>
  <c r="G45" i="1" s="1"/>
  <c r="D41" i="1"/>
  <c r="G41" i="1" s="1"/>
  <c r="D37" i="1"/>
  <c r="G37" i="1" s="1"/>
  <c r="D33" i="1"/>
  <c r="G33" i="1" s="1"/>
  <c r="D29" i="1"/>
  <c r="G29" i="1" s="1"/>
  <c r="D25" i="1"/>
  <c r="G25" i="1" s="1"/>
  <c r="D21" i="1"/>
  <c r="G21" i="1" s="1"/>
  <c r="D17" i="1"/>
  <c r="G17" i="1" s="1"/>
  <c r="F113" i="1"/>
  <c r="F109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B13" i="2"/>
  <c r="B16" i="2" s="1"/>
  <c r="B15" i="2"/>
  <c r="D111" i="1"/>
  <c r="G111" i="1" s="1"/>
  <c r="D107" i="1"/>
  <c r="G107" i="1" s="1"/>
  <c r="D103" i="1"/>
  <c r="G103" i="1" s="1"/>
  <c r="D99" i="1"/>
  <c r="G99" i="1" s="1"/>
  <c r="D95" i="1"/>
  <c r="G95" i="1" s="1"/>
  <c r="D91" i="1"/>
  <c r="G91" i="1" s="1"/>
  <c r="D87" i="1"/>
  <c r="G87" i="1" s="1"/>
  <c r="D83" i="1"/>
  <c r="G83" i="1" s="1"/>
  <c r="D79" i="1"/>
  <c r="G79" i="1" s="1"/>
  <c r="D75" i="1"/>
  <c r="G75" i="1" s="1"/>
  <c r="D71" i="1"/>
  <c r="G71" i="1" s="1"/>
  <c r="D67" i="1"/>
  <c r="G67" i="1" s="1"/>
  <c r="D63" i="1"/>
  <c r="G63" i="1" s="1"/>
  <c r="D59" i="1"/>
  <c r="G59" i="1" s="1"/>
  <c r="D55" i="1"/>
  <c r="G55" i="1" s="1"/>
  <c r="D51" i="1"/>
  <c r="G51" i="1" s="1"/>
  <c r="D47" i="1"/>
  <c r="G47" i="1" s="1"/>
  <c r="D43" i="1"/>
  <c r="G43" i="1" s="1"/>
  <c r="D39" i="1"/>
  <c r="G39" i="1" s="1"/>
  <c r="D35" i="1"/>
  <c r="G35" i="1" s="1"/>
  <c r="D31" i="1"/>
  <c r="G31" i="1" s="1"/>
  <c r="D27" i="1"/>
  <c r="G27" i="1" s="1"/>
  <c r="D23" i="1"/>
  <c r="G23" i="1" s="1"/>
  <c r="D19" i="1"/>
  <c r="G19" i="1" s="1"/>
  <c r="C116" i="1"/>
  <c r="C121" i="1"/>
  <c r="D15" i="1"/>
  <c r="C117" i="1"/>
  <c r="C123" i="1"/>
  <c r="C122" i="1"/>
  <c r="F111" i="1"/>
  <c r="F107" i="1"/>
  <c r="F103" i="1"/>
  <c r="F99" i="1"/>
  <c r="H99" i="1" s="1"/>
  <c r="F95" i="1"/>
  <c r="F91" i="1"/>
  <c r="F87" i="1"/>
  <c r="F83" i="1"/>
  <c r="H83" i="1" s="1"/>
  <c r="F79" i="1"/>
  <c r="F75" i="1"/>
  <c r="F71" i="1"/>
  <c r="F67" i="1"/>
  <c r="H67" i="1" s="1"/>
  <c r="F63" i="1"/>
  <c r="F59" i="1"/>
  <c r="F55" i="1"/>
  <c r="F51" i="1"/>
  <c r="H51" i="1" s="1"/>
  <c r="F47" i="1"/>
  <c r="F43" i="1"/>
  <c r="F39" i="1"/>
  <c r="F35" i="1"/>
  <c r="H35" i="1" s="1"/>
  <c r="F31" i="1"/>
  <c r="F27" i="1"/>
  <c r="F23" i="1"/>
  <c r="F19" i="1"/>
  <c r="H19" i="1" s="1"/>
  <c r="F15" i="1"/>
  <c r="B121" i="1"/>
  <c r="B117" i="1"/>
  <c r="B123" i="1"/>
  <c r="B116" i="1"/>
  <c r="B122" i="1"/>
  <c r="T3" i="5"/>
  <c r="P3" i="5"/>
  <c r="E122" i="1"/>
  <c r="E117" i="1"/>
  <c r="E120" i="1" s="1"/>
  <c r="T13" i="5"/>
  <c r="S14" i="1"/>
  <c r="H115" i="1"/>
  <c r="E123" i="1"/>
  <c r="E121" i="1"/>
  <c r="U9" i="5"/>
  <c r="U11" i="5"/>
  <c r="U13" i="5"/>
  <c r="H21" i="1" l="1"/>
  <c r="H37" i="1"/>
  <c r="H53" i="1"/>
  <c r="H69" i="1"/>
  <c r="H85" i="1"/>
  <c r="H101" i="1"/>
  <c r="H50" i="1"/>
  <c r="H31" i="1"/>
  <c r="H47" i="1"/>
  <c r="H63" i="1"/>
  <c r="H79" i="1"/>
  <c r="H95" i="1"/>
  <c r="H111" i="1"/>
  <c r="H29" i="1"/>
  <c r="H45" i="1"/>
  <c r="H61" i="1"/>
  <c r="H77" i="1"/>
  <c r="H93" i="1"/>
  <c r="H109" i="1"/>
  <c r="H30" i="1"/>
  <c r="H114" i="1"/>
  <c r="H46" i="1"/>
  <c r="H90" i="1"/>
  <c r="H58" i="1"/>
  <c r="H22" i="1"/>
  <c r="E118" i="1"/>
  <c r="H94" i="1"/>
  <c r="H66" i="1"/>
  <c r="H27" i="1"/>
  <c r="H43" i="1"/>
  <c r="H59" i="1"/>
  <c r="H75" i="1"/>
  <c r="H91" i="1"/>
  <c r="H107" i="1"/>
  <c r="H104" i="1"/>
  <c r="H78" i="1"/>
  <c r="H106" i="1"/>
  <c r="H80" i="1"/>
  <c r="H42" i="1"/>
  <c r="B120" i="1"/>
  <c r="H23" i="1"/>
  <c r="H39" i="1"/>
  <c r="H55" i="1"/>
  <c r="H71" i="1"/>
  <c r="H87" i="1"/>
  <c r="H103" i="1"/>
  <c r="C119" i="1"/>
  <c r="C118" i="1"/>
  <c r="H24" i="1"/>
  <c r="H48" i="1"/>
  <c r="H96" i="1"/>
  <c r="C120" i="1"/>
  <c r="B17" i="2"/>
  <c r="H25" i="1"/>
  <c r="H41" i="1"/>
  <c r="H57" i="1"/>
  <c r="H73" i="1"/>
  <c r="H89" i="1"/>
  <c r="H105" i="1"/>
  <c r="H62" i="1"/>
  <c r="H70" i="1"/>
  <c r="H32" i="1"/>
  <c r="H16" i="1"/>
  <c r="H86" i="1"/>
  <c r="T14" i="5"/>
  <c r="B119" i="1"/>
  <c r="B118" i="1"/>
  <c r="F121" i="1"/>
  <c r="F117" i="1"/>
  <c r="F116" i="1"/>
  <c r="F123" i="1"/>
  <c r="F122" i="1"/>
  <c r="D117" i="1"/>
  <c r="G15" i="1"/>
  <c r="H15" i="1" s="1"/>
  <c r="D121" i="1"/>
  <c r="D123" i="1"/>
  <c r="D116" i="1"/>
  <c r="D122" i="1"/>
  <c r="H54" i="1"/>
  <c r="E119" i="1"/>
  <c r="H17" i="1"/>
  <c r="H33" i="1"/>
  <c r="H49" i="1"/>
  <c r="H65" i="1"/>
  <c r="H81" i="1"/>
  <c r="H97" i="1"/>
  <c r="H113" i="1"/>
  <c r="H40" i="1"/>
  <c r="H56" i="1"/>
  <c r="H98" i="1"/>
  <c r="H26" i="1"/>
  <c r="H112" i="1"/>
  <c r="H74" i="1"/>
  <c r="H102" i="1"/>
  <c r="H64" i="1"/>
  <c r="H38" i="1"/>
  <c r="U14" i="5"/>
  <c r="G116" i="1" l="1"/>
  <c r="G123" i="1"/>
  <c r="G117" i="1"/>
  <c r="G122" i="1"/>
  <c r="G121" i="1"/>
  <c r="F119" i="1"/>
  <c r="F118" i="1"/>
  <c r="D118" i="1"/>
  <c r="D119" i="1"/>
  <c r="D120" i="1"/>
  <c r="S109" i="1"/>
  <c r="S114" i="1"/>
  <c r="S100" i="1"/>
  <c r="S92" i="1"/>
  <c r="S84" i="1"/>
  <c r="S76" i="1"/>
  <c r="S68" i="1"/>
  <c r="S60" i="1"/>
  <c r="S52" i="1"/>
  <c r="S44" i="1"/>
  <c r="S36" i="1"/>
  <c r="S28" i="1"/>
  <c r="S20" i="1"/>
  <c r="S112" i="1"/>
  <c r="S99" i="1"/>
  <c r="S91" i="1"/>
  <c r="S83" i="1"/>
  <c r="S75" i="1"/>
  <c r="S67" i="1"/>
  <c r="S59" i="1"/>
  <c r="S51" i="1"/>
  <c r="S43" i="1"/>
  <c r="S35" i="1"/>
  <c r="S27" i="1"/>
  <c r="S19" i="1"/>
  <c r="H123" i="1"/>
  <c r="S107" i="1"/>
  <c r="S106" i="1"/>
  <c r="S94" i="1"/>
  <c r="S82" i="1"/>
  <c r="S72" i="1"/>
  <c r="S62" i="1"/>
  <c r="S50" i="1"/>
  <c r="S40" i="1"/>
  <c r="S30" i="1"/>
  <c r="S18" i="1"/>
  <c r="H122" i="1"/>
  <c r="S101" i="1"/>
  <c r="S89" i="1"/>
  <c r="S79" i="1"/>
  <c r="S111" i="1"/>
  <c r="S102" i="1"/>
  <c r="S88" i="1"/>
  <c r="S74" i="1"/>
  <c r="S58" i="1"/>
  <c r="S46" i="1"/>
  <c r="S32" i="1"/>
  <c r="S16" i="1"/>
  <c r="S108" i="1"/>
  <c r="S93" i="1"/>
  <c r="S77" i="1"/>
  <c r="S65" i="1"/>
  <c r="S55" i="1"/>
  <c r="S45" i="1"/>
  <c r="S33" i="1"/>
  <c r="S23" i="1"/>
  <c r="P17" i="1"/>
  <c r="S105" i="1"/>
  <c r="S56" i="1"/>
  <c r="S103" i="1"/>
  <c r="S96" i="1"/>
  <c r="S80" i="1"/>
  <c r="S66" i="1"/>
  <c r="S54" i="1"/>
  <c r="S38" i="1"/>
  <c r="S24" i="1"/>
  <c r="P22" i="1"/>
  <c r="S97" i="1"/>
  <c r="S85" i="1"/>
  <c r="S71" i="1"/>
  <c r="S61" i="1"/>
  <c r="S49" i="1"/>
  <c r="S39" i="1"/>
  <c r="S29" i="1"/>
  <c r="S17" i="1"/>
  <c r="H116" i="1"/>
  <c r="T16" i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T28" i="1" s="1"/>
  <c r="T29" i="1" s="1"/>
  <c r="T30" i="1" s="1"/>
  <c r="T31" i="1" s="1"/>
  <c r="T32" i="1" s="1"/>
  <c r="T33" i="1" s="1"/>
  <c r="T34" i="1" s="1"/>
  <c r="T35" i="1" s="1"/>
  <c r="T36" i="1" s="1"/>
  <c r="T37" i="1" s="1"/>
  <c r="T38" i="1" s="1"/>
  <c r="T39" i="1" s="1"/>
  <c r="T40" i="1" s="1"/>
  <c r="T41" i="1" s="1"/>
  <c r="T42" i="1" s="1"/>
  <c r="T43" i="1" s="1"/>
  <c r="T44" i="1" s="1"/>
  <c r="T45" i="1" s="1"/>
  <c r="T46" i="1" s="1"/>
  <c r="T47" i="1" s="1"/>
  <c r="T48" i="1" s="1"/>
  <c r="T49" i="1" s="1"/>
  <c r="T50" i="1" s="1"/>
  <c r="T51" i="1" s="1"/>
  <c r="T52" i="1" s="1"/>
  <c r="T53" i="1" s="1"/>
  <c r="T54" i="1" s="1"/>
  <c r="T55" i="1" s="1"/>
  <c r="T56" i="1" s="1"/>
  <c r="T57" i="1" s="1"/>
  <c r="T58" i="1" s="1"/>
  <c r="T59" i="1" s="1"/>
  <c r="T60" i="1" s="1"/>
  <c r="T61" i="1" s="1"/>
  <c r="T62" i="1" s="1"/>
  <c r="T63" i="1" s="1"/>
  <c r="T64" i="1" s="1"/>
  <c r="T65" i="1" s="1"/>
  <c r="T66" i="1" s="1"/>
  <c r="T67" i="1" s="1"/>
  <c r="T68" i="1" s="1"/>
  <c r="T69" i="1" s="1"/>
  <c r="T70" i="1" s="1"/>
  <c r="T71" i="1" s="1"/>
  <c r="T72" i="1" s="1"/>
  <c r="T73" i="1" s="1"/>
  <c r="T74" i="1" s="1"/>
  <c r="T75" i="1" s="1"/>
  <c r="T76" i="1" s="1"/>
  <c r="T77" i="1" s="1"/>
  <c r="T78" i="1" s="1"/>
  <c r="T79" i="1" s="1"/>
  <c r="T80" i="1" s="1"/>
  <c r="T81" i="1" s="1"/>
  <c r="T82" i="1" s="1"/>
  <c r="T83" i="1" s="1"/>
  <c r="T84" i="1" s="1"/>
  <c r="T85" i="1" s="1"/>
  <c r="T86" i="1" s="1"/>
  <c r="T87" i="1" s="1"/>
  <c r="T88" i="1" s="1"/>
  <c r="T89" i="1" s="1"/>
  <c r="T90" i="1" s="1"/>
  <c r="T91" i="1" s="1"/>
  <c r="T92" i="1" s="1"/>
  <c r="T93" i="1" s="1"/>
  <c r="T94" i="1" s="1"/>
  <c r="T95" i="1" s="1"/>
  <c r="T96" i="1" s="1"/>
  <c r="T97" i="1" s="1"/>
  <c r="T98" i="1" s="1"/>
  <c r="T99" i="1" s="1"/>
  <c r="T100" i="1" s="1"/>
  <c r="T101" i="1" s="1"/>
  <c r="T102" i="1" s="1"/>
  <c r="T103" i="1" s="1"/>
  <c r="T104" i="1" s="1"/>
  <c r="T105" i="1" s="1"/>
  <c r="T106" i="1" s="1"/>
  <c r="T107" i="1" s="1"/>
  <c r="T108" i="1" s="1"/>
  <c r="T109" i="1" s="1"/>
  <c r="T110" i="1" s="1"/>
  <c r="T111" i="1" s="1"/>
  <c r="T112" i="1" s="1"/>
  <c r="T113" i="1" s="1"/>
  <c r="T114" i="1" s="1"/>
  <c r="S113" i="1"/>
  <c r="S110" i="1"/>
  <c r="S90" i="1"/>
  <c r="S78" i="1"/>
  <c r="S64" i="1"/>
  <c r="S48" i="1"/>
  <c r="S34" i="1"/>
  <c r="S22" i="1"/>
  <c r="H117" i="1"/>
  <c r="S95" i="1"/>
  <c r="S81" i="1"/>
  <c r="S69" i="1"/>
  <c r="S57" i="1"/>
  <c r="S47" i="1"/>
  <c r="S37" i="1"/>
  <c r="S25" i="1"/>
  <c r="S15" i="1"/>
  <c r="S98" i="1"/>
  <c r="S86" i="1"/>
  <c r="S70" i="1"/>
  <c r="S42" i="1"/>
  <c r="S26" i="1"/>
  <c r="S104" i="1"/>
  <c r="S87" i="1"/>
  <c r="S41" i="1"/>
  <c r="S73" i="1"/>
  <c r="S31" i="1"/>
  <c r="S63" i="1"/>
  <c r="S21" i="1"/>
  <c r="P16" i="1"/>
  <c r="P24" i="1" s="1"/>
  <c r="S53" i="1"/>
  <c r="H121" i="1"/>
  <c r="F120" i="1"/>
  <c r="T15" i="5"/>
  <c r="U15" i="5"/>
  <c r="G120" i="1" l="1"/>
  <c r="H120" i="1"/>
  <c r="H118" i="1"/>
  <c r="H119" i="1"/>
  <c r="P25" i="1"/>
  <c r="T16" i="5"/>
  <c r="G118" i="1"/>
  <c r="G119" i="1"/>
  <c r="U16" i="5"/>
  <c r="P26" i="1" l="1"/>
  <c r="T17" i="5"/>
  <c r="U17" i="5"/>
  <c r="P27" i="1" l="1"/>
  <c r="T18" i="5"/>
  <c r="U18" i="5"/>
  <c r="P28" i="1" l="1"/>
  <c r="T19" i="5"/>
  <c r="U19" i="5"/>
  <c r="P29" i="1" l="1"/>
  <c r="T20" i="5"/>
  <c r="U20" i="5"/>
  <c r="P30" i="1" l="1"/>
  <c r="T21" i="5"/>
  <c r="U21" i="5"/>
  <c r="P31" i="1" l="1"/>
  <c r="T22" i="5"/>
  <c r="U22" i="5"/>
  <c r="P32" i="1" l="1"/>
  <c r="T23" i="5"/>
  <c r="U23" i="5"/>
  <c r="P33" i="1" l="1"/>
  <c r="T24" i="5"/>
  <c r="U24" i="5"/>
  <c r="P34" i="1" l="1"/>
  <c r="T25" i="5"/>
  <c r="U25" i="5"/>
  <c r="P35" i="1" l="1"/>
  <c r="T26" i="5"/>
  <c r="U26" i="5"/>
  <c r="P36" i="1" l="1"/>
  <c r="T27" i="5"/>
  <c r="U27" i="5"/>
  <c r="P37" i="1" l="1"/>
  <c r="T28" i="5"/>
  <c r="U28" i="5"/>
  <c r="P38" i="1" l="1"/>
  <c r="T29" i="5"/>
  <c r="U29" i="5"/>
  <c r="T30" i="5" l="1"/>
  <c r="P39" i="1"/>
  <c r="U30" i="5"/>
  <c r="P40" i="1" l="1"/>
  <c r="T31" i="5"/>
  <c r="U31" i="5"/>
  <c r="T32" i="5" l="1"/>
  <c r="P41" i="1"/>
  <c r="U32" i="5"/>
  <c r="P42" i="1" l="1"/>
  <c r="T33" i="5"/>
  <c r="U33" i="5"/>
  <c r="T34" i="5" l="1"/>
  <c r="P43" i="1"/>
  <c r="U34" i="5"/>
  <c r="P44" i="1" l="1"/>
  <c r="T35" i="5"/>
  <c r="U35" i="5"/>
  <c r="T36" i="5" l="1"/>
  <c r="P45" i="1"/>
  <c r="U36" i="5"/>
  <c r="P46" i="1" l="1"/>
  <c r="T37" i="5"/>
  <c r="U37" i="5"/>
  <c r="T38" i="5" l="1"/>
  <c r="P47" i="1"/>
  <c r="U38" i="5"/>
  <c r="P48" i="1" l="1"/>
  <c r="T39" i="5"/>
  <c r="U39" i="5"/>
  <c r="T40" i="5" l="1"/>
  <c r="P49" i="1"/>
  <c r="U40" i="5"/>
  <c r="P50" i="1" l="1"/>
  <c r="T41" i="5"/>
  <c r="U41" i="5"/>
  <c r="T42" i="5" l="1"/>
  <c r="P51" i="1"/>
  <c r="U42" i="5"/>
  <c r="P52" i="1" l="1"/>
  <c r="T43" i="5"/>
  <c r="U43" i="5"/>
  <c r="T44" i="5" l="1"/>
  <c r="P53" i="1"/>
  <c r="U44" i="5"/>
  <c r="P54" i="1" l="1"/>
  <c r="T45" i="5"/>
  <c r="U45" i="5"/>
  <c r="T46" i="5" l="1"/>
  <c r="P55" i="1"/>
  <c r="U46" i="5"/>
  <c r="P56" i="1" l="1"/>
  <c r="T47" i="5"/>
  <c r="U47" i="5"/>
  <c r="T48" i="5" l="1"/>
  <c r="P57" i="1"/>
  <c r="U48" i="5"/>
  <c r="P58" i="1" l="1"/>
  <c r="T49" i="5"/>
  <c r="U49" i="5"/>
  <c r="T50" i="5" l="1"/>
  <c r="P59" i="1"/>
  <c r="U50" i="5"/>
  <c r="P60" i="1" l="1"/>
  <c r="T51" i="5"/>
  <c r="U51" i="5"/>
  <c r="T52" i="5" l="1"/>
  <c r="P61" i="1"/>
  <c r="U52" i="5"/>
  <c r="P62" i="1" l="1"/>
  <c r="T53" i="5"/>
  <c r="U53" i="5"/>
  <c r="T54" i="5" l="1"/>
  <c r="P63" i="1"/>
  <c r="U54" i="5"/>
  <c r="P64" i="1" l="1"/>
  <c r="T55" i="5"/>
  <c r="U55" i="5"/>
  <c r="T56" i="5" l="1"/>
  <c r="P65" i="1"/>
  <c r="U56" i="5"/>
  <c r="P66" i="1" l="1"/>
  <c r="T57" i="5"/>
  <c r="U57" i="5"/>
  <c r="T58" i="5" l="1"/>
  <c r="P67" i="1"/>
  <c r="U58" i="5"/>
  <c r="P68" i="1" l="1"/>
  <c r="T59" i="5"/>
  <c r="U59" i="5"/>
  <c r="T60" i="5" l="1"/>
  <c r="P69" i="1"/>
  <c r="U60" i="5"/>
  <c r="P70" i="1" l="1"/>
  <c r="T61" i="5"/>
  <c r="U61" i="5"/>
  <c r="T62" i="5" l="1"/>
  <c r="P71" i="1"/>
  <c r="U62" i="5"/>
  <c r="P72" i="1" l="1"/>
  <c r="T63" i="5"/>
  <c r="U63" i="5"/>
  <c r="T64" i="5" l="1"/>
  <c r="P73" i="1"/>
  <c r="U64" i="5"/>
  <c r="P74" i="1" l="1"/>
  <c r="T65" i="5"/>
  <c r="U65" i="5"/>
  <c r="T66" i="5" l="1"/>
  <c r="P75" i="1"/>
  <c r="U66" i="5"/>
  <c r="P76" i="1" l="1"/>
  <c r="T67" i="5"/>
  <c r="U67" i="5"/>
  <c r="T68" i="5" l="1"/>
  <c r="P77" i="1"/>
  <c r="U68" i="5"/>
  <c r="P78" i="1" l="1"/>
  <c r="T69" i="5"/>
  <c r="U69" i="5"/>
  <c r="T70" i="5" l="1"/>
  <c r="P79" i="1"/>
  <c r="U70" i="5"/>
  <c r="P80" i="1" l="1"/>
  <c r="T71" i="5"/>
  <c r="U71" i="5"/>
  <c r="T72" i="5" l="1"/>
  <c r="P81" i="1"/>
  <c r="U72" i="5"/>
  <c r="P82" i="1" l="1"/>
  <c r="T73" i="5"/>
  <c r="U73" i="5"/>
  <c r="T74" i="5" l="1"/>
  <c r="P83" i="1"/>
  <c r="U74" i="5"/>
  <c r="P84" i="1" l="1"/>
  <c r="T75" i="5"/>
  <c r="U75" i="5"/>
  <c r="P85" i="1" l="1"/>
  <c r="T76" i="5"/>
  <c r="U76" i="5"/>
  <c r="T77" i="5" l="1"/>
  <c r="P86" i="1"/>
  <c r="U77" i="5"/>
  <c r="T78" i="5" l="1"/>
  <c r="P87" i="1"/>
  <c r="U78" i="5"/>
  <c r="P88" i="1" l="1"/>
  <c r="T79" i="5"/>
  <c r="U79" i="5"/>
  <c r="P89" i="1" l="1"/>
  <c r="T80" i="5"/>
  <c r="U80" i="5"/>
  <c r="T81" i="5" l="1"/>
  <c r="P90" i="1"/>
  <c r="U81" i="5"/>
  <c r="T82" i="5" l="1"/>
  <c r="P91" i="1"/>
  <c r="U82" i="5"/>
  <c r="P92" i="1" l="1"/>
  <c r="T83" i="5"/>
  <c r="U83" i="5"/>
  <c r="P93" i="1" l="1"/>
  <c r="T84" i="5"/>
  <c r="U84" i="5"/>
  <c r="T85" i="5" l="1"/>
  <c r="P94" i="1"/>
  <c r="U85" i="5"/>
  <c r="T86" i="5" l="1"/>
  <c r="P95" i="1"/>
  <c r="U86" i="5"/>
  <c r="P96" i="1" l="1"/>
  <c r="T87" i="5"/>
  <c r="U87" i="5"/>
  <c r="P97" i="1" l="1"/>
  <c r="T88" i="5"/>
  <c r="U88" i="5"/>
  <c r="T89" i="5" l="1"/>
  <c r="P98" i="1"/>
  <c r="U89" i="5"/>
  <c r="T90" i="5" l="1"/>
  <c r="P99" i="1"/>
  <c r="U90" i="5"/>
  <c r="P100" i="1" l="1"/>
  <c r="T91" i="5"/>
  <c r="U91" i="5"/>
  <c r="P101" i="1" l="1"/>
  <c r="T92" i="5"/>
  <c r="U92" i="5"/>
  <c r="T93" i="5" l="1"/>
  <c r="P102" i="1"/>
  <c r="U93" i="5"/>
  <c r="T94" i="5" l="1"/>
  <c r="P103" i="1"/>
  <c r="U94" i="5"/>
  <c r="P104" i="1" l="1"/>
  <c r="T95" i="5"/>
  <c r="U95" i="5"/>
  <c r="P105" i="1" l="1"/>
  <c r="T96" i="5"/>
  <c r="U96" i="5"/>
  <c r="T97" i="5" l="1"/>
  <c r="P106" i="1"/>
  <c r="U97" i="5"/>
  <c r="T98" i="5" l="1"/>
  <c r="P107" i="1"/>
  <c r="U98" i="5"/>
  <c r="P108" i="1" l="1"/>
  <c r="T99" i="5"/>
  <c r="U99" i="5"/>
  <c r="P109" i="1" l="1"/>
  <c r="T100" i="5"/>
  <c r="U100" i="5"/>
  <c r="T101" i="5" l="1"/>
  <c r="P110" i="1"/>
  <c r="U101" i="5"/>
  <c r="T102" i="5" l="1"/>
  <c r="P111" i="1"/>
  <c r="U102" i="5"/>
  <c r="P112" i="1" l="1"/>
  <c r="T103" i="5"/>
  <c r="U103" i="5"/>
  <c r="T104" i="5" l="1"/>
  <c r="P113" i="1"/>
  <c r="U104" i="5"/>
  <c r="T105" i="5" l="1"/>
  <c r="P114" i="1"/>
  <c r="U105" i="5"/>
  <c r="P115" i="1" l="1"/>
  <c r="T106" i="5"/>
  <c r="U106" i="5"/>
  <c r="P116" i="1" l="1"/>
  <c r="T107" i="5"/>
  <c r="U107" i="5"/>
  <c r="T108" i="5" l="1"/>
  <c r="P117" i="1"/>
  <c r="U108" i="5"/>
  <c r="T109" i="5" l="1"/>
  <c r="P118" i="1"/>
  <c r="U109" i="5"/>
  <c r="P119" i="1" l="1"/>
  <c r="T110" i="5"/>
  <c r="U110" i="5"/>
  <c r="T111" i="5" l="1"/>
  <c r="P120" i="1"/>
  <c r="U111" i="5"/>
  <c r="P121" i="1" l="1"/>
  <c r="P122" i="1" l="1"/>
  <c r="P123" i="1" l="1"/>
  <c r="P18" i="1"/>
  <c r="Q30" i="1"/>
  <c r="Q34" i="1"/>
  <c r="Q46" i="1"/>
  <c r="Q54" i="1"/>
  <c r="Q66" i="1"/>
  <c r="Q78" i="1"/>
  <c r="Q86" i="1"/>
  <c r="Q94" i="1"/>
  <c r="Q106" i="1"/>
  <c r="Q118" i="1"/>
  <c r="Q27" i="1"/>
  <c r="Q35" i="1"/>
  <c r="Q47" i="1"/>
  <c r="Q55" i="1"/>
  <c r="Q67" i="1"/>
  <c r="Q79" i="1"/>
  <c r="Q91" i="1"/>
  <c r="Q103" i="1"/>
  <c r="Q115" i="1"/>
  <c r="P23" i="1"/>
  <c r="Q23" i="1" s="1"/>
  <c r="Q43" i="1"/>
  <c r="Q63" i="1"/>
  <c r="Q75" i="1"/>
  <c r="Q87" i="1"/>
  <c r="Q99" i="1"/>
  <c r="Q111" i="1"/>
  <c r="Q123" i="1"/>
  <c r="P21" i="1"/>
  <c r="Q21" i="1" s="1"/>
  <c r="Q24" i="1"/>
  <c r="Q28" i="1"/>
  <c r="Q32" i="1"/>
  <c r="Q36" i="1"/>
  <c r="Q40" i="1"/>
  <c r="Q44" i="1"/>
  <c r="Q48" i="1"/>
  <c r="Q52" i="1"/>
  <c r="Q56" i="1"/>
  <c r="Q60" i="1"/>
  <c r="Q64" i="1"/>
  <c r="Q68" i="1"/>
  <c r="Q72" i="1"/>
  <c r="Q76" i="1"/>
  <c r="Q80" i="1"/>
  <c r="Q84" i="1"/>
  <c r="Q88" i="1"/>
  <c r="Q92" i="1"/>
  <c r="Q96" i="1"/>
  <c r="Q100" i="1"/>
  <c r="Q104" i="1"/>
  <c r="Q108" i="1"/>
  <c r="Q112" i="1"/>
  <c r="Q116" i="1"/>
  <c r="Q120" i="1"/>
  <c r="Q119" i="1"/>
  <c r="Q107" i="1"/>
  <c r="Q95" i="1"/>
  <c r="Q83" i="1"/>
  <c r="Q71" i="1"/>
  <c r="Q59" i="1"/>
  <c r="Q51" i="1"/>
  <c r="Q39" i="1"/>
  <c r="Q31" i="1"/>
  <c r="Q22" i="1"/>
  <c r="Q122" i="1"/>
  <c r="Q114" i="1"/>
  <c r="Q110" i="1"/>
  <c r="Q102" i="1"/>
  <c r="Q98" i="1"/>
  <c r="Q90" i="1"/>
  <c r="Q82" i="1"/>
  <c r="Q74" i="1"/>
  <c r="Q70" i="1"/>
  <c r="Q62" i="1"/>
  <c r="Q58" i="1"/>
  <c r="Q50" i="1"/>
  <c r="Q42" i="1"/>
  <c r="Q38" i="1"/>
  <c r="Q26" i="1"/>
  <c r="Q121" i="1"/>
  <c r="Q117" i="1"/>
  <c r="Q113" i="1"/>
  <c r="Q109" i="1"/>
  <c r="Q105" i="1"/>
  <c r="Q101" i="1"/>
  <c r="Q97" i="1"/>
  <c r="Q93" i="1"/>
  <c r="Q89" i="1"/>
  <c r="Q85" i="1"/>
  <c r="Q81" i="1"/>
  <c r="Q77" i="1"/>
  <c r="Q73" i="1"/>
  <c r="Q69" i="1"/>
  <c r="Q65" i="1"/>
  <c r="Q61" i="1"/>
  <c r="Q57" i="1"/>
  <c r="Q53" i="1"/>
  <c r="Q49" i="1"/>
  <c r="Q45" i="1"/>
  <c r="Q41" i="1"/>
  <c r="Q37" i="1"/>
  <c r="Q33" i="1"/>
  <c r="Q29" i="1"/>
  <c r="Q25" i="1"/>
</calcChain>
</file>

<file path=xl/sharedStrings.xml><?xml version="1.0" encoding="utf-8"?>
<sst xmlns="http://schemas.openxmlformats.org/spreadsheetml/2006/main" count="77" uniqueCount="45">
  <si>
    <t>Price</t>
  </si>
  <si>
    <t>Normal</t>
  </si>
  <si>
    <t>Quantity</t>
  </si>
  <si>
    <t>Triangle</t>
  </si>
  <si>
    <t>VC</t>
  </si>
  <si>
    <t>FC</t>
  </si>
  <si>
    <t>Iteration</t>
  </si>
  <si>
    <t>P</t>
  </si>
  <si>
    <t>Q</t>
  </si>
  <si>
    <t>Profit</t>
  </si>
  <si>
    <t>TR</t>
  </si>
  <si>
    <t>TC</t>
  </si>
  <si>
    <t>Mean</t>
  </si>
  <si>
    <t>StDev</t>
  </si>
  <si>
    <t>95 % LCI</t>
  </si>
  <si>
    <t>95 % UCI</t>
  </si>
  <si>
    <t>CV</t>
  </si>
  <si>
    <t>Min</t>
  </si>
  <si>
    <t>Median</t>
  </si>
  <si>
    <t>Max</t>
  </si>
  <si>
    <t>CDFProb.</t>
  </si>
  <si>
    <t>PDF Approximation</t>
  </si>
  <si>
    <t>Start</t>
  </si>
  <si>
    <t>End</t>
  </si>
  <si>
    <t>Band Width</t>
  </si>
  <si>
    <t>Kernel</t>
  </si>
  <si>
    <t>Confidence Level</t>
  </si>
  <si>
    <t>Lower Quantile</t>
  </si>
  <si>
    <t>Average</t>
  </si>
  <si>
    <t>Upper Quantile</t>
  </si>
  <si>
    <t>Gaussian</t>
  </si>
  <si>
    <t>Simulate Profit for one enterprise for One Year</t>
  </si>
  <si>
    <t>Variable</t>
  </si>
  <si>
    <t>x1-value</t>
  </si>
  <si>
    <t>Prob(X&lt;=x1)</t>
  </si>
  <si>
    <t>x2-value</t>
  </si>
  <si>
    <t>Prob(X&lt;=x2)</t>
  </si>
  <si>
    <t>x3-value</t>
  </si>
  <si>
    <t>Prob(X&lt;=x3)</t>
  </si>
  <si>
    <t>x4-value</t>
  </si>
  <si>
    <t>Prob(X&lt;=x4)</t>
  </si>
  <si>
    <t>x5-value</t>
  </si>
  <si>
    <t>Prob(X&lt;=x5)</t>
  </si>
  <si>
    <t>Simetar Simulation Results for 100 Iterations.  8:34:18 AM 11/19/2006 (5.31 sec.).  © 2006.</t>
  </si>
  <si>
    <t>KOV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</si>
</sst>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00"/>
  </numFmts>
  <fonts count="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right"/>
    </xf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'Gen 1'!$O$14</c:f>
          <c:strCache>
            <c:ptCount val="1"/>
            <c:pt idx="0">
              <c:v>PDF Approximation</c:v>
            </c:pt>
          </c:strCache>
        </c:strRef>
      </c:tx>
      <c:layout>
        <c:manualLayout>
          <c:xMode val="edge"/>
          <c:yMode val="edge"/>
          <c:x val="0.36941176470588233"/>
          <c:y val="4.411764705882353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352941176470587E-2"/>
          <c:y val="0.22058929127073409"/>
          <c:w val="0.83764705882352941"/>
          <c:h val="0.4656885037937719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'Gen 1'!$P$15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'Gen 1'!$P$24:$P$123</c:f>
              <c:numCache>
                <c:formatCode>0.000</c:formatCode>
                <c:ptCount val="100"/>
                <c:pt idx="0">
                  <c:v>-261.04834575335713</c:v>
                </c:pt>
                <c:pt idx="1">
                  <c:v>-254.14781919161919</c:v>
                </c:pt>
                <c:pt idx="2">
                  <c:v>-247.24729262988126</c:v>
                </c:pt>
                <c:pt idx="3">
                  <c:v>-240.34676606814332</c:v>
                </c:pt>
                <c:pt idx="4">
                  <c:v>-233.44623950640539</c:v>
                </c:pt>
                <c:pt idx="5">
                  <c:v>-226.54571294466746</c:v>
                </c:pt>
                <c:pt idx="6">
                  <c:v>-219.64518638292952</c:v>
                </c:pt>
                <c:pt idx="7">
                  <c:v>-212.74465982119159</c:v>
                </c:pt>
                <c:pt idx="8">
                  <c:v>-205.84413325945366</c:v>
                </c:pt>
                <c:pt idx="9">
                  <c:v>-198.94360669771572</c:v>
                </c:pt>
                <c:pt idx="10">
                  <c:v>-192.04308013597779</c:v>
                </c:pt>
                <c:pt idx="11">
                  <c:v>-185.14255357423986</c:v>
                </c:pt>
                <c:pt idx="12">
                  <c:v>-178.24202701250192</c:v>
                </c:pt>
                <c:pt idx="13">
                  <c:v>-171.34150045076399</c:v>
                </c:pt>
                <c:pt idx="14">
                  <c:v>-164.44097388902605</c:v>
                </c:pt>
                <c:pt idx="15">
                  <c:v>-157.54044732728812</c:v>
                </c:pt>
                <c:pt idx="16">
                  <c:v>-150.63992076555019</c:v>
                </c:pt>
                <c:pt idx="17">
                  <c:v>-143.73939420381225</c:v>
                </c:pt>
                <c:pt idx="18">
                  <c:v>-136.83886764207432</c:v>
                </c:pt>
                <c:pt idx="19">
                  <c:v>-129.93834108033639</c:v>
                </c:pt>
                <c:pt idx="20">
                  <c:v>-123.03781451859847</c:v>
                </c:pt>
                <c:pt idx="21">
                  <c:v>-116.13728795686055</c:v>
                </c:pt>
                <c:pt idx="22">
                  <c:v>-109.23676139512263</c:v>
                </c:pt>
                <c:pt idx="23">
                  <c:v>-102.33623483338471</c:v>
                </c:pt>
                <c:pt idx="24">
                  <c:v>-95.435708271646789</c:v>
                </c:pt>
                <c:pt idx="25">
                  <c:v>-88.535181709908869</c:v>
                </c:pt>
                <c:pt idx="26">
                  <c:v>-81.63465514817095</c:v>
                </c:pt>
                <c:pt idx="27">
                  <c:v>-74.73412858643303</c:v>
                </c:pt>
                <c:pt idx="28">
                  <c:v>-67.833602024695111</c:v>
                </c:pt>
                <c:pt idx="29">
                  <c:v>-60.933075462957184</c:v>
                </c:pt>
                <c:pt idx="30">
                  <c:v>-54.032548901219258</c:v>
                </c:pt>
                <c:pt idx="31">
                  <c:v>-47.132022339481331</c:v>
                </c:pt>
                <c:pt idx="32">
                  <c:v>-40.231495777743405</c:v>
                </c:pt>
                <c:pt idx="33">
                  <c:v>-33.330969216005478</c:v>
                </c:pt>
                <c:pt idx="34">
                  <c:v>-26.430442654267551</c:v>
                </c:pt>
                <c:pt idx="35">
                  <c:v>-19.529916092529625</c:v>
                </c:pt>
                <c:pt idx="36">
                  <c:v>-12.6293895307917</c:v>
                </c:pt>
                <c:pt idx="37">
                  <c:v>-5.7288629690537753</c:v>
                </c:pt>
                <c:pt idx="38">
                  <c:v>1.1716635926841494</c:v>
                </c:pt>
                <c:pt idx="39">
                  <c:v>8.0721901544220742</c:v>
                </c:pt>
                <c:pt idx="40">
                  <c:v>14.972716716159999</c:v>
                </c:pt>
                <c:pt idx="41">
                  <c:v>21.873243277897924</c:v>
                </c:pt>
                <c:pt idx="42">
                  <c:v>28.773769839635847</c:v>
                </c:pt>
                <c:pt idx="43">
                  <c:v>35.674296401373773</c:v>
                </c:pt>
                <c:pt idx="44">
                  <c:v>42.5748229631117</c:v>
                </c:pt>
                <c:pt idx="45">
                  <c:v>49.475349524849626</c:v>
                </c:pt>
                <c:pt idx="46">
                  <c:v>56.375876086587553</c:v>
                </c:pt>
                <c:pt idx="47">
                  <c:v>63.27640264832548</c:v>
                </c:pt>
                <c:pt idx="48">
                  <c:v>70.176929210063406</c:v>
                </c:pt>
                <c:pt idx="49">
                  <c:v>77.077455771801326</c:v>
                </c:pt>
                <c:pt idx="50">
                  <c:v>83.977982333539245</c:v>
                </c:pt>
                <c:pt idx="51">
                  <c:v>90.878508895277164</c:v>
                </c:pt>
                <c:pt idx="52">
                  <c:v>97.779035457015084</c:v>
                </c:pt>
                <c:pt idx="53">
                  <c:v>104.679562018753</c:v>
                </c:pt>
                <c:pt idx="54">
                  <c:v>111.58008858049092</c:v>
                </c:pt>
                <c:pt idx="55">
                  <c:v>118.48061514222884</c:v>
                </c:pt>
                <c:pt idx="56">
                  <c:v>125.38114170396676</c:v>
                </c:pt>
                <c:pt idx="57">
                  <c:v>132.2816682657047</c:v>
                </c:pt>
                <c:pt idx="58">
                  <c:v>139.18219482744263</c:v>
                </c:pt>
                <c:pt idx="59">
                  <c:v>146.08272138918056</c:v>
                </c:pt>
                <c:pt idx="60">
                  <c:v>152.9832479509185</c:v>
                </c:pt>
                <c:pt idx="61">
                  <c:v>159.88377451265643</c:v>
                </c:pt>
                <c:pt idx="62">
                  <c:v>166.78430107439436</c:v>
                </c:pt>
                <c:pt idx="63">
                  <c:v>173.6848276361323</c:v>
                </c:pt>
                <c:pt idx="64">
                  <c:v>180.58535419787023</c:v>
                </c:pt>
                <c:pt idx="65">
                  <c:v>187.48588075960816</c:v>
                </c:pt>
                <c:pt idx="66">
                  <c:v>194.3864073213461</c:v>
                </c:pt>
                <c:pt idx="67">
                  <c:v>201.28693388308403</c:v>
                </c:pt>
                <c:pt idx="68">
                  <c:v>208.18746044482197</c:v>
                </c:pt>
                <c:pt idx="69">
                  <c:v>215.0879870065599</c:v>
                </c:pt>
                <c:pt idx="70">
                  <c:v>221.98851356829783</c:v>
                </c:pt>
                <c:pt idx="71">
                  <c:v>228.88904013003577</c:v>
                </c:pt>
                <c:pt idx="72">
                  <c:v>235.7895666917737</c:v>
                </c:pt>
                <c:pt idx="73">
                  <c:v>242.69009325351163</c:v>
                </c:pt>
                <c:pt idx="74">
                  <c:v>249.59061981524957</c:v>
                </c:pt>
                <c:pt idx="75">
                  <c:v>256.4911463769875</c:v>
                </c:pt>
                <c:pt idx="76">
                  <c:v>263.39167293872543</c:v>
                </c:pt>
                <c:pt idx="77">
                  <c:v>270.29219950046337</c:v>
                </c:pt>
                <c:pt idx="78">
                  <c:v>277.1927260622013</c:v>
                </c:pt>
                <c:pt idx="79">
                  <c:v>284.09325262393924</c:v>
                </c:pt>
                <c:pt idx="80">
                  <c:v>290.99377918567717</c:v>
                </c:pt>
                <c:pt idx="81">
                  <c:v>297.8943057474151</c:v>
                </c:pt>
                <c:pt idx="82">
                  <c:v>304.79483230915304</c:v>
                </c:pt>
                <c:pt idx="83">
                  <c:v>311.69535887089097</c:v>
                </c:pt>
                <c:pt idx="84">
                  <c:v>318.5958854326289</c:v>
                </c:pt>
                <c:pt idx="85">
                  <c:v>325.49641199436684</c:v>
                </c:pt>
                <c:pt idx="86">
                  <c:v>332.39693855610477</c:v>
                </c:pt>
                <c:pt idx="87">
                  <c:v>339.29746511784271</c:v>
                </c:pt>
                <c:pt idx="88">
                  <c:v>346.19799167958064</c:v>
                </c:pt>
                <c:pt idx="89">
                  <c:v>353.09851824131857</c:v>
                </c:pt>
                <c:pt idx="90">
                  <c:v>359.99904480305651</c:v>
                </c:pt>
                <c:pt idx="91">
                  <c:v>366.89957136479444</c:v>
                </c:pt>
                <c:pt idx="92">
                  <c:v>373.80009792653237</c:v>
                </c:pt>
                <c:pt idx="93">
                  <c:v>380.70062448827031</c:v>
                </c:pt>
                <c:pt idx="94">
                  <c:v>387.60115105000824</c:v>
                </c:pt>
                <c:pt idx="95">
                  <c:v>394.50167761174617</c:v>
                </c:pt>
                <c:pt idx="96">
                  <c:v>401.40220417348411</c:v>
                </c:pt>
                <c:pt idx="97">
                  <c:v>408.30273073522204</c:v>
                </c:pt>
                <c:pt idx="98">
                  <c:v>415.20325729695998</c:v>
                </c:pt>
                <c:pt idx="99">
                  <c:v>422.10378385869791</c:v>
                </c:pt>
              </c:numCache>
            </c:numRef>
          </c:xVal>
          <c:yVal>
            <c:numRef>
              <c:f>'Gen 1'!$Q$24:$Q$123</c:f>
              <c:numCache>
                <c:formatCode>0.000</c:formatCode>
                <c:ptCount val="100"/>
                <c:pt idx="0">
                  <c:v>2.5340744499846704E-4</c:v>
                </c:pt>
                <c:pt idx="1">
                  <c:v>2.7682225719120781E-4</c:v>
                </c:pt>
                <c:pt idx="2">
                  <c:v>3.0054287786012216E-4</c:v>
                </c:pt>
                <c:pt idx="3">
                  <c:v>3.2447996703179895E-4</c:v>
                </c:pt>
                <c:pt idx="4">
                  <c:v>3.4859497042858117E-4</c:v>
                </c:pt>
                <c:pt idx="5">
                  <c:v>3.7290946163117544E-4</c:v>
                </c:pt>
                <c:pt idx="6">
                  <c:v>3.9751114401719083E-4</c:v>
                </c:pt>
                <c:pt idx="7">
                  <c:v>4.2255562821605266E-4</c:v>
                </c:pt>
                <c:pt idx="8">
                  <c:v>4.4826334385309131E-4</c:v>
                </c:pt>
                <c:pt idx="9">
                  <c:v>4.7491128460945087E-4</c:v>
                </c:pt>
                <c:pt idx="10">
                  <c:v>5.0281970337657481E-4</c:v>
                </c:pt>
                <c:pt idx="11">
                  <c:v>5.3233433726055128E-4</c:v>
                </c:pt>
                <c:pt idx="12">
                  <c:v>5.6380520750152899E-4</c:v>
                </c:pt>
                <c:pt idx="13">
                  <c:v>5.9756345730782188E-4</c:v>
                </c:pt>
                <c:pt idx="14">
                  <c:v>6.3389801000461436E-4</c:v>
                </c:pt>
                <c:pt idx="15">
                  <c:v>6.7303400449305489E-4</c:v>
                </c:pt>
                <c:pt idx="16">
                  <c:v>7.1511495990589922E-4</c:v>
                </c:pt>
                <c:pt idx="17">
                  <c:v>7.6019041868721706E-4</c:v>
                </c:pt>
                <c:pt idx="18">
                  <c:v>8.0821042032988241E-4</c:v>
                </c:pt>
                <c:pt idx="19">
                  <c:v>8.590275925463302E-4</c:v>
                </c:pt>
                <c:pt idx="20">
                  <c:v>9.1240696004733779E-4</c:v>
                </c:pt>
                <c:pt idx="21">
                  <c:v>9.6804282809944786E-4</c:v>
                </c:pt>
                <c:pt idx="22">
                  <c:v>1.0255813742921268E-3</c:v>
                </c:pt>
                <c:pt idx="23">
                  <c:v>1.0846469558543439E-3</c:v>
                </c:pt>
                <c:pt idx="24">
                  <c:v>1.144869683561733E-3</c:v>
                </c:pt>
                <c:pt idx="25">
                  <c:v>1.2059115840864897E-3</c:v>
                </c:pt>
                <c:pt idx="26">
                  <c:v>1.267488705899973E-3</c:v>
                </c:pt>
                <c:pt idx="27">
                  <c:v>1.3293868280848315E-3</c:v>
                </c:pt>
                <c:pt idx="28">
                  <c:v>1.3914689865190421E-3</c:v>
                </c:pt>
                <c:pt idx="29">
                  <c:v>1.4536737903555954E-3</c:v>
                </c:pt>
                <c:pt idx="30">
                  <c:v>1.5160043929985344E-3</c:v>
                </c:pt>
                <c:pt idx="31">
                  <c:v>1.5785089191776174E-3</c:v>
                </c:pt>
                <c:pt idx="32">
                  <c:v>1.6412540390940724E-3</c:v>
                </c:pt>
                <c:pt idx="33">
                  <c:v>1.704294129905605E-3</c:v>
                </c:pt>
                <c:pt idx="34">
                  <c:v>1.7676389936146476E-3</c:v>
                </c:pt>
                <c:pt idx="35">
                  <c:v>1.8312233484261799E-3</c:v>
                </c:pt>
                <c:pt idx="36">
                  <c:v>1.8948812444017416E-3</c:v>
                </c:pt>
                <c:pt idx="37">
                  <c:v>1.9583281714140219E-3</c:v>
                </c:pt>
                <c:pt idx="38">
                  <c:v>2.0211529581169586E-3</c:v>
                </c:pt>
                <c:pt idx="39">
                  <c:v>2.0828206656345206E-3</c:v>
                </c:pt>
                <c:pt idx="40">
                  <c:v>2.1426866452906976E-3</c:v>
                </c:pt>
                <c:pt idx="41">
                  <c:v>2.2000208599486349E-3</c:v>
                </c:pt>
                <c:pt idx="42">
                  <c:v>2.2540405746766605E-3</c:v>
                </c:pt>
                <c:pt idx="43">
                  <c:v>2.3039487112075023E-3</c:v>
                </c:pt>
                <c:pt idx="44">
                  <c:v>2.3489746219186049E-3</c:v>
                </c:pt>
                <c:pt idx="45">
                  <c:v>2.3884138348498384E-3</c:v>
                </c:pt>
                <c:pt idx="46">
                  <c:v>2.421663477126025E-3</c:v>
                </c:pt>
                <c:pt idx="47">
                  <c:v>2.4482505844346885E-3</c:v>
                </c:pt>
                <c:pt idx="48">
                  <c:v>2.4678512922931641E-3</c:v>
                </c:pt>
                <c:pt idx="49">
                  <c:v>2.4802998885219765E-3</c:v>
                </c:pt>
                <c:pt idx="50">
                  <c:v>2.4855877682227428E-3</c:v>
                </c:pt>
                <c:pt idx="51">
                  <c:v>2.4838533442878559E-3</c:v>
                </c:pt>
                <c:pt idx="52">
                  <c:v>2.4753648051366295E-3</c:v>
                </c:pt>
                <c:pt idx="53">
                  <c:v>2.4604981758746896E-3</c:v>
                </c:pt>
                <c:pt idx="54">
                  <c:v>2.4397133641319868E-3</c:v>
                </c:pt>
                <c:pt idx="55">
                  <c:v>2.4135307375741455E-3</c:v>
                </c:pt>
                <c:pt idx="56">
                  <c:v>2.3825103156053539E-3</c:v>
                </c:pt>
                <c:pt idx="57">
                  <c:v>2.3472349379945285E-3</c:v>
                </c:pt>
                <c:pt idx="58">
                  <c:v>2.3082979090328359E-3</c:v>
                </c:pt>
                <c:pt idx="59">
                  <c:v>2.2662947392632243E-3</c:v>
                </c:pt>
                <c:pt idx="60">
                  <c:v>2.2218178520392231E-3</c:v>
                </c:pt>
                <c:pt idx="61">
                  <c:v>2.1754526062454783E-3</c:v>
                </c:pt>
                <c:pt idx="62">
                  <c:v>2.1277727917542572E-3</c:v>
                </c:pt>
                <c:pt idx="63">
                  <c:v>2.0793339150246637E-3</c:v>
                </c:pt>
                <c:pt idx="64">
                  <c:v>2.0306630886909806E-3</c:v>
                </c:pt>
                <c:pt idx="65">
                  <c:v>1.9822450979543613E-3</c:v>
                </c:pt>
                <c:pt idx="66">
                  <c:v>1.9345051212195405E-3</c:v>
                </c:pt>
                <c:pt idx="67">
                  <c:v>1.8877894883284258E-3</c:v>
                </c:pt>
                <c:pt idx="68">
                  <c:v>1.8423466161880352E-3</c:v>
                </c:pt>
                <c:pt idx="69">
                  <c:v>1.7983107344613427E-3</c:v>
                </c:pt>
                <c:pt idx="70">
                  <c:v>1.7556911072536842E-3</c:v>
                </c:pt>
                <c:pt idx="71">
                  <c:v>1.7143691289019821E-3</c:v>
                </c:pt>
                <c:pt idx="72">
                  <c:v>1.6741049448311877E-3</c:v>
                </c:pt>
                <c:pt idx="73">
                  <c:v>1.6345542062273081E-3</c:v>
                </c:pt>
                <c:pt idx="74">
                  <c:v>1.5952943461602855E-3</c:v>
                </c:pt>
                <c:pt idx="75">
                  <c:v>1.555858533845815E-3</c:v>
                </c:pt>
                <c:pt idx="76">
                  <c:v>1.5157744001578193E-3</c:v>
                </c:pt>
                <c:pt idx="77">
                  <c:v>1.474603889848998E-3</c:v>
                </c:pt>
                <c:pt idx="78">
                  <c:v>1.431980299602189E-3</c:v>
                </c:pt>
                <c:pt idx="79">
                  <c:v>1.3876387599560086E-3</c:v>
                </c:pt>
                <c:pt idx="80">
                  <c:v>1.3414370967568077E-3</c:v>
                </c:pt>
                <c:pt idx="81">
                  <c:v>1.2933650787994083E-3</c:v>
                </c:pt>
                <c:pt idx="82">
                  <c:v>1.2435413811322875E-3</c:v>
                </c:pt>
                <c:pt idx="83">
                  <c:v>1.1921989912712534E-3</c:v>
                </c:pt>
                <c:pt idx="84">
                  <c:v>1.1396610725226042E-3</c:v>
                </c:pt>
                <c:pt idx="85">
                  <c:v>1.0863103074307909E-3</c:v>
                </c:pt>
                <c:pt idx="86">
                  <c:v>1.0325553501578774E-3</c:v>
                </c:pt>
                <c:pt idx="87">
                  <c:v>9.7879815390107343E-4</c:v>
                </c:pt>
                <c:pt idx="88">
                  <c:v>9.2540560961354163E-4</c:v>
                </c:pt>
                <c:pt idx="89">
                  <c:v>8.7268820054039098E-4</c:v>
                </c:pt>
                <c:pt idx="90">
                  <c:v>8.2088736010401872E-4</c:v>
                </c:pt>
                <c:pt idx="91">
                  <c:v>7.7017206714390931E-4</c:v>
                </c:pt>
                <c:pt idx="92">
                  <c:v>7.2064407999609622E-4</c:v>
                </c:pt>
                <c:pt idx="93">
                  <c:v>6.7235024293216153E-4</c:v>
                </c:pt>
                <c:pt idx="94">
                  <c:v>6.2529960542724247E-4</c:v>
                </c:pt>
                <c:pt idx="95">
                  <c:v>5.7948274100201732E-4</c:v>
                </c:pt>
                <c:pt idx="96">
                  <c:v>5.3489065151393947E-4</c:v>
                </c:pt>
                <c:pt idx="97">
                  <c:v>4.9153096034641286E-4</c:v>
                </c:pt>
                <c:pt idx="98">
                  <c:v>4.4943966120648859E-4</c:v>
                </c:pt>
                <c:pt idx="99">
                  <c:v>4.0868740119469858E-4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'Gen 1'!$P$15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0"/>
            <c:minus>
              <c:numRef>
                <c:f>'Gen 1'!$Q$22</c:f>
                <c:numCache>
                  <c:formatCode>General</c:formatCode>
                  <c:ptCount val="1"/>
                  <c:pt idx="0">
                    <c:v>2.4666872212318254E-3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'Gen 1'!$P$22</c:f>
              <c:numCache>
                <c:formatCode>0.000</c:formatCode>
                <c:ptCount val="1"/>
                <c:pt idx="0">
                  <c:v>102.13841644312393</c:v>
                </c:pt>
              </c:numCache>
            </c:numRef>
          </c:xVal>
          <c:yVal>
            <c:numRef>
              <c:f>'Gen 1'!$Q$22</c:f>
              <c:numCache>
                <c:formatCode>0.000</c:formatCode>
                <c:ptCount val="1"/>
                <c:pt idx="0">
                  <c:v>2.4666872212318254E-3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'Gen 1'!$P$15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0"/>
            <c:minus>
              <c:numRef>
                <c:f>'Gen 1'!$Q$23</c:f>
                <c:numCache>
                  <c:formatCode>General</c:formatCode>
                  <c:ptCount val="1"/>
                  <c:pt idx="0">
                    <c:v>6.7469160312567868E-4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'Gen 1'!$P$23</c:f>
              <c:numCache>
                <c:formatCode>0.000</c:formatCode>
                <c:ptCount val="1"/>
                <c:pt idx="0">
                  <c:v>380.36192623237099</c:v>
                </c:pt>
              </c:numCache>
            </c:numRef>
          </c:xVal>
          <c:yVal>
            <c:numRef>
              <c:f>'Gen 1'!$Q$23</c:f>
              <c:numCache>
                <c:formatCode>0.000</c:formatCode>
                <c:ptCount val="1"/>
                <c:pt idx="0">
                  <c:v>6.7469160312567868E-4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'Gen 1'!$P$15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0"/>
            <c:minus>
              <c:numRef>
                <c:f>'Gen 1'!$Q$21</c:f>
                <c:numCache>
                  <c:formatCode>General</c:formatCode>
                  <c:ptCount val="1"/>
                  <c:pt idx="0">
                    <c:v>4.6177232885289966E-4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'Gen 1'!$P$21</c:f>
              <c:numCache>
                <c:formatCode>0.000</c:formatCode>
                <c:ptCount val="1"/>
                <c:pt idx="0">
                  <c:v>-202.31053532195946</c:v>
                </c:pt>
              </c:numCache>
            </c:numRef>
          </c:xVal>
          <c:yVal>
            <c:numRef>
              <c:f>'Gen 1'!$Q$21</c:f>
              <c:numCache>
                <c:formatCode>0.000</c:formatCode>
                <c:ptCount val="1"/>
                <c:pt idx="0">
                  <c:v>4.6177232885289966E-4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166080"/>
        <c:axId val="203167616"/>
      </c:scatterChart>
      <c:valAx>
        <c:axId val="203166080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167616"/>
        <c:crosses val="autoZero"/>
        <c:crossBetween val="midCat"/>
      </c:valAx>
      <c:valAx>
        <c:axId val="203167616"/>
        <c:scaling>
          <c:orientation val="minMax"/>
          <c:min val="0"/>
        </c:scaling>
        <c:delete val="1"/>
        <c:axPos val="l"/>
        <c:numFmt formatCode="0.000" sourceLinked="1"/>
        <c:majorTickMark val="out"/>
        <c:minorTickMark val="none"/>
        <c:tickLblPos val="nextTo"/>
        <c:crossAx val="203166080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wMode val="edge"/>
          <c:hMode val="edge"/>
          <c:x val="0.43058823529411766"/>
          <c:y val="0.87255313674026036"/>
          <c:w val="0.57176470588235295"/>
          <c:h val="0.9705928670680870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CDF</a:t>
            </a:r>
          </a:p>
        </c:rich>
      </c:tx>
      <c:layout>
        <c:manualLayout>
          <c:xMode val="edge"/>
          <c:yMode val="edge"/>
          <c:x val="0.47392385475625065"/>
          <c:y val="4.39024390243902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37893587668268"/>
          <c:y val="0.26341526156455214"/>
          <c:w val="0.82539865318225003"/>
          <c:h val="0.4097570735448588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'Gen 1'!$S$14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'Gen 1'!$S$15:$S$114</c:f>
              <c:numCache>
                <c:formatCode>General</c:formatCode>
                <c:ptCount val="100"/>
                <c:pt idx="0">
                  <c:v>-261.04834575335713</c:v>
                </c:pt>
                <c:pt idx="1">
                  <c:v>-229.71184233944211</c:v>
                </c:pt>
                <c:pt idx="2">
                  <c:v>-202.31053532195949</c:v>
                </c:pt>
                <c:pt idx="3">
                  <c:v>-193.92482652958984</c:v>
                </c:pt>
                <c:pt idx="4">
                  <c:v>-183.54185449951211</c:v>
                </c:pt>
                <c:pt idx="5">
                  <c:v>-134.90687862157574</c:v>
                </c:pt>
                <c:pt idx="6">
                  <c:v>-132.51621938745342</c:v>
                </c:pt>
                <c:pt idx="7">
                  <c:v>-113.14014565982256</c:v>
                </c:pt>
                <c:pt idx="8">
                  <c:v>-91.451762336309571</c:v>
                </c:pt>
                <c:pt idx="9">
                  <c:v>-90.045124761527745</c:v>
                </c:pt>
                <c:pt idx="10">
                  <c:v>-78.680073703417634</c:v>
                </c:pt>
                <c:pt idx="11">
                  <c:v>-78.439245676843655</c:v>
                </c:pt>
                <c:pt idx="12">
                  <c:v>-75.617640128922801</c:v>
                </c:pt>
                <c:pt idx="13">
                  <c:v>-75.34668099683887</c:v>
                </c:pt>
                <c:pt idx="14">
                  <c:v>-68.697128317364445</c:v>
                </c:pt>
                <c:pt idx="15">
                  <c:v>-60.362360837016013</c:v>
                </c:pt>
                <c:pt idx="16">
                  <c:v>-46.821864021140641</c:v>
                </c:pt>
                <c:pt idx="17">
                  <c:v>-42.977387912156075</c:v>
                </c:pt>
                <c:pt idx="18">
                  <c:v>-36.710128263962702</c:v>
                </c:pt>
                <c:pt idx="19">
                  <c:v>-26.953400875681268</c:v>
                </c:pt>
                <c:pt idx="20">
                  <c:v>-23.759192885479592</c:v>
                </c:pt>
                <c:pt idx="21">
                  <c:v>-20.126629967293809</c:v>
                </c:pt>
                <c:pt idx="22">
                  <c:v>-7.9205757819525502</c:v>
                </c:pt>
                <c:pt idx="23">
                  <c:v>-7.7879161112757629</c:v>
                </c:pt>
                <c:pt idx="24">
                  <c:v>-2.8119253013828711</c:v>
                </c:pt>
                <c:pt idx="25">
                  <c:v>2.449877898402633</c:v>
                </c:pt>
                <c:pt idx="26">
                  <c:v>13.672998670222455</c:v>
                </c:pt>
                <c:pt idx="27">
                  <c:v>17.804757097757772</c:v>
                </c:pt>
                <c:pt idx="28">
                  <c:v>30.214950060473313</c:v>
                </c:pt>
                <c:pt idx="29">
                  <c:v>30.95589820300961</c:v>
                </c:pt>
                <c:pt idx="30">
                  <c:v>32.781411974371053</c:v>
                </c:pt>
                <c:pt idx="31">
                  <c:v>35.052430507165298</c:v>
                </c:pt>
                <c:pt idx="32">
                  <c:v>36.478982090852128</c:v>
                </c:pt>
                <c:pt idx="33">
                  <c:v>37.545749176323397</c:v>
                </c:pt>
                <c:pt idx="34">
                  <c:v>46.99873812888552</c:v>
                </c:pt>
                <c:pt idx="35">
                  <c:v>48.258936906348879</c:v>
                </c:pt>
                <c:pt idx="36">
                  <c:v>52.965702989499619</c:v>
                </c:pt>
                <c:pt idx="37">
                  <c:v>57.761224273372363</c:v>
                </c:pt>
                <c:pt idx="38">
                  <c:v>61.692510791667928</c:v>
                </c:pt>
                <c:pt idx="39">
                  <c:v>64.064612739811878</c:v>
                </c:pt>
                <c:pt idx="40">
                  <c:v>64.879321156825313</c:v>
                </c:pt>
                <c:pt idx="41">
                  <c:v>66.849385938882733</c:v>
                </c:pt>
                <c:pt idx="42">
                  <c:v>70.451360971793974</c:v>
                </c:pt>
                <c:pt idx="43">
                  <c:v>74.561493291792317</c:v>
                </c:pt>
                <c:pt idx="44">
                  <c:v>74.852743602239286</c:v>
                </c:pt>
                <c:pt idx="45">
                  <c:v>80.552827038218823</c:v>
                </c:pt>
                <c:pt idx="46">
                  <c:v>80.940292502247587</c:v>
                </c:pt>
                <c:pt idx="47">
                  <c:v>81.031220790433849</c:v>
                </c:pt>
                <c:pt idx="48">
                  <c:v>83.819634476628494</c:v>
                </c:pt>
                <c:pt idx="49">
                  <c:v>96.797469821965706</c:v>
                </c:pt>
                <c:pt idx="50">
                  <c:v>97.299895071406581</c:v>
                </c:pt>
                <c:pt idx="51">
                  <c:v>100.02923076656117</c:v>
                </c:pt>
                <c:pt idx="52">
                  <c:v>100.36717866880008</c:v>
                </c:pt>
                <c:pt idx="53">
                  <c:v>115.98982536944499</c:v>
                </c:pt>
                <c:pt idx="54">
                  <c:v>120.86008000479256</c:v>
                </c:pt>
                <c:pt idx="55">
                  <c:v>124.12917001454684</c:v>
                </c:pt>
                <c:pt idx="56">
                  <c:v>125.01226613291408</c:v>
                </c:pt>
                <c:pt idx="57">
                  <c:v>126.31932514187298</c:v>
                </c:pt>
                <c:pt idx="58">
                  <c:v>133.90209696880351</c:v>
                </c:pt>
                <c:pt idx="59">
                  <c:v>135.36484707731779</c:v>
                </c:pt>
                <c:pt idx="60">
                  <c:v>138.31928102847223</c:v>
                </c:pt>
                <c:pt idx="61">
                  <c:v>139.97225101973572</c:v>
                </c:pt>
                <c:pt idx="62">
                  <c:v>140.50628156975699</c:v>
                </c:pt>
                <c:pt idx="63">
                  <c:v>154.57678999944403</c:v>
                </c:pt>
                <c:pt idx="64">
                  <c:v>156.82960006830206</c:v>
                </c:pt>
                <c:pt idx="65">
                  <c:v>168.58974151259406</c:v>
                </c:pt>
                <c:pt idx="66">
                  <c:v>174.13747897121391</c:v>
                </c:pt>
                <c:pt idx="67">
                  <c:v>175.00211314471341</c:v>
                </c:pt>
                <c:pt idx="68">
                  <c:v>176.78641541408189</c:v>
                </c:pt>
                <c:pt idx="69">
                  <c:v>178.76120657024416</c:v>
                </c:pt>
                <c:pt idx="70">
                  <c:v>180.50398019493889</c:v>
                </c:pt>
                <c:pt idx="71">
                  <c:v>187.5813254243339</c:v>
                </c:pt>
                <c:pt idx="72">
                  <c:v>188.2102989438755</c:v>
                </c:pt>
                <c:pt idx="73">
                  <c:v>189.04352081977345</c:v>
                </c:pt>
                <c:pt idx="74">
                  <c:v>192.682602885454</c:v>
                </c:pt>
                <c:pt idx="75">
                  <c:v>200.56397164309612</c:v>
                </c:pt>
                <c:pt idx="76">
                  <c:v>220.21855431954788</c:v>
                </c:pt>
                <c:pt idx="77">
                  <c:v>220.69795399988072</c:v>
                </c:pt>
                <c:pt idx="78">
                  <c:v>237.47843638316868</c:v>
                </c:pt>
                <c:pt idx="79">
                  <c:v>247.58983273614695</c:v>
                </c:pt>
                <c:pt idx="80">
                  <c:v>252.40428498789282</c:v>
                </c:pt>
                <c:pt idx="81">
                  <c:v>255.43573335210971</c:v>
                </c:pt>
                <c:pt idx="82">
                  <c:v>266.60745378613876</c:v>
                </c:pt>
                <c:pt idx="83">
                  <c:v>270.77324115739833</c:v>
                </c:pt>
                <c:pt idx="84">
                  <c:v>273.78306062921195</c:v>
                </c:pt>
                <c:pt idx="85">
                  <c:v>278.39411647312238</c:v>
                </c:pt>
                <c:pt idx="86">
                  <c:v>285.49208931520235</c:v>
                </c:pt>
                <c:pt idx="87">
                  <c:v>288.9978733759533</c:v>
                </c:pt>
                <c:pt idx="88">
                  <c:v>290.69968016834702</c:v>
                </c:pt>
                <c:pt idx="89">
                  <c:v>291.27154237846497</c:v>
                </c:pt>
                <c:pt idx="90">
                  <c:v>293.14887191891654</c:v>
                </c:pt>
                <c:pt idx="91">
                  <c:v>302.13094054916246</c:v>
                </c:pt>
                <c:pt idx="92">
                  <c:v>313.30194954607896</c:v>
                </c:pt>
                <c:pt idx="93">
                  <c:v>323.59436145597431</c:v>
                </c:pt>
                <c:pt idx="94">
                  <c:v>365.77428497676772</c:v>
                </c:pt>
                <c:pt idx="95">
                  <c:v>368.92866659242964</c:v>
                </c:pt>
                <c:pt idx="96">
                  <c:v>379.21235894706763</c:v>
                </c:pt>
                <c:pt idx="97">
                  <c:v>380.36192623237099</c:v>
                </c:pt>
                <c:pt idx="98">
                  <c:v>406.2750276379362</c:v>
                </c:pt>
                <c:pt idx="99">
                  <c:v>422.10378385869734</c:v>
                </c:pt>
              </c:numCache>
            </c:numRef>
          </c:xVal>
          <c:yVal>
            <c:numRef>
              <c:f>'Gen 1'!$T$15:$T$114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176960"/>
        <c:axId val="203195136"/>
      </c:scatterChart>
      <c:valAx>
        <c:axId val="203176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195136"/>
        <c:crosses val="autoZero"/>
        <c:crossBetween val="midCat"/>
      </c:valAx>
      <c:valAx>
        <c:axId val="203195136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Prob</a:t>
                </a:r>
              </a:p>
            </c:rich>
          </c:tx>
          <c:layout>
            <c:manualLayout>
              <c:xMode val="edge"/>
              <c:yMode val="edge"/>
              <c:x val="3.6281179138321996E-2"/>
              <c:y val="0.39512297548172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17696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45578326518708967"/>
          <c:y val="0.85853863389027585"/>
          <c:w val="0.5963730724135673"/>
          <c:h val="0.965855707061007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CDF</a:t>
            </a:r>
          </a:p>
        </c:rich>
      </c:tx>
      <c:layout>
        <c:manualLayout>
          <c:xMode val="edge"/>
          <c:yMode val="edge"/>
          <c:x val="0.47309833024118736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330241187384038E-2"/>
          <c:y val="0.21352313167259787"/>
          <c:w val="0.84972170686456405"/>
          <c:h val="0.526690391459074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'SimData 2'!$P$3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'SimData 2'!$P$4:$P$103</c:f>
              <c:numCache>
                <c:formatCode>General</c:formatCode>
                <c:ptCount val="100"/>
                <c:pt idx="0">
                  <c:v>-338.63849652271608</c:v>
                </c:pt>
                <c:pt idx="1">
                  <c:v>-240.26673442654618</c:v>
                </c:pt>
                <c:pt idx="2">
                  <c:v>-227.00722552260606</c:v>
                </c:pt>
                <c:pt idx="3">
                  <c:v>-209.74708768717312</c:v>
                </c:pt>
                <c:pt idx="4">
                  <c:v>-170.07782536893751</c:v>
                </c:pt>
                <c:pt idx="5">
                  <c:v>-150.52187214776816</c:v>
                </c:pt>
                <c:pt idx="6">
                  <c:v>-150.14425578221199</c:v>
                </c:pt>
                <c:pt idx="7">
                  <c:v>-131.43106993984424</c:v>
                </c:pt>
                <c:pt idx="8">
                  <c:v>-125.96700310467395</c:v>
                </c:pt>
                <c:pt idx="9">
                  <c:v>-119.20478233315953</c:v>
                </c:pt>
                <c:pt idx="10">
                  <c:v>-114.44312015569918</c:v>
                </c:pt>
                <c:pt idx="11">
                  <c:v>-109.4146712590626</c:v>
                </c:pt>
                <c:pt idx="12">
                  <c:v>-100.55756405071114</c:v>
                </c:pt>
                <c:pt idx="13">
                  <c:v>-94.682111260798877</c:v>
                </c:pt>
                <c:pt idx="14">
                  <c:v>-86.800300049283294</c:v>
                </c:pt>
                <c:pt idx="15">
                  <c:v>-86.728823312342627</c:v>
                </c:pt>
                <c:pt idx="16">
                  <c:v>-69.164878488113914</c:v>
                </c:pt>
                <c:pt idx="17">
                  <c:v>-68.336717272679664</c:v>
                </c:pt>
                <c:pt idx="18">
                  <c:v>-55.809483799554073</c:v>
                </c:pt>
                <c:pt idx="19">
                  <c:v>-44.921141625184873</c:v>
                </c:pt>
                <c:pt idx="20">
                  <c:v>-43.896545103929839</c:v>
                </c:pt>
                <c:pt idx="21">
                  <c:v>-34.496000736308929</c:v>
                </c:pt>
                <c:pt idx="22">
                  <c:v>-29.423607988258141</c:v>
                </c:pt>
                <c:pt idx="23">
                  <c:v>-27.570070541192706</c:v>
                </c:pt>
                <c:pt idx="24">
                  <c:v>-26.207078911665064</c:v>
                </c:pt>
                <c:pt idx="25">
                  <c:v>-21.450455565103482</c:v>
                </c:pt>
                <c:pt idx="26">
                  <c:v>-21.262470596038611</c:v>
                </c:pt>
                <c:pt idx="27">
                  <c:v>-19.442540146447868</c:v>
                </c:pt>
                <c:pt idx="28">
                  <c:v>-11.125873537023153</c:v>
                </c:pt>
                <c:pt idx="29">
                  <c:v>-6.9736384571878602</c:v>
                </c:pt>
                <c:pt idx="30">
                  <c:v>2.0025355474425055</c:v>
                </c:pt>
                <c:pt idx="31">
                  <c:v>4.285800879557371</c:v>
                </c:pt>
                <c:pt idx="32">
                  <c:v>6.4330057327316013</c:v>
                </c:pt>
                <c:pt idx="33">
                  <c:v>6.6607956366310077</c:v>
                </c:pt>
                <c:pt idx="34">
                  <c:v>14.308239415763353</c:v>
                </c:pt>
                <c:pt idx="35">
                  <c:v>16.998458689980339</c:v>
                </c:pt>
                <c:pt idx="36">
                  <c:v>18.089822029994309</c:v>
                </c:pt>
                <c:pt idx="37">
                  <c:v>19.764742247565493</c:v>
                </c:pt>
                <c:pt idx="38">
                  <c:v>23.031998942530606</c:v>
                </c:pt>
                <c:pt idx="39">
                  <c:v>30.504745796924738</c:v>
                </c:pt>
                <c:pt idx="40">
                  <c:v>38.503830246713619</c:v>
                </c:pt>
                <c:pt idx="41">
                  <c:v>39.936648210035059</c:v>
                </c:pt>
                <c:pt idx="42">
                  <c:v>42.811853101060706</c:v>
                </c:pt>
                <c:pt idx="43">
                  <c:v>44.254336531871104</c:v>
                </c:pt>
                <c:pt idx="44">
                  <c:v>45.81433853271119</c:v>
                </c:pt>
                <c:pt idx="45">
                  <c:v>47.868535931505278</c:v>
                </c:pt>
                <c:pt idx="46">
                  <c:v>49.261520964609474</c:v>
                </c:pt>
                <c:pt idx="47">
                  <c:v>55.498868729885601</c:v>
                </c:pt>
                <c:pt idx="48">
                  <c:v>56.670290815640385</c:v>
                </c:pt>
                <c:pt idx="49">
                  <c:v>58.054446307621618</c:v>
                </c:pt>
                <c:pt idx="50">
                  <c:v>59.219771755478803</c:v>
                </c:pt>
                <c:pt idx="51">
                  <c:v>68.770626718305607</c:v>
                </c:pt>
                <c:pt idx="52">
                  <c:v>75.595431839639787</c:v>
                </c:pt>
                <c:pt idx="53">
                  <c:v>75.92594485091206</c:v>
                </c:pt>
                <c:pt idx="54">
                  <c:v>85.822355820348946</c:v>
                </c:pt>
                <c:pt idx="55">
                  <c:v>91.876719669480565</c:v>
                </c:pt>
                <c:pt idx="56">
                  <c:v>97.725741897266573</c:v>
                </c:pt>
                <c:pt idx="57">
                  <c:v>99.001281705886242</c:v>
                </c:pt>
                <c:pt idx="58">
                  <c:v>104.35572317674144</c:v>
                </c:pt>
                <c:pt idx="59">
                  <c:v>113.65665771320101</c:v>
                </c:pt>
                <c:pt idx="60">
                  <c:v>114.3029436504728</c:v>
                </c:pt>
                <c:pt idx="61">
                  <c:v>121.6609902200633</c:v>
                </c:pt>
                <c:pt idx="62">
                  <c:v>127.24052134055023</c:v>
                </c:pt>
                <c:pt idx="63">
                  <c:v>137.26565877527059</c:v>
                </c:pt>
                <c:pt idx="64">
                  <c:v>137.33769429092575</c:v>
                </c:pt>
                <c:pt idx="65">
                  <c:v>146.58709429701935</c:v>
                </c:pt>
                <c:pt idx="66">
                  <c:v>155.64602958959279</c:v>
                </c:pt>
                <c:pt idx="67">
                  <c:v>158.38591442524432</c:v>
                </c:pt>
                <c:pt idx="68">
                  <c:v>160.49839741302958</c:v>
                </c:pt>
                <c:pt idx="69">
                  <c:v>161.96431047447197</c:v>
                </c:pt>
                <c:pt idx="70">
                  <c:v>165.37171602948928</c:v>
                </c:pt>
                <c:pt idx="71">
                  <c:v>173.44294342276709</c:v>
                </c:pt>
                <c:pt idx="72">
                  <c:v>177.63990779949336</c:v>
                </c:pt>
                <c:pt idx="73">
                  <c:v>184.97277582470389</c:v>
                </c:pt>
                <c:pt idx="74">
                  <c:v>192.32330656775326</c:v>
                </c:pt>
                <c:pt idx="75">
                  <c:v>193.06674371872583</c:v>
                </c:pt>
                <c:pt idx="76">
                  <c:v>196.48192752798423</c:v>
                </c:pt>
                <c:pt idx="77">
                  <c:v>199.36538028500991</c:v>
                </c:pt>
                <c:pt idx="78">
                  <c:v>212.34044749823312</c:v>
                </c:pt>
                <c:pt idx="79">
                  <c:v>218.79096338638385</c:v>
                </c:pt>
                <c:pt idx="80">
                  <c:v>222.12745440391859</c:v>
                </c:pt>
                <c:pt idx="81">
                  <c:v>230.84786820392003</c:v>
                </c:pt>
                <c:pt idx="82">
                  <c:v>240.21903939231072</c:v>
                </c:pt>
                <c:pt idx="83">
                  <c:v>253.9169684512608</c:v>
                </c:pt>
                <c:pt idx="84">
                  <c:v>260.30920494044244</c:v>
                </c:pt>
                <c:pt idx="85">
                  <c:v>268.68088319295191</c:v>
                </c:pt>
                <c:pt idx="86">
                  <c:v>273.46805567843671</c:v>
                </c:pt>
                <c:pt idx="87">
                  <c:v>280.03873298143782</c:v>
                </c:pt>
                <c:pt idx="88">
                  <c:v>281.5924399386974</c:v>
                </c:pt>
                <c:pt idx="89">
                  <c:v>287.9140647089306</c:v>
                </c:pt>
                <c:pt idx="90">
                  <c:v>305.5089939564109</c:v>
                </c:pt>
                <c:pt idx="91">
                  <c:v>320.7917761802957</c:v>
                </c:pt>
                <c:pt idx="92">
                  <c:v>324.25429280894161</c:v>
                </c:pt>
                <c:pt idx="93">
                  <c:v>328.28512344375429</c:v>
                </c:pt>
                <c:pt idx="94">
                  <c:v>345.50866413809962</c:v>
                </c:pt>
                <c:pt idx="95">
                  <c:v>393.50130855617044</c:v>
                </c:pt>
                <c:pt idx="96">
                  <c:v>398.24118772094943</c:v>
                </c:pt>
                <c:pt idx="97">
                  <c:v>400.7867038285824</c:v>
                </c:pt>
                <c:pt idx="98">
                  <c:v>472.78098906322731</c:v>
                </c:pt>
                <c:pt idx="99">
                  <c:v>548.61767320349054</c:v>
                </c:pt>
              </c:numCache>
            </c:numRef>
          </c:xVal>
          <c:yVal>
            <c:numRef>
              <c:f>'SimData 2'!$Q$4:$Q$103</c:f>
              <c:numCache>
                <c:formatCode>General</c:formatCode>
                <c:ptCount val="100"/>
                <c:pt idx="0">
                  <c:v>0</c:v>
                </c:pt>
                <c:pt idx="1">
                  <c:v>1.0101010101010102E-2</c:v>
                </c:pt>
                <c:pt idx="2">
                  <c:v>2.0202020202020204E-2</c:v>
                </c:pt>
                <c:pt idx="3">
                  <c:v>3.0303030303030304E-2</c:v>
                </c:pt>
                <c:pt idx="4">
                  <c:v>4.0404040404040407E-2</c:v>
                </c:pt>
                <c:pt idx="5">
                  <c:v>5.0505050505050511E-2</c:v>
                </c:pt>
                <c:pt idx="6">
                  <c:v>6.0606060606060615E-2</c:v>
                </c:pt>
                <c:pt idx="7">
                  <c:v>7.0707070707070718E-2</c:v>
                </c:pt>
                <c:pt idx="8">
                  <c:v>8.0808080808080815E-2</c:v>
                </c:pt>
                <c:pt idx="9">
                  <c:v>9.0909090909090912E-2</c:v>
                </c:pt>
                <c:pt idx="10">
                  <c:v>0.10101010101010101</c:v>
                </c:pt>
                <c:pt idx="11">
                  <c:v>0.1111111111111111</c:v>
                </c:pt>
                <c:pt idx="12">
                  <c:v>0.1212121212121212</c:v>
                </c:pt>
                <c:pt idx="13">
                  <c:v>0.1313131313131313</c:v>
                </c:pt>
                <c:pt idx="14">
                  <c:v>0.14141414141414141</c:v>
                </c:pt>
                <c:pt idx="15">
                  <c:v>0.15151515151515152</c:v>
                </c:pt>
                <c:pt idx="16">
                  <c:v>0.16161616161616163</c:v>
                </c:pt>
                <c:pt idx="17">
                  <c:v>0.17171717171717174</c:v>
                </c:pt>
                <c:pt idx="18">
                  <c:v>0.18181818181818185</c:v>
                </c:pt>
                <c:pt idx="19">
                  <c:v>0.19191919191919196</c:v>
                </c:pt>
                <c:pt idx="20">
                  <c:v>0.20202020202020207</c:v>
                </c:pt>
                <c:pt idx="21">
                  <c:v>0.21212121212121218</c:v>
                </c:pt>
                <c:pt idx="22">
                  <c:v>0.22222222222222229</c:v>
                </c:pt>
                <c:pt idx="23">
                  <c:v>0.2323232323232324</c:v>
                </c:pt>
                <c:pt idx="24">
                  <c:v>0.24242424242424251</c:v>
                </c:pt>
                <c:pt idx="25">
                  <c:v>0.2525252525252526</c:v>
                </c:pt>
                <c:pt idx="26">
                  <c:v>0.26262626262626271</c:v>
                </c:pt>
                <c:pt idx="27">
                  <c:v>0.27272727272727282</c:v>
                </c:pt>
                <c:pt idx="28">
                  <c:v>0.28282828282828293</c:v>
                </c:pt>
                <c:pt idx="29">
                  <c:v>0.29292929292929304</c:v>
                </c:pt>
                <c:pt idx="30">
                  <c:v>0.30303030303030315</c:v>
                </c:pt>
                <c:pt idx="31">
                  <c:v>0.31313131313131326</c:v>
                </c:pt>
                <c:pt idx="32">
                  <c:v>0.32323232323232337</c:v>
                </c:pt>
                <c:pt idx="33">
                  <c:v>0.33333333333333348</c:v>
                </c:pt>
                <c:pt idx="34">
                  <c:v>0.34343434343434359</c:v>
                </c:pt>
                <c:pt idx="35">
                  <c:v>0.3535353535353537</c:v>
                </c:pt>
                <c:pt idx="36">
                  <c:v>0.36363636363636381</c:v>
                </c:pt>
                <c:pt idx="37">
                  <c:v>0.37373737373737392</c:v>
                </c:pt>
                <c:pt idx="38">
                  <c:v>0.38383838383838403</c:v>
                </c:pt>
                <c:pt idx="39">
                  <c:v>0.39393939393939414</c:v>
                </c:pt>
                <c:pt idx="40">
                  <c:v>0.40404040404040426</c:v>
                </c:pt>
                <c:pt idx="41">
                  <c:v>0.41414141414141437</c:v>
                </c:pt>
                <c:pt idx="42">
                  <c:v>0.42424242424242448</c:v>
                </c:pt>
                <c:pt idx="43">
                  <c:v>0.43434343434343459</c:v>
                </c:pt>
                <c:pt idx="44">
                  <c:v>0.4444444444444447</c:v>
                </c:pt>
                <c:pt idx="45">
                  <c:v>0.45454545454545481</c:v>
                </c:pt>
                <c:pt idx="46">
                  <c:v>0.46464646464646492</c:v>
                </c:pt>
                <c:pt idx="47">
                  <c:v>0.47474747474747503</c:v>
                </c:pt>
                <c:pt idx="48">
                  <c:v>0.48484848484848514</c:v>
                </c:pt>
                <c:pt idx="49">
                  <c:v>0.49494949494949525</c:v>
                </c:pt>
                <c:pt idx="50">
                  <c:v>0.50505050505050531</c:v>
                </c:pt>
                <c:pt idx="51">
                  <c:v>0.51515151515151536</c:v>
                </c:pt>
                <c:pt idx="52">
                  <c:v>0.52525252525252542</c:v>
                </c:pt>
                <c:pt idx="53">
                  <c:v>0.53535353535353547</c:v>
                </c:pt>
                <c:pt idx="54">
                  <c:v>0.54545454545454553</c:v>
                </c:pt>
                <c:pt idx="55">
                  <c:v>0.55555555555555558</c:v>
                </c:pt>
                <c:pt idx="56">
                  <c:v>0.56565656565656564</c:v>
                </c:pt>
                <c:pt idx="57">
                  <c:v>0.57575757575757569</c:v>
                </c:pt>
                <c:pt idx="58">
                  <c:v>0.58585858585858575</c:v>
                </c:pt>
                <c:pt idx="59">
                  <c:v>0.5959595959595958</c:v>
                </c:pt>
                <c:pt idx="60">
                  <c:v>0.60606060606060586</c:v>
                </c:pt>
                <c:pt idx="61">
                  <c:v>0.61616161616161591</c:v>
                </c:pt>
                <c:pt idx="62">
                  <c:v>0.62626262626262597</c:v>
                </c:pt>
                <c:pt idx="63">
                  <c:v>0.63636363636363602</c:v>
                </c:pt>
                <c:pt idx="64">
                  <c:v>0.64646464646464608</c:v>
                </c:pt>
                <c:pt idx="65">
                  <c:v>0.65656565656565613</c:v>
                </c:pt>
                <c:pt idx="66">
                  <c:v>0.66666666666666619</c:v>
                </c:pt>
                <c:pt idx="67">
                  <c:v>0.67676767676767624</c:v>
                </c:pt>
                <c:pt idx="68">
                  <c:v>0.6868686868686863</c:v>
                </c:pt>
                <c:pt idx="69">
                  <c:v>0.69696969696969635</c:v>
                </c:pt>
                <c:pt idx="70">
                  <c:v>0.70707070707070641</c:v>
                </c:pt>
                <c:pt idx="71">
                  <c:v>0.71717171717171646</c:v>
                </c:pt>
                <c:pt idx="72">
                  <c:v>0.72727272727272652</c:v>
                </c:pt>
                <c:pt idx="73">
                  <c:v>0.73737373737373657</c:v>
                </c:pt>
                <c:pt idx="74">
                  <c:v>0.74747474747474663</c:v>
                </c:pt>
                <c:pt idx="75">
                  <c:v>0.75757575757575668</c:v>
                </c:pt>
                <c:pt idx="76">
                  <c:v>0.76767676767676674</c:v>
                </c:pt>
                <c:pt idx="77">
                  <c:v>0.77777777777777679</c:v>
                </c:pt>
                <c:pt idx="78">
                  <c:v>0.78787878787878685</c:v>
                </c:pt>
                <c:pt idx="79">
                  <c:v>0.7979797979797969</c:v>
                </c:pt>
                <c:pt idx="80">
                  <c:v>0.80808080808080696</c:v>
                </c:pt>
                <c:pt idx="81">
                  <c:v>0.81818181818181701</c:v>
                </c:pt>
                <c:pt idx="82">
                  <c:v>0.82828282828282707</c:v>
                </c:pt>
                <c:pt idx="83">
                  <c:v>0.83838383838383712</c:v>
                </c:pt>
                <c:pt idx="84">
                  <c:v>0.84848484848484718</c:v>
                </c:pt>
                <c:pt idx="85">
                  <c:v>0.85858585858585723</c:v>
                </c:pt>
                <c:pt idx="86">
                  <c:v>0.86868686868686729</c:v>
                </c:pt>
                <c:pt idx="87">
                  <c:v>0.87878787878787734</c:v>
                </c:pt>
                <c:pt idx="88">
                  <c:v>0.8888888888888874</c:v>
                </c:pt>
                <c:pt idx="89">
                  <c:v>0.89898989898989745</c:v>
                </c:pt>
                <c:pt idx="90">
                  <c:v>0.90909090909090751</c:v>
                </c:pt>
                <c:pt idx="91">
                  <c:v>0.91919191919191756</c:v>
                </c:pt>
                <c:pt idx="92">
                  <c:v>0.92929292929292762</c:v>
                </c:pt>
                <c:pt idx="93">
                  <c:v>0.93939393939393767</c:v>
                </c:pt>
                <c:pt idx="94">
                  <c:v>0.94949494949494773</c:v>
                </c:pt>
                <c:pt idx="95">
                  <c:v>0.95959595959595778</c:v>
                </c:pt>
                <c:pt idx="96">
                  <c:v>0.96969696969696784</c:v>
                </c:pt>
                <c:pt idx="97">
                  <c:v>0.97979797979797789</c:v>
                </c:pt>
                <c:pt idx="98">
                  <c:v>0.98989898989898795</c:v>
                </c:pt>
                <c:pt idx="99">
                  <c:v>0.999999999999998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3352320"/>
        <c:axId val="204443648"/>
      </c:scatterChart>
      <c:valAx>
        <c:axId val="2033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443648"/>
        <c:crosses val="autoZero"/>
        <c:crossBetween val="midCat"/>
      </c:valAx>
      <c:valAx>
        <c:axId val="204443648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Prob</a:t>
                </a:r>
              </a:p>
            </c:rich>
          </c:tx>
          <c:layout>
            <c:manualLayout>
              <c:xMode val="edge"/>
              <c:yMode val="edge"/>
              <c:x val="2.9684601113172542E-2"/>
              <c:y val="0.416370106761565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335232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6011131725417442"/>
          <c:y val="0.88967971530249113"/>
          <c:w val="0.12615955473098328"/>
          <c:h val="8.5409252669039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'SimData 2'!$S$2</c:f>
          <c:strCache>
            <c:ptCount val="1"/>
            <c:pt idx="0">
              <c:v>PDF Approximation</c:v>
            </c:pt>
          </c:strCache>
        </c:strRef>
      </c:tx>
      <c:layout>
        <c:manualLayout>
          <c:xMode val="edge"/>
          <c:yMode val="edge"/>
          <c:x val="0.35647279549718575"/>
          <c:y val="3.83141762452107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1294559099437146E-2"/>
          <c:y val="0.20689732585505663"/>
          <c:w val="0.85928705440900566"/>
          <c:h val="0.5249061785581992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'SimData 2'!$T$3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'SimData 2'!$T$12:$T$111</c:f>
              <c:numCache>
                <c:formatCode>0.000</c:formatCode>
                <c:ptCount val="100"/>
                <c:pt idx="0">
                  <c:v>-338.63849652271608</c:v>
                </c:pt>
                <c:pt idx="1">
                  <c:v>-329.67631299012811</c:v>
                </c:pt>
                <c:pt idx="2">
                  <c:v>-320.71412945754014</c:v>
                </c:pt>
                <c:pt idx="3">
                  <c:v>-311.75194592495217</c:v>
                </c:pt>
                <c:pt idx="4">
                  <c:v>-302.7897623923642</c:v>
                </c:pt>
                <c:pt idx="5">
                  <c:v>-293.82757885977622</c:v>
                </c:pt>
                <c:pt idx="6">
                  <c:v>-284.86539532718825</c:v>
                </c:pt>
                <c:pt idx="7">
                  <c:v>-275.90321179460028</c:v>
                </c:pt>
                <c:pt idx="8">
                  <c:v>-266.94102826201231</c:v>
                </c:pt>
                <c:pt idx="9">
                  <c:v>-257.97884472942434</c:v>
                </c:pt>
                <c:pt idx="10">
                  <c:v>-249.0166611968364</c:v>
                </c:pt>
                <c:pt idx="11">
                  <c:v>-240.05447766424845</c:v>
                </c:pt>
                <c:pt idx="12">
                  <c:v>-231.09229413166051</c:v>
                </c:pt>
                <c:pt idx="13">
                  <c:v>-222.13011059907257</c:v>
                </c:pt>
                <c:pt idx="14">
                  <c:v>-213.16792706648462</c:v>
                </c:pt>
                <c:pt idx="15">
                  <c:v>-204.20574353389668</c:v>
                </c:pt>
                <c:pt idx="16">
                  <c:v>-195.24356000130874</c:v>
                </c:pt>
                <c:pt idx="17">
                  <c:v>-186.28137646872079</c:v>
                </c:pt>
                <c:pt idx="18">
                  <c:v>-177.31919293613285</c:v>
                </c:pt>
                <c:pt idx="19">
                  <c:v>-168.35700940354491</c:v>
                </c:pt>
                <c:pt idx="20">
                  <c:v>-159.39482587095696</c:v>
                </c:pt>
                <c:pt idx="21">
                  <c:v>-150.43264233836902</c:v>
                </c:pt>
                <c:pt idx="22">
                  <c:v>-141.47045880578108</c:v>
                </c:pt>
                <c:pt idx="23">
                  <c:v>-132.50827527319314</c:v>
                </c:pt>
                <c:pt idx="24">
                  <c:v>-123.54609174060519</c:v>
                </c:pt>
                <c:pt idx="25">
                  <c:v>-114.58390820801725</c:v>
                </c:pt>
                <c:pt idx="26">
                  <c:v>-105.62172467542931</c:v>
                </c:pt>
                <c:pt idx="27">
                  <c:v>-96.659541142841363</c:v>
                </c:pt>
                <c:pt idx="28">
                  <c:v>-87.69735761025342</c:v>
                </c:pt>
                <c:pt idx="29">
                  <c:v>-78.735174077665476</c:v>
                </c:pt>
                <c:pt idx="30">
                  <c:v>-69.772990545077533</c:v>
                </c:pt>
                <c:pt idx="31">
                  <c:v>-60.81080701248959</c:v>
                </c:pt>
                <c:pt idx="32">
                  <c:v>-51.848623479901647</c:v>
                </c:pt>
                <c:pt idx="33">
                  <c:v>-42.886439947313704</c:v>
                </c:pt>
                <c:pt idx="34">
                  <c:v>-33.924256414725761</c:v>
                </c:pt>
                <c:pt idx="35">
                  <c:v>-24.962072882137814</c:v>
                </c:pt>
                <c:pt idx="36">
                  <c:v>-15.999889349549868</c:v>
                </c:pt>
                <c:pt idx="37">
                  <c:v>-7.0377058169619211</c:v>
                </c:pt>
                <c:pt idx="38">
                  <c:v>1.9244777156260255</c:v>
                </c:pt>
                <c:pt idx="39">
                  <c:v>10.886661248213972</c:v>
                </c:pt>
                <c:pt idx="40">
                  <c:v>19.848844780801919</c:v>
                </c:pt>
                <c:pt idx="41">
                  <c:v>28.811028313389865</c:v>
                </c:pt>
                <c:pt idx="42">
                  <c:v>37.773211845977812</c:v>
                </c:pt>
                <c:pt idx="43">
                  <c:v>46.735395378565755</c:v>
                </c:pt>
                <c:pt idx="44">
                  <c:v>55.697578911153698</c:v>
                </c:pt>
                <c:pt idx="45">
                  <c:v>64.659762443741641</c:v>
                </c:pt>
                <c:pt idx="46">
                  <c:v>73.621945976329584</c:v>
                </c:pt>
                <c:pt idx="47">
                  <c:v>82.584129508917528</c:v>
                </c:pt>
                <c:pt idx="48">
                  <c:v>91.546313041505471</c:v>
                </c:pt>
                <c:pt idx="49">
                  <c:v>100.50849657409341</c:v>
                </c:pt>
                <c:pt idx="50">
                  <c:v>109.47068010668136</c:v>
                </c:pt>
                <c:pt idx="51">
                  <c:v>118.4328636392693</c:v>
                </c:pt>
                <c:pt idx="52">
                  <c:v>127.39504717185724</c:v>
                </c:pt>
                <c:pt idx="53">
                  <c:v>136.35723070444519</c:v>
                </c:pt>
                <c:pt idx="54">
                  <c:v>145.31941423703313</c:v>
                </c:pt>
                <c:pt idx="55">
                  <c:v>154.28159776962107</c:v>
                </c:pt>
                <c:pt idx="56">
                  <c:v>163.24378130220902</c:v>
                </c:pt>
                <c:pt idx="57">
                  <c:v>172.20596483479696</c:v>
                </c:pt>
                <c:pt idx="58">
                  <c:v>181.1681483673849</c:v>
                </c:pt>
                <c:pt idx="59">
                  <c:v>190.13033189997284</c:v>
                </c:pt>
                <c:pt idx="60">
                  <c:v>199.09251543256079</c:v>
                </c:pt>
                <c:pt idx="61">
                  <c:v>208.05469896514873</c:v>
                </c:pt>
                <c:pt idx="62">
                  <c:v>217.01688249773667</c:v>
                </c:pt>
                <c:pt idx="63">
                  <c:v>225.97906603032462</c:v>
                </c:pt>
                <c:pt idx="64">
                  <c:v>234.94124956291256</c:v>
                </c:pt>
                <c:pt idx="65">
                  <c:v>243.9034330955005</c:v>
                </c:pt>
                <c:pt idx="66">
                  <c:v>252.86561662808845</c:v>
                </c:pt>
                <c:pt idx="67">
                  <c:v>261.82780016067642</c:v>
                </c:pt>
                <c:pt idx="68">
                  <c:v>270.78998369326439</c:v>
                </c:pt>
                <c:pt idx="69">
                  <c:v>279.75216722585236</c:v>
                </c:pt>
                <c:pt idx="70">
                  <c:v>288.71435075844033</c:v>
                </c:pt>
                <c:pt idx="71">
                  <c:v>297.6765342910283</c:v>
                </c:pt>
                <c:pt idx="72">
                  <c:v>306.63871782361628</c:v>
                </c:pt>
                <c:pt idx="73">
                  <c:v>315.60090135620425</c:v>
                </c:pt>
                <c:pt idx="74">
                  <c:v>324.56308488879222</c:v>
                </c:pt>
                <c:pt idx="75">
                  <c:v>333.52526842138019</c:v>
                </c:pt>
                <c:pt idx="76">
                  <c:v>342.48745195396816</c:v>
                </c:pt>
                <c:pt idx="77">
                  <c:v>351.44963548655613</c:v>
                </c:pt>
                <c:pt idx="78">
                  <c:v>360.4118190191441</c:v>
                </c:pt>
                <c:pt idx="79">
                  <c:v>369.37400255173208</c:v>
                </c:pt>
                <c:pt idx="80">
                  <c:v>378.33618608432005</c:v>
                </c:pt>
                <c:pt idx="81">
                  <c:v>387.29836961690802</c:v>
                </c:pt>
                <c:pt idx="82">
                  <c:v>396.26055314949599</c:v>
                </c:pt>
                <c:pt idx="83">
                  <c:v>405.22273668208396</c:v>
                </c:pt>
                <c:pt idx="84">
                  <c:v>414.18492021467193</c:v>
                </c:pt>
                <c:pt idx="85">
                  <c:v>423.14710374725991</c:v>
                </c:pt>
                <c:pt idx="86">
                  <c:v>432.10928727984788</c:v>
                </c:pt>
                <c:pt idx="87">
                  <c:v>441.07147081243585</c:v>
                </c:pt>
                <c:pt idx="88">
                  <c:v>450.03365434502382</c:v>
                </c:pt>
                <c:pt idx="89">
                  <c:v>458.99583787761179</c:v>
                </c:pt>
                <c:pt idx="90">
                  <c:v>467.95802141019976</c:v>
                </c:pt>
                <c:pt idx="91">
                  <c:v>476.92020494278773</c:v>
                </c:pt>
                <c:pt idx="92">
                  <c:v>485.88238847537571</c:v>
                </c:pt>
                <c:pt idx="93">
                  <c:v>494.84457200796368</c:v>
                </c:pt>
                <c:pt idx="94">
                  <c:v>503.80675554055165</c:v>
                </c:pt>
                <c:pt idx="95">
                  <c:v>512.76893907313956</c:v>
                </c:pt>
                <c:pt idx="96">
                  <c:v>521.73112260572748</c:v>
                </c:pt>
                <c:pt idx="97">
                  <c:v>530.69330613831539</c:v>
                </c:pt>
                <c:pt idx="98">
                  <c:v>539.65548967090331</c:v>
                </c:pt>
                <c:pt idx="99">
                  <c:v>548.61767320349122</c:v>
                </c:pt>
              </c:numCache>
            </c:numRef>
          </c:xVal>
          <c:yVal>
            <c:numRef>
              <c:f>'SimData 2'!$U$12:$U$111</c:f>
              <c:numCache>
                <c:formatCode>0.000</c:formatCode>
                <c:ptCount val="100"/>
                <c:pt idx="0">
                  <c:v>1.1107885926795327E-4</c:v>
                </c:pt>
                <c:pt idx="1">
                  <c:v>1.2400460910488761E-4</c:v>
                </c:pt>
                <c:pt idx="2">
                  <c:v>1.3830464794029331E-4</c:v>
                </c:pt>
                <c:pt idx="3">
                  <c:v>1.5422034017126377E-4</c:v>
                </c:pt>
                <c:pt idx="4">
                  <c:v>1.7200591225400173E-4</c:v>
                </c:pt>
                <c:pt idx="5">
                  <c:v>1.9191824312752887E-4</c:v>
                </c:pt>
                <c:pt idx="6">
                  <c:v>2.1420804912744828E-4</c:v>
                </c:pt>
                <c:pt idx="7">
                  <c:v>2.3911338150247211E-4</c:v>
                </c:pt>
                <c:pt idx="8">
                  <c:v>2.6685571617135104E-4</c:v>
                </c:pt>
                <c:pt idx="9">
                  <c:v>2.9763821960957908E-4</c:v>
                </c:pt>
                <c:pt idx="10">
                  <c:v>3.3164519610155767E-4</c:v>
                </c:pt>
                <c:pt idx="11">
                  <c:v>3.6904141732876353E-4</c:v>
                </c:pt>
                <c:pt idx="12">
                  <c:v>4.0997010319450503E-4</c:v>
                </c:pt>
                <c:pt idx="13">
                  <c:v>4.545487703008217E-4</c:v>
                </c:pt>
                <c:pt idx="14">
                  <c:v>5.0286289839525551E-4</c:v>
                </c:pt>
                <c:pt idx="15">
                  <c:v>5.5495820678312462E-4</c:v>
                </c:pt>
                <c:pt idx="16">
                  <c:v>6.1083305690306751E-4</c:v>
                </c:pt>
                <c:pt idx="17">
                  <c:v>6.7043288636403576E-4</c:v>
                </c:pt>
                <c:pt idx="18">
                  <c:v>7.3364848071747943E-4</c:v>
                </c:pt>
                <c:pt idx="19">
                  <c:v>8.0031925896544573E-4</c:v>
                </c:pt>
                <c:pt idx="20">
                  <c:v>8.7024167534418889E-4</c:v>
                </c:pt>
                <c:pt idx="21">
                  <c:v>9.4318153283575227E-4</c:v>
                </c:pt>
                <c:pt idx="22">
                  <c:v>1.0188877540422169E-3</c:v>
                </c:pt>
                <c:pt idx="23">
                  <c:v>1.0971042721964262E-3</c:v>
                </c:pt>
                <c:pt idx="24">
                  <c:v>1.1775764467206167E-3</c:v>
                </c:pt>
                <c:pt idx="25">
                  <c:v>1.2600489164499564E-3</c:v>
                </c:pt>
                <c:pt idx="26">
                  <c:v>1.3442530672911188E-3</c:v>
                </c:pt>
                <c:pt idx="27">
                  <c:v>1.4298841360429534E-3</c:v>
                </c:pt>
                <c:pt idx="28">
                  <c:v>1.5165700913899642E-3</c:v>
                </c:pt>
                <c:pt idx="29">
                  <c:v>1.603836443619924E-3</c:v>
                </c:pt>
                <c:pt idx="30">
                  <c:v>1.6910726510134342E-3</c:v>
                </c:pt>
                <c:pt idx="31">
                  <c:v>1.7775064997234613E-3</c:v>
                </c:pt>
                <c:pt idx="32">
                  <c:v>1.8621925534388494E-3</c:v>
                </c:pt>
                <c:pt idx="33">
                  <c:v>1.9440194820905337E-3</c:v>
                </c:pt>
                <c:pt idx="34">
                  <c:v>2.0217389348944027E-3</c:v>
                </c:pt>
                <c:pt idx="35">
                  <c:v>2.0940159109467879E-3</c:v>
                </c:pt>
                <c:pt idx="36">
                  <c:v>2.1594976791466103E-3</c:v>
                </c:pt>
                <c:pt idx="37">
                  <c:v>2.2168956167509537E-3</c:v>
                </c:pt>
                <c:pt idx="38">
                  <c:v>2.2650722500697283E-3</c:v>
                </c:pt>
                <c:pt idx="39">
                  <c:v>2.3031245876644355E-3</c:v>
                </c:pt>
                <c:pt idx="40">
                  <c:v>2.3304547140527241E-3</c:v>
                </c:pt>
                <c:pt idx="41">
                  <c:v>2.3468196014596989E-3</c:v>
                </c:pt>
                <c:pt idx="42">
                  <c:v>2.3523541002819916E-3</c:v>
                </c:pt>
                <c:pt idx="43">
                  <c:v>2.3475638603720661E-3</c:v>
                </c:pt>
                <c:pt idx="44">
                  <c:v>2.3332881881945799E-3</c:v>
                </c:pt>
                <c:pt idx="45">
                  <c:v>2.3106361673803895E-3</c:v>
                </c:pt>
                <c:pt idx="46">
                  <c:v>2.2809023502108569E-3</c:v>
                </c:pt>
                <c:pt idx="47">
                  <c:v>2.2454705837202074E-3</c:v>
                </c:pt>
                <c:pt idx="48">
                  <c:v>2.205715766804645E-3</c:v>
                </c:pt>
                <c:pt idx="49">
                  <c:v>2.1629133711625744E-3</c:v>
                </c:pt>
                <c:pt idx="50">
                  <c:v>2.1181653842270989E-3</c:v>
                </c:pt>
                <c:pt idx="51">
                  <c:v>2.0723490999614738E-3</c:v>
                </c:pt>
                <c:pt idx="52">
                  <c:v>2.0260922002076961E-3</c:v>
                </c:pt>
                <c:pt idx="53">
                  <c:v>1.9797742544792503E-3</c:v>
                </c:pt>
                <c:pt idx="54">
                  <c:v>1.9335515897572419E-3</c:v>
                </c:pt>
                <c:pt idx="55">
                  <c:v>1.8873998915671702E-3</c:v>
                </c:pt>
                <c:pt idx="56">
                  <c:v>1.841167246095667E-3</c:v>
                </c:pt>
                <c:pt idx="57">
                  <c:v>1.7946298200870866E-3</c:v>
                </c:pt>
                <c:pt idx="58">
                  <c:v>1.7475430149125292E-3</c:v>
                </c:pt>
                <c:pt idx="59">
                  <c:v>1.6996825518944877E-3</c:v>
                </c:pt>
                <c:pt idx="60">
                  <c:v>1.6508722230494884E-3</c:v>
                </c:pt>
                <c:pt idx="61">
                  <c:v>1.6009975573106543E-3</c:v>
                </c:pt>
                <c:pt idx="62">
                  <c:v>1.5500069727286227E-3</c:v>
                </c:pt>
                <c:pt idx="63">
                  <c:v>1.4979037369409691E-3</c:v>
                </c:pt>
                <c:pt idx="64">
                  <c:v>1.4447329938157359E-3</c:v>
                </c:pt>
                <c:pt idx="65">
                  <c:v>1.3905681507601875E-3</c:v>
                </c:pt>
                <c:pt idx="66">
                  <c:v>1.335500146994647E-3</c:v>
                </c:pt>
                <c:pt idx="67">
                  <c:v>1.2796317708446111E-3</c:v>
                </c:pt>
                <c:pt idx="68">
                  <c:v>1.2230775875162721E-3</c:v>
                </c:pt>
                <c:pt idx="69">
                  <c:v>1.1659685238331642E-3</c:v>
                </c:pt>
                <c:pt idx="70">
                  <c:v>1.108459031540896E-3</c:v>
                </c:pt>
                <c:pt idx="71">
                  <c:v>1.0507342107421286E-3</c:v>
                </c:pt>
                <c:pt idx="72">
                  <c:v>9.9301437856125609E-4</c:v>
                </c:pt>
                <c:pt idx="73">
                  <c:v>9.3555523566577631E-4</c:v>
                </c:pt>
                <c:pt idx="74">
                  <c:v>8.7864282326686582E-4</c:v>
                </c:pt>
                <c:pt idx="75">
                  <c:v>8.2258362046265738E-4</c:v>
                </c:pt>
                <c:pt idx="76">
                  <c:v>7.6769114603134439E-4</c:v>
                </c:pt>
                <c:pt idx="77">
                  <c:v>7.1427109077157054E-4</c:v>
                </c:pt>
                <c:pt idx="78">
                  <c:v>6.6260719933060709E-4</c:v>
                </c:pt>
                <c:pt idx="79">
                  <c:v>6.1294983817363966E-4</c:v>
                </c:pt>
                <c:pt idx="80">
                  <c:v>5.6550852684773031E-4</c:v>
                </c:pt>
                <c:pt idx="81">
                  <c:v>5.2044884537259513E-4</c:v>
                </c:pt>
                <c:pt idx="82">
                  <c:v>4.7789326453052922E-4</c:v>
                </c:pt>
                <c:pt idx="83">
                  <c:v>4.3792476455684775E-4</c:v>
                </c:pt>
                <c:pt idx="84">
                  <c:v>4.0059174150406144E-4</c:v>
                </c:pt>
                <c:pt idx="85">
                  <c:v>3.6591269962856946E-4</c:v>
                </c:pt>
                <c:pt idx="86">
                  <c:v>3.3387955911307954E-4</c:v>
                </c:pt>
                <c:pt idx="87">
                  <c:v>3.0445896950085776E-4</c:v>
                </c:pt>
                <c:pt idx="88">
                  <c:v>2.7759166903459719E-4</c:v>
                </c:pt>
                <c:pt idx="89">
                  <c:v>2.5319052202523297E-4</c:v>
                </c:pt>
                <c:pt idx="90">
                  <c:v>2.3113827980178949E-4</c:v>
                </c:pt>
                <c:pt idx="91">
                  <c:v>2.1128627290045417E-4</c:v>
                </c:pt>
                <c:pt idx="92">
                  <c:v>1.9345513686823494E-4</c:v>
                </c:pt>
                <c:pt idx="93">
                  <c:v>1.7743833828270651E-4</c:v>
                </c:pt>
                <c:pt idx="94">
                  <c:v>1.6300877771401471E-4</c:v>
                </c:pt>
                <c:pt idx="95">
                  <c:v>1.499281995635979E-4</c:v>
                </c:pt>
                <c:pt idx="96">
                  <c:v>1.3795863363809624E-4</c:v>
                </c:pt>
                <c:pt idx="97">
                  <c:v>1.268747135800092E-4</c:v>
                </c:pt>
                <c:pt idx="98">
                  <c:v>1.1647551997429172E-4</c:v>
                </c:pt>
                <c:pt idx="99">
                  <c:v>1.0659460570197099E-4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'SimData 2'!$T$3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0"/>
            <c:minus>
              <c:numRef>
                <c:f>'SimData 2'!$U$10</c:f>
                <c:numCache>
                  <c:formatCode>General</c:formatCode>
                  <c:ptCount val="1"/>
                  <c:pt idx="0">
                    <c:v>2.2424758847336625E-3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'SimData 2'!$T$10</c:f>
              <c:numCache>
                <c:formatCode>0.000</c:formatCode>
                <c:ptCount val="1"/>
                <c:pt idx="0">
                  <c:v>83.290687150752277</c:v>
                </c:pt>
              </c:numCache>
            </c:numRef>
          </c:xVal>
          <c:yVal>
            <c:numRef>
              <c:f>'SimData 2'!$U$10</c:f>
              <c:numCache>
                <c:formatCode>0.000</c:formatCode>
                <c:ptCount val="1"/>
                <c:pt idx="0">
                  <c:v>2.2424758847336625E-3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'SimData 2'!$T$3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0"/>
            <c:minus>
              <c:numRef>
                <c:f>'SimData 2'!$U$11</c:f>
                <c:numCache>
                  <c:formatCode>General</c:formatCode>
                  <c:ptCount val="1"/>
                  <c:pt idx="0">
                    <c:v>4.57380928099954E-4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'SimData 2'!$T$11</c:f>
              <c:numCache>
                <c:formatCode>0.000</c:formatCode>
                <c:ptCount val="1"/>
                <c:pt idx="0">
                  <c:v>400.7867038285824</c:v>
                </c:pt>
              </c:numCache>
            </c:numRef>
          </c:xVal>
          <c:yVal>
            <c:numRef>
              <c:f>'SimData 2'!$U$11</c:f>
              <c:numCache>
                <c:formatCode>0.000</c:formatCode>
                <c:ptCount val="1"/>
                <c:pt idx="0">
                  <c:v>4.57380928099954E-4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'SimData 2'!$T$3</c:f>
              <c:strCache>
                <c:ptCount val="1"/>
                <c:pt idx="0">
                  <c:v>Profit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errBars>
            <c:errDir val="y"/>
            <c:errBarType val="minus"/>
            <c:errValType val="cust"/>
            <c:noEndCap val="0"/>
            <c:minus>
              <c:numRef>
                <c:f>'SimData 2'!$U$9</c:f>
                <c:numCache>
                  <c:formatCode>General</c:formatCode>
                  <c:ptCount val="1"/>
                  <c:pt idx="0">
                    <c:v>4.2983092617560276E-4</c:v>
                  </c:pt>
                </c:numCache>
              </c:numRef>
            </c:minus>
            <c:spPr>
              <a:ln w="381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'SimData 2'!$T$9</c:f>
              <c:numCache>
                <c:formatCode>0.000</c:formatCode>
                <c:ptCount val="1"/>
                <c:pt idx="0">
                  <c:v>-227.00722552260601</c:v>
                </c:pt>
              </c:numCache>
            </c:numRef>
          </c:xVal>
          <c:yVal>
            <c:numRef>
              <c:f>'SimData 2'!$U$9</c:f>
              <c:numCache>
                <c:formatCode>0.000</c:formatCode>
                <c:ptCount val="1"/>
                <c:pt idx="0">
                  <c:v>4.2983092617560276E-4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914688"/>
        <c:axId val="204916224"/>
      </c:scatterChart>
      <c:valAx>
        <c:axId val="204914688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4916224"/>
        <c:crosses val="autoZero"/>
        <c:crossBetween val="midCat"/>
      </c:valAx>
      <c:valAx>
        <c:axId val="204916224"/>
        <c:scaling>
          <c:orientation val="minMax"/>
          <c:min val="0"/>
        </c:scaling>
        <c:delete val="1"/>
        <c:axPos val="l"/>
        <c:numFmt formatCode="0.000" sourceLinked="1"/>
        <c:majorTickMark val="out"/>
        <c:minorTickMark val="none"/>
        <c:tickLblPos val="nextTo"/>
        <c:crossAx val="204914688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43902439024390244"/>
          <c:y val="0.89272352450196601"/>
          <c:w val="0.12382739212007504"/>
          <c:h val="8.42915899880331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122</xdr:row>
      <xdr:rowOff>152400</xdr:rowOff>
    </xdr:from>
    <xdr:to>
      <xdr:col>4</xdr:col>
      <xdr:colOff>9525</xdr:colOff>
      <xdr:row>134</xdr:row>
      <xdr:rowOff>152400</xdr:rowOff>
    </xdr:to>
    <xdr:graphicFrame macro="">
      <xdr:nvGraphicFramePr>
        <xdr:cNvPr id="10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409575</xdr:colOff>
      <xdr:row>122</xdr:row>
      <xdr:rowOff>152400</xdr:rowOff>
    </xdr:from>
    <xdr:to>
      <xdr:col>8</xdr:col>
      <xdr:colOff>38100</xdr:colOff>
      <xdr:row>135</xdr:row>
      <xdr:rowOff>0</xdr:rowOff>
    </xdr:to>
    <xdr:graphicFrame macro="">
      <xdr:nvGraphicFramePr>
        <xdr:cNvPr id="10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0</xdr:row>
      <xdr:rowOff>38100</xdr:rowOff>
    </xdr:from>
    <xdr:to>
      <xdr:col>16</xdr:col>
      <xdr:colOff>552450</xdr:colOff>
      <xdr:row>16</xdr:row>
      <xdr:rowOff>85725</xdr:rowOff>
    </xdr:to>
    <xdr:graphicFrame macro="">
      <xdr:nvGraphicFramePr>
        <xdr:cNvPr id="20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314325</xdr:colOff>
      <xdr:row>16</xdr:row>
      <xdr:rowOff>123825</xdr:rowOff>
    </xdr:from>
    <xdr:to>
      <xdr:col>16</xdr:col>
      <xdr:colOff>514350</xdr:colOff>
      <xdr:row>32</xdr:row>
      <xdr:rowOff>19050</xdr:rowOff>
    </xdr:to>
    <xdr:graphicFrame macro="">
      <xdr:nvGraphicFramePr>
        <xdr:cNvPr id="205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224"/>
  <sheetViews>
    <sheetView workbookViewId="0">
      <selection activeCell="A13" sqref="A13"/>
    </sheetView>
  </sheetViews>
  <sheetFormatPr defaultRowHeight="12.75" x14ac:dyDescent="0.2"/>
  <cols>
    <col min="2" max="8" width="17.140625" customWidth="1"/>
  </cols>
  <sheetData>
    <row r="1" spans="1:20" x14ac:dyDescent="0.2">
      <c r="A1" s="1" t="str">
        <f>_xll.WBNAME()</f>
        <v>L 22 1 and 2 Gen Sim Models.xlsx</v>
      </c>
    </row>
    <row r="2" spans="1:20" x14ac:dyDescent="0.2">
      <c r="A2" s="1" t="str">
        <f ca="1">_xll.WSNAME()</f>
        <v>Gen 1</v>
      </c>
    </row>
    <row r="3" spans="1:20" x14ac:dyDescent="0.2">
      <c r="A3" s="1"/>
    </row>
    <row r="4" spans="1:20" x14ac:dyDescent="0.2">
      <c r="A4" s="1"/>
    </row>
    <row r="5" spans="1:20" x14ac:dyDescent="0.2">
      <c r="A5" s="1" t="s">
        <v>31</v>
      </c>
    </row>
    <row r="6" spans="1:20" x14ac:dyDescent="0.2">
      <c r="A6" s="1" t="s">
        <v>0</v>
      </c>
      <c r="B6" s="1" t="s">
        <v>1</v>
      </c>
      <c r="C6" s="1">
        <v>10</v>
      </c>
      <c r="D6" s="1">
        <v>3</v>
      </c>
      <c r="E6" s="1"/>
    </row>
    <row r="7" spans="1:20" x14ac:dyDescent="0.2">
      <c r="A7" s="1" t="s">
        <v>2</v>
      </c>
      <c r="B7" s="1" t="s">
        <v>3</v>
      </c>
      <c r="C7" s="1">
        <v>20</v>
      </c>
      <c r="D7" s="1">
        <v>60</v>
      </c>
      <c r="E7" s="1">
        <v>70</v>
      </c>
    </row>
    <row r="8" spans="1:20" x14ac:dyDescent="0.2">
      <c r="A8" s="1" t="s">
        <v>4</v>
      </c>
      <c r="B8" s="1"/>
      <c r="C8" s="1">
        <v>20</v>
      </c>
      <c r="D8" s="1">
        <v>6</v>
      </c>
      <c r="E8" s="1"/>
    </row>
    <row r="9" spans="1:20" x14ac:dyDescent="0.2">
      <c r="A9" s="1" t="s">
        <v>5</v>
      </c>
      <c r="B9" s="1"/>
      <c r="C9" s="1">
        <v>100</v>
      </c>
      <c r="D9" s="1"/>
      <c r="E9" s="1"/>
    </row>
    <row r="11" spans="1:20" x14ac:dyDescent="0.2">
      <c r="A11" s="1" t="s">
        <v>6</v>
      </c>
      <c r="B11" s="1" t="s">
        <v>7</v>
      </c>
      <c r="C11" s="1" t="s">
        <v>8</v>
      </c>
      <c r="D11" s="1" t="s">
        <v>4</v>
      </c>
      <c r="E11" s="1" t="s">
        <v>5</v>
      </c>
      <c r="F11" s="1" t="s">
        <v>10</v>
      </c>
      <c r="G11" s="1" t="s">
        <v>11</v>
      </c>
      <c r="H11" s="1" t="s">
        <v>9</v>
      </c>
    </row>
    <row r="12" spans="1:20" x14ac:dyDescent="0.2">
      <c r="B12" t="str">
        <f ca="1">_xll.VFORMULA(B15)</f>
        <v>=NORM($C$6,$D$6)</v>
      </c>
      <c r="D12" t="str">
        <f ca="1">_xll.VFORMULA(D15)</f>
        <v>=$C$8+$D$8*C15</v>
      </c>
      <c r="E12" t="str">
        <f ca="1">_xll.VFORMULA(E15)</f>
        <v>=$C$9</v>
      </c>
      <c r="F12" t="str">
        <f ca="1">_xll.VFORMULA(F15)</f>
        <v>=B15*C15</v>
      </c>
      <c r="G12" t="str">
        <f ca="1">_xll.VFORMULA(G15)</f>
        <v>=D15+E15</v>
      </c>
      <c r="H12" t="str">
        <f ca="1">_xll.VFORMULA(H15)</f>
        <v>=F15-G15</v>
      </c>
    </row>
    <row r="13" spans="1:20" x14ac:dyDescent="0.2">
      <c r="C13" t="str">
        <f ca="1">_xll.VFORMULA(C15)</f>
        <v>=TRIANGLE($C$7,$D$7,$E$7)</v>
      </c>
    </row>
    <row r="14" spans="1:20" x14ac:dyDescent="0.2">
      <c r="B14" s="1" t="str">
        <f>B11</f>
        <v>P</v>
      </c>
      <c r="C14" s="1" t="str">
        <f t="shared" ref="C14:H14" si="0">C11</f>
        <v>Q</v>
      </c>
      <c r="D14" s="1" t="str">
        <f t="shared" si="0"/>
        <v>VC</v>
      </c>
      <c r="E14" s="1" t="str">
        <f t="shared" si="0"/>
        <v>FC</v>
      </c>
      <c r="F14" s="1" t="str">
        <f t="shared" si="0"/>
        <v>TR</v>
      </c>
      <c r="G14" s="1" t="str">
        <f t="shared" si="0"/>
        <v>TC</v>
      </c>
      <c r="H14" s="1" t="str">
        <f t="shared" si="0"/>
        <v>Profit</v>
      </c>
      <c r="O14" t="s">
        <v>21</v>
      </c>
      <c r="S14" t="str">
        <f>'Gen 1'!$H$14</f>
        <v>Profit</v>
      </c>
      <c r="T14" t="s">
        <v>20</v>
      </c>
    </row>
    <row r="15" spans="1:20" x14ac:dyDescent="0.2">
      <c r="A15">
        <v>1</v>
      </c>
      <c r="B15">
        <f ca="1">_xll.NORM($C$6,$D$6)</f>
        <v>10.072984598300023</v>
      </c>
      <c r="C15">
        <f ca="1">_xll.TRIANGLE($C$7,$D$7,$E$7)</f>
        <v>54.021621112536657</v>
      </c>
      <c r="D15">
        <f ca="1">$C$8+$D$8*C15</f>
        <v>344.12972667521996</v>
      </c>
      <c r="E15">
        <f>$C$9</f>
        <v>100</v>
      </c>
      <c r="F15">
        <f ca="1">B15*C15</f>
        <v>544.15895744178113</v>
      </c>
      <c r="G15">
        <f ca="1">D15+E15</f>
        <v>444.12972667521996</v>
      </c>
      <c r="H15">
        <f ca="1">F15-G15</f>
        <v>100.02923076656117</v>
      </c>
      <c r="P15" t="str">
        <f>'Gen 1'!$H$14</f>
        <v>Profit</v>
      </c>
      <c r="S15">
        <f ca="1">SMALL('Gen 1'!$H$15:$H$114,1)</f>
        <v>-261.04834575335713</v>
      </c>
      <c r="T15">
        <v>0</v>
      </c>
    </row>
    <row r="16" spans="1:20" x14ac:dyDescent="0.2">
      <c r="A16">
        <v>2</v>
      </c>
      <c r="B16">
        <f ca="1">_xll.NORM($C$6,$D$6)</f>
        <v>15.787481608149381</v>
      </c>
      <c r="C16">
        <f ca="1">_xll.TRIANGLE($C$7,$D$7,$E$7)</f>
        <v>45.322625289698934</v>
      </c>
      <c r="D16">
        <f t="shared" ref="D16:D79" ca="1" si="1">$C$8+$D$8*C16</f>
        <v>291.93575173819363</v>
      </c>
      <c r="E16">
        <f t="shared" ref="E16:E79" si="2">$C$9</f>
        <v>100</v>
      </c>
      <c r="F16">
        <f t="shared" ref="F16:F23" ca="1" si="3">B16*C16</f>
        <v>715.53011319416794</v>
      </c>
      <c r="G16">
        <f t="shared" ref="G16:G23" ca="1" si="4">D16+E16</f>
        <v>391.93575173819363</v>
      </c>
      <c r="H16">
        <f t="shared" ref="H16:H23" ca="1" si="5">F16-G16</f>
        <v>323.59436145597431</v>
      </c>
      <c r="O16" t="s">
        <v>22</v>
      </c>
      <c r="P16">
        <f ca="1">MIN('Gen 1'!$H$15:$H$114)</f>
        <v>-261.04834575335713</v>
      </c>
      <c r="S16">
        <f ca="1">SMALL('Gen 1'!$H$15:$H$114,2)</f>
        <v>-229.71184233944211</v>
      </c>
      <c r="T16">
        <f ca="1">1/(COUNT('Gen 1'!$H$15:$H$114)-1)+$T$15</f>
        <v>1.0101010101010102E-2</v>
      </c>
    </row>
    <row r="17" spans="1:20" x14ac:dyDescent="0.2">
      <c r="A17">
        <v>3</v>
      </c>
      <c r="B17">
        <f ca="1">_xll.NORM($C$6,$D$6)</f>
        <v>8.5597348208409993</v>
      </c>
      <c r="C17">
        <f ca="1">_xll.TRIANGLE($C$7,$D$7,$E$7)</f>
        <v>61.547683726301706</v>
      </c>
      <c r="D17">
        <f t="shared" ca="1" si="1"/>
        <v>389.28610235781025</v>
      </c>
      <c r="E17">
        <f t="shared" si="2"/>
        <v>100</v>
      </c>
      <c r="F17">
        <f t="shared" ca="1" si="3"/>
        <v>526.83185153413365</v>
      </c>
      <c r="G17">
        <f t="shared" ca="1" si="4"/>
        <v>489.28610235781025</v>
      </c>
      <c r="H17">
        <f t="shared" ca="1" si="5"/>
        <v>37.545749176323397</v>
      </c>
      <c r="O17" t="s">
        <v>23</v>
      </c>
      <c r="P17">
        <f ca="1">MAX('Gen 1'!$H$15:$H$114)</f>
        <v>422.10378385869734</v>
      </c>
      <c r="S17">
        <f ca="1">SMALL('Gen 1'!$H$15:$H$114,3)</f>
        <v>-202.31053532195949</v>
      </c>
      <c r="T17">
        <f ca="1">1/(COUNT('Gen 1'!$H$15:$H$114)-1)+$T$16</f>
        <v>2.0202020202020204E-2</v>
      </c>
    </row>
    <row r="18" spans="1:20" ht="13.5" thickBot="1" x14ac:dyDescent="0.25">
      <c r="A18">
        <v>4</v>
      </c>
      <c r="B18">
        <f ca="1">_xll.NORM($C$6,$D$6)</f>
        <v>6.1497044548019497</v>
      </c>
      <c r="C18">
        <f ca="1">_xll.TRIANGLE($C$7,$D$7,$E$7)</f>
        <v>45.822646689122514</v>
      </c>
      <c r="D18">
        <f t="shared" ca="1" si="1"/>
        <v>294.9358801347351</v>
      </c>
      <c r="E18">
        <f t="shared" si="2"/>
        <v>100</v>
      </c>
      <c r="F18">
        <f t="shared" ca="1" si="3"/>
        <v>281.79573447491254</v>
      </c>
      <c r="G18">
        <f t="shared" ca="1" si="4"/>
        <v>394.9358801347351</v>
      </c>
      <c r="H18">
        <f t="shared" ca="1" si="5"/>
        <v>-113.14014565982256</v>
      </c>
      <c r="O18" t="s">
        <v>24</v>
      </c>
      <c r="P18">
        <f ca="1">_xll.BANDWIDTH('Gen 1'!$H$15:$H$114)</f>
        <v>60.581287996863225</v>
      </c>
      <c r="S18">
        <f ca="1">SMALL('Gen 1'!$H$15:$H$114,4)</f>
        <v>-193.92482652958984</v>
      </c>
      <c r="T18">
        <f ca="1">1/(COUNT('Gen 1'!$H$15:$H$114)-1)+$T$17</f>
        <v>3.0303030303030304E-2</v>
      </c>
    </row>
    <row r="19" spans="1:20" ht="14.25" thickTop="1" thickBot="1" x14ac:dyDescent="0.25">
      <c r="A19">
        <v>5</v>
      </c>
      <c r="B19">
        <f ca="1">_xll.NORM($C$6,$D$6)</f>
        <v>12.311005611256007</v>
      </c>
      <c r="C19">
        <f ca="1">_xll.TRIANGLE($C$7,$D$7,$E$7)</f>
        <v>61.259247353005719</v>
      </c>
      <c r="D19">
        <f t="shared" ca="1" si="1"/>
        <v>387.55548411803431</v>
      </c>
      <c r="E19">
        <f t="shared" si="2"/>
        <v>100</v>
      </c>
      <c r="F19">
        <f t="shared" ca="1" si="3"/>
        <v>754.16293790417308</v>
      </c>
      <c r="G19">
        <f t="shared" ca="1" si="4"/>
        <v>487.55548411803431</v>
      </c>
      <c r="H19">
        <f t="shared" ca="1" si="5"/>
        <v>266.60745378613876</v>
      </c>
      <c r="O19" t="s">
        <v>25</v>
      </c>
      <c r="P19" s="2" t="s">
        <v>30</v>
      </c>
      <c r="S19">
        <f ca="1">SMALL('Gen 1'!$H$15:$H$114,5)</f>
        <v>-183.54185449951211</v>
      </c>
      <c r="T19">
        <f ca="1">1/(COUNT('Gen 1'!$H$15:$H$114)-1)+$T$18</f>
        <v>4.0404040404040407E-2</v>
      </c>
    </row>
    <row r="20" spans="1:20" ht="13.5" thickTop="1" x14ac:dyDescent="0.2">
      <c r="A20">
        <v>6</v>
      </c>
      <c r="B20">
        <f ca="1">_xll.NORM($C$6,$D$6)</f>
        <v>13.57915510975047</v>
      </c>
      <c r="C20">
        <f ca="1">_xll.TRIANGLE($C$7,$D$7,$E$7)</f>
        <v>53.500961973128476</v>
      </c>
      <c r="D20">
        <f t="shared" ca="1" si="1"/>
        <v>341.00577183877084</v>
      </c>
      <c r="E20">
        <f t="shared" si="2"/>
        <v>100</v>
      </c>
      <c r="F20">
        <f t="shared" ca="1" si="3"/>
        <v>726.49786115397319</v>
      </c>
      <c r="G20">
        <f t="shared" ca="1" si="4"/>
        <v>441.00577183877084</v>
      </c>
      <c r="H20">
        <f t="shared" ca="1" si="5"/>
        <v>285.49208931520235</v>
      </c>
      <c r="O20" t="s">
        <v>26</v>
      </c>
      <c r="P20" s="3">
        <v>0.95</v>
      </c>
      <c r="S20">
        <f ca="1">SMALL('Gen 1'!$H$15:$H$114,6)</f>
        <v>-134.90687862157574</v>
      </c>
      <c r="T20">
        <f ca="1">1/(COUNT('Gen 1'!$H$15:$H$114)-1)+$T$19</f>
        <v>5.0505050505050511E-2</v>
      </c>
    </row>
    <row r="21" spans="1:20" x14ac:dyDescent="0.2">
      <c r="A21">
        <v>7</v>
      </c>
      <c r="B21">
        <f ca="1">_xll.NORM($C$6,$D$6)</f>
        <v>11.809274817021738</v>
      </c>
      <c r="C21">
        <f ca="1">_xll.TRIANGLE($C$7,$D$7,$E$7)</f>
        <v>64.626953479984564</v>
      </c>
      <c r="D21">
        <f t="shared" ca="1" si="1"/>
        <v>407.76172087990739</v>
      </c>
      <c r="E21">
        <f t="shared" si="2"/>
        <v>100</v>
      </c>
      <c r="F21">
        <f t="shared" ca="1" si="3"/>
        <v>763.19745423201709</v>
      </c>
      <c r="G21">
        <f t="shared" ca="1" si="4"/>
        <v>507.76172087990739</v>
      </c>
      <c r="H21">
        <f t="shared" ca="1" si="5"/>
        <v>255.43573335210971</v>
      </c>
      <c r="O21" t="s">
        <v>27</v>
      </c>
      <c r="P21" s="4">
        <f ca="1">_xll.QUANTILE('Gen 1'!$H$15:$H$114,(1-$P$20)/2)</f>
        <v>-202.31053532195946</v>
      </c>
      <c r="Q21" s="4">
        <f ca="1">_xll.PDENSITY($P$21,'Gen 1'!$H$15:$H$114,$P$18,$P$19,0)</f>
        <v>4.6177232885289966E-4</v>
      </c>
      <c r="S21">
        <f ca="1">SMALL('Gen 1'!$H$15:$H$114,7)</f>
        <v>-132.51621938745342</v>
      </c>
      <c r="T21">
        <f ca="1">1/(COUNT('Gen 1'!$H$15:$H$114)-1)+$T$20</f>
        <v>6.0606060606060615E-2</v>
      </c>
    </row>
    <row r="22" spans="1:20" x14ac:dyDescent="0.2">
      <c r="A22">
        <v>8</v>
      </c>
      <c r="B22">
        <f ca="1">_xll.NORM($C$6,$D$6)</f>
        <v>10.543635992212961</v>
      </c>
      <c r="C22">
        <f ca="1">_xll.TRIANGLE($C$7,$D$7,$E$7)</f>
        <v>63.51515438454777</v>
      </c>
      <c r="D22">
        <f t="shared" ca="1" si="1"/>
        <v>401.09092630728662</v>
      </c>
      <c r="E22">
        <f t="shared" si="2"/>
        <v>100</v>
      </c>
      <c r="F22">
        <f t="shared" ca="1" si="3"/>
        <v>669.68066781988068</v>
      </c>
      <c r="G22">
        <f t="shared" ca="1" si="4"/>
        <v>501.09092630728662</v>
      </c>
      <c r="H22">
        <f t="shared" ca="1" si="5"/>
        <v>168.58974151259406</v>
      </c>
      <c r="O22" t="s">
        <v>28</v>
      </c>
      <c r="P22" s="4">
        <f ca="1">AVERAGE('Gen 1'!$H$15:$H$114)</f>
        <v>102.13841644312393</v>
      </c>
      <c r="Q22" s="4">
        <f ca="1">_xll.PDENSITY($P$22,'Gen 1'!$H$15:$H$114,$P$18,$P$19,0)</f>
        <v>2.4666872212318254E-3</v>
      </c>
      <c r="S22">
        <f ca="1">SMALL('Gen 1'!$H$15:$H$114,8)</f>
        <v>-113.14014565982256</v>
      </c>
      <c r="T22">
        <f ca="1">1/(COUNT('Gen 1'!$H$15:$H$114)-1)+$T$21</f>
        <v>7.0707070707070718E-2</v>
      </c>
    </row>
    <row r="23" spans="1:20" x14ac:dyDescent="0.2">
      <c r="A23">
        <v>9</v>
      </c>
      <c r="B23">
        <f ca="1">_xll.NORM($C$6,$D$6)</f>
        <v>7.4542768754476478</v>
      </c>
      <c r="C23">
        <f ca="1">_xll.TRIANGLE($C$7,$D$7,$E$7)</f>
        <v>52.962825297029681</v>
      </c>
      <c r="D23">
        <f t="shared" ca="1" si="1"/>
        <v>337.77695178217812</v>
      </c>
      <c r="E23">
        <f t="shared" si="2"/>
        <v>100</v>
      </c>
      <c r="F23">
        <f t="shared" ca="1" si="3"/>
        <v>394.79956387002204</v>
      </c>
      <c r="G23">
        <f t="shared" ca="1" si="4"/>
        <v>437.77695178217812</v>
      </c>
      <c r="H23">
        <f t="shared" ca="1" si="5"/>
        <v>-42.977387912156075</v>
      </c>
      <c r="O23" t="s">
        <v>29</v>
      </c>
      <c r="P23" s="4">
        <f ca="1">_xll.QUANTILE('Gen 1'!$H$15:$H$114,1-(1-$P$20)/2)</f>
        <v>380.36192623237099</v>
      </c>
      <c r="Q23" s="4">
        <f ca="1">_xll.PDENSITY($P$23,'Gen 1'!$H$15:$H$114,$P$18,$P$19,0)</f>
        <v>6.7469160312567868E-4</v>
      </c>
      <c r="S23">
        <f ca="1">SMALL('Gen 1'!$H$15:$H$114,9)</f>
        <v>-91.451762336309571</v>
      </c>
      <c r="T23">
        <f ca="1">1/(COUNT('Gen 1'!$H$15:$H$114)-1)+$T$22</f>
        <v>8.0808080808080815E-2</v>
      </c>
    </row>
    <row r="24" spans="1:20" x14ac:dyDescent="0.2">
      <c r="A24">
        <v>10</v>
      </c>
      <c r="B24">
        <f ca="1">_xll.NORM($C$6,$D$6)</f>
        <v>7.6358326017868645</v>
      </c>
      <c r="C24">
        <f ca="1">_xll.TRIANGLE($C$7,$D$7,$E$7)</f>
        <v>58.832919095385428</v>
      </c>
      <c r="D24">
        <f t="shared" ca="1" si="1"/>
        <v>372.99751457231258</v>
      </c>
      <c r="E24">
        <f t="shared" si="2"/>
        <v>100</v>
      </c>
      <c r="F24">
        <f t="shared" ref="F24:F63" ca="1" si="6">B24*C24</f>
        <v>449.23832168683299</v>
      </c>
      <c r="G24">
        <f t="shared" ref="G24:G63" ca="1" si="7">D24+E24</f>
        <v>472.99751457231258</v>
      </c>
      <c r="H24">
        <f t="shared" ref="H24:H63" ca="1" si="8">F24-G24</f>
        <v>-23.759192885479592</v>
      </c>
      <c r="O24">
        <v>1</v>
      </c>
      <c r="P24" s="4">
        <f ca="1">$P$16</f>
        <v>-261.04834575335713</v>
      </c>
      <c r="Q24" s="4">
        <f ca="1">_xll.PDENSITY($P$24,'Gen 1'!$H$15:$H$114,$P$18,$P$19,0)</f>
        <v>2.5340744499846704E-4</v>
      </c>
      <c r="S24">
        <f ca="1">SMALL('Gen 1'!$H$15:$H$114,10)</f>
        <v>-90.045124761527745</v>
      </c>
      <c r="T24">
        <f ca="1">1/(COUNT('Gen 1'!$H$15:$H$114)-1)+$T$23</f>
        <v>9.0909090909090912E-2</v>
      </c>
    </row>
    <row r="25" spans="1:20" x14ac:dyDescent="0.2">
      <c r="A25">
        <v>11</v>
      </c>
      <c r="B25">
        <f ca="1">_xll.NORM($C$6,$D$6)</f>
        <v>11.948044865287452</v>
      </c>
      <c r="C25">
        <f ca="1">_xll.TRIANGLE($C$7,$D$7,$E$7)</f>
        <v>53.894007006217194</v>
      </c>
      <c r="D25">
        <f t="shared" ca="1" si="1"/>
        <v>343.36404203730319</v>
      </c>
      <c r="E25">
        <f t="shared" si="2"/>
        <v>100</v>
      </c>
      <c r="F25">
        <f t="shared" ca="1" si="6"/>
        <v>643.92801368039932</v>
      </c>
      <c r="G25">
        <f t="shared" ca="1" si="7"/>
        <v>443.36404203730319</v>
      </c>
      <c r="H25">
        <f t="shared" ca="1" si="8"/>
        <v>200.56397164309612</v>
      </c>
      <c r="O25">
        <v>2</v>
      </c>
      <c r="P25" s="4">
        <f t="shared" ref="P25:P56" ca="1" si="9">1/99*($P$17-$P$16)+P24</f>
        <v>-254.14781919161919</v>
      </c>
      <c r="Q25" s="4">
        <f ca="1">_xll.PDENSITY($P$25,'Gen 1'!$H$15:$H$114,$P$18,$P$19,0)</f>
        <v>2.7682225719120781E-4</v>
      </c>
      <c r="S25">
        <f ca="1">SMALL('Gen 1'!$H$15:$H$114,11)</f>
        <v>-78.680073703417634</v>
      </c>
      <c r="T25">
        <f ca="1">1/(COUNT('Gen 1'!$H$15:$H$114)-1)+$T$24</f>
        <v>0.10101010101010101</v>
      </c>
    </row>
    <row r="26" spans="1:20" x14ac:dyDescent="0.2">
      <c r="A26">
        <v>12</v>
      </c>
      <c r="B26">
        <f ca="1">_xll.NORM($C$6,$D$6)</f>
        <v>13.67009863561757</v>
      </c>
      <c r="C26">
        <f ca="1">_xll.TRIANGLE($C$7,$D$7,$E$7)</f>
        <v>38.461319359677411</v>
      </c>
      <c r="D26">
        <f t="shared" ca="1" si="1"/>
        <v>250.76791615806445</v>
      </c>
      <c r="E26">
        <f t="shared" si="2"/>
        <v>100</v>
      </c>
      <c r="F26">
        <f t="shared" ca="1" si="6"/>
        <v>525.77002930277786</v>
      </c>
      <c r="G26">
        <f t="shared" ca="1" si="7"/>
        <v>350.76791615806445</v>
      </c>
      <c r="H26">
        <f t="shared" ca="1" si="8"/>
        <v>175.00211314471341</v>
      </c>
      <c r="O26">
        <v>3</v>
      </c>
      <c r="P26" s="4">
        <f t="shared" ca="1" si="9"/>
        <v>-247.24729262988126</v>
      </c>
      <c r="Q26" s="4">
        <f ca="1">_xll.PDENSITY($P$26,'Gen 1'!$H$15:$H$114,$P$18,$P$19,0)</f>
        <v>3.0054287786012216E-4</v>
      </c>
      <c r="S26">
        <f ca="1">SMALL('Gen 1'!$H$15:$H$114,12)</f>
        <v>-78.439245676843655</v>
      </c>
      <c r="T26">
        <f ca="1">1/(COUNT('Gen 1'!$H$15:$H$114)-1)+$T$25</f>
        <v>0.1111111111111111</v>
      </c>
    </row>
    <row r="27" spans="1:20" x14ac:dyDescent="0.2">
      <c r="A27">
        <v>13</v>
      </c>
      <c r="B27">
        <f ca="1">_xll.NORM($C$6,$D$6)</f>
        <v>10.836888167781158</v>
      </c>
      <c r="C27">
        <f ca="1">_xll.TRIANGLE($C$7,$D$7,$E$7)</f>
        <v>53.406089218509251</v>
      </c>
      <c r="D27">
        <f t="shared" ca="1" si="1"/>
        <v>340.43653531105554</v>
      </c>
      <c r="E27">
        <f t="shared" si="2"/>
        <v>100</v>
      </c>
      <c r="F27">
        <f t="shared" ca="1" si="6"/>
        <v>578.75581633952777</v>
      </c>
      <c r="G27">
        <f t="shared" ca="1" si="7"/>
        <v>440.43653531105554</v>
      </c>
      <c r="H27">
        <f t="shared" ca="1" si="8"/>
        <v>138.31928102847223</v>
      </c>
      <c r="O27">
        <v>4</v>
      </c>
      <c r="P27" s="4">
        <f t="shared" ca="1" si="9"/>
        <v>-240.34676606814332</v>
      </c>
      <c r="Q27" s="4">
        <f ca="1">_xll.PDENSITY($P$27,'Gen 1'!$H$15:$H$114,$P$18,$P$19,0)</f>
        <v>3.2447996703179895E-4</v>
      </c>
      <c r="S27">
        <f ca="1">SMALL('Gen 1'!$H$15:$H$114,13)</f>
        <v>-75.617640128922801</v>
      </c>
      <c r="T27">
        <f ca="1">1/(COUNT('Gen 1'!$H$15:$H$114)-1)+$T$26</f>
        <v>0.1212121212121212</v>
      </c>
    </row>
    <row r="28" spans="1:20" x14ac:dyDescent="0.2">
      <c r="A28">
        <v>14</v>
      </c>
      <c r="B28">
        <f ca="1">_xll.NORM($C$6,$D$6)</f>
        <v>4.5596643576003437</v>
      </c>
      <c r="C28">
        <f ca="1">_xll.TRIANGLE($C$7,$D$7,$E$7)</f>
        <v>57.146773917798029</v>
      </c>
      <c r="D28">
        <f t="shared" ca="1" si="1"/>
        <v>362.88064350678815</v>
      </c>
      <c r="E28">
        <f t="shared" si="2"/>
        <v>100</v>
      </c>
      <c r="F28">
        <f t="shared" ca="1" si="6"/>
        <v>260.57010818482865</v>
      </c>
      <c r="G28">
        <f t="shared" ca="1" si="7"/>
        <v>462.88064350678815</v>
      </c>
      <c r="H28">
        <f t="shared" ca="1" si="8"/>
        <v>-202.31053532195949</v>
      </c>
      <c r="O28">
        <v>5</v>
      </c>
      <c r="P28" s="4">
        <f t="shared" ca="1" si="9"/>
        <v>-233.44623950640539</v>
      </c>
      <c r="Q28" s="4">
        <f ca="1">_xll.PDENSITY($P$28,'Gen 1'!$H$15:$H$114,$P$18,$P$19,0)</f>
        <v>3.4859497042858117E-4</v>
      </c>
      <c r="S28">
        <f ca="1">SMALL('Gen 1'!$H$15:$H$114,14)</f>
        <v>-75.34668099683887</v>
      </c>
      <c r="T28">
        <f ca="1">1/(COUNT('Gen 1'!$H$15:$H$114)-1)+$T$27</f>
        <v>0.1313131313131313</v>
      </c>
    </row>
    <row r="29" spans="1:20" x14ac:dyDescent="0.2">
      <c r="A29">
        <v>15</v>
      </c>
      <c r="B29">
        <f ca="1">_xll.NORM($C$6,$D$6)</f>
        <v>12.835678257205309</v>
      </c>
      <c r="C29">
        <f ca="1">_xll.TRIANGLE($C$7,$D$7,$E$7)</f>
        <v>52.295971655242859</v>
      </c>
      <c r="D29">
        <f t="shared" ca="1" si="1"/>
        <v>333.77582993145717</v>
      </c>
      <c r="E29">
        <f t="shared" si="2"/>
        <v>100</v>
      </c>
      <c r="F29">
        <f t="shared" ca="1" si="6"/>
        <v>671.25426631462585</v>
      </c>
      <c r="G29">
        <f t="shared" ca="1" si="7"/>
        <v>433.77582993145717</v>
      </c>
      <c r="H29">
        <f t="shared" ca="1" si="8"/>
        <v>237.47843638316868</v>
      </c>
      <c r="O29">
        <v>6</v>
      </c>
      <c r="P29" s="4">
        <f t="shared" ca="1" si="9"/>
        <v>-226.54571294466746</v>
      </c>
      <c r="Q29" s="4">
        <f ca="1">_xll.PDENSITY($P$29,'Gen 1'!$H$15:$H$114,$P$18,$P$19,0)</f>
        <v>3.7290946163117544E-4</v>
      </c>
      <c r="S29">
        <f ca="1">SMALL('Gen 1'!$H$15:$H$114,15)</f>
        <v>-68.697128317364445</v>
      </c>
      <c r="T29">
        <f ca="1">1/(COUNT('Gen 1'!$H$15:$H$114)-1)+$T$28</f>
        <v>0.14141414141414141</v>
      </c>
    </row>
    <row r="30" spans="1:20" x14ac:dyDescent="0.2">
      <c r="A30">
        <v>16</v>
      </c>
      <c r="B30">
        <f ca="1">_xll.NORM($C$6,$D$6)</f>
        <v>11.426117572898335</v>
      </c>
      <c r="C30">
        <f ca="1">_xll.TRIANGLE($C$7,$D$7,$E$7)</f>
        <v>47.062166207525777</v>
      </c>
      <c r="D30">
        <f t="shared" ca="1" si="1"/>
        <v>302.37299724515469</v>
      </c>
      <c r="E30">
        <f t="shared" si="2"/>
        <v>100</v>
      </c>
      <c r="F30">
        <f t="shared" ca="1" si="6"/>
        <v>537.73784432247248</v>
      </c>
      <c r="G30">
        <f t="shared" ca="1" si="7"/>
        <v>402.37299724515469</v>
      </c>
      <c r="H30">
        <f t="shared" ca="1" si="8"/>
        <v>135.36484707731779</v>
      </c>
      <c r="O30">
        <v>7</v>
      </c>
      <c r="P30" s="4">
        <f t="shared" ca="1" si="9"/>
        <v>-219.64518638292952</v>
      </c>
      <c r="Q30" s="4">
        <f ca="1">_xll.PDENSITY($P$30,'Gen 1'!$H$15:$H$114,$P$18,$P$19,0)</f>
        <v>3.9751114401719083E-4</v>
      </c>
      <c r="S30">
        <f ca="1">SMALL('Gen 1'!$H$15:$H$114,16)</f>
        <v>-60.362360837016013</v>
      </c>
      <c r="T30">
        <f ca="1">1/(COUNT('Gen 1'!$H$15:$H$114)-1)+$T$29</f>
        <v>0.15151515151515152</v>
      </c>
    </row>
    <row r="31" spans="1:20" x14ac:dyDescent="0.2">
      <c r="A31">
        <v>17</v>
      </c>
      <c r="B31">
        <f ca="1">_xll.NORM($C$6,$D$6)</f>
        <v>8.7455697960687857</v>
      </c>
      <c r="C31">
        <f ca="1">_xll.TRIANGLE($C$7,$D$7,$E$7)</f>
        <v>62.998108165801725</v>
      </c>
      <c r="D31">
        <f t="shared" ca="1" si="1"/>
        <v>397.98864899481032</v>
      </c>
      <c r="E31">
        <f t="shared" si="2"/>
        <v>100</v>
      </c>
      <c r="F31">
        <f t="shared" ca="1" si="6"/>
        <v>550.95435198430994</v>
      </c>
      <c r="G31">
        <f t="shared" ca="1" si="7"/>
        <v>497.98864899481032</v>
      </c>
      <c r="H31">
        <f t="shared" ca="1" si="8"/>
        <v>52.965702989499619</v>
      </c>
      <c r="O31">
        <v>8</v>
      </c>
      <c r="P31" s="4">
        <f t="shared" ca="1" si="9"/>
        <v>-212.74465982119159</v>
      </c>
      <c r="Q31" s="4">
        <f ca="1">_xll.PDENSITY($P$31,'Gen 1'!$H$15:$H$114,$P$18,$P$19,0)</f>
        <v>4.2255562821605266E-4</v>
      </c>
      <c r="S31">
        <f ca="1">SMALL('Gen 1'!$H$15:$H$114,17)</f>
        <v>-46.821864021140641</v>
      </c>
      <c r="T31">
        <f ca="1">1/(COUNT('Gen 1'!$H$15:$H$114)-1)+$T$30</f>
        <v>0.16161616161616163</v>
      </c>
    </row>
    <row r="32" spans="1:20" x14ac:dyDescent="0.2">
      <c r="A32">
        <v>18</v>
      </c>
      <c r="B32">
        <f ca="1">_xll.NORM($C$6,$D$6)</f>
        <v>12.760866272390258</v>
      </c>
      <c r="C32">
        <f ca="1">_xll.TRIANGLE($C$7,$D$7,$E$7)</f>
        <v>32.140836146812539</v>
      </c>
      <c r="D32">
        <f t="shared" ca="1" si="1"/>
        <v>212.84501688087522</v>
      </c>
      <c r="E32">
        <f t="shared" si="2"/>
        <v>100</v>
      </c>
      <c r="F32">
        <f t="shared" ca="1" si="6"/>
        <v>410.1449119522818</v>
      </c>
      <c r="G32">
        <f t="shared" ca="1" si="7"/>
        <v>312.84501688087522</v>
      </c>
      <c r="H32">
        <f t="shared" ca="1" si="8"/>
        <v>97.299895071406581</v>
      </c>
      <c r="O32">
        <v>9</v>
      </c>
      <c r="P32" s="4">
        <f t="shared" ca="1" si="9"/>
        <v>-205.84413325945366</v>
      </c>
      <c r="Q32" s="4">
        <f ca="1">_xll.PDENSITY($P$32,'Gen 1'!$H$15:$H$114,$P$18,$P$19,0)</f>
        <v>4.4826334385309131E-4</v>
      </c>
      <c r="S32">
        <f ca="1">SMALL('Gen 1'!$H$15:$H$114,18)</f>
        <v>-42.977387912156075</v>
      </c>
      <c r="T32">
        <f ca="1">1/(COUNT('Gen 1'!$H$15:$H$114)-1)+$T$31</f>
        <v>0.17171717171717174</v>
      </c>
    </row>
    <row r="33" spans="1:20" x14ac:dyDescent="0.2">
      <c r="A33">
        <v>19</v>
      </c>
      <c r="B33">
        <f ca="1">_xll.NORM($C$6,$D$6)</f>
        <v>10.152675819541766</v>
      </c>
      <c r="C33">
        <f ca="1">_xll.TRIANGLE($C$7,$D$7,$E$7)</f>
        <v>48.294843073098143</v>
      </c>
      <c r="D33">
        <f t="shared" ca="1" si="1"/>
        <v>309.76905843858884</v>
      </c>
      <c r="E33">
        <f t="shared" si="2"/>
        <v>100</v>
      </c>
      <c r="F33">
        <f t="shared" ca="1" si="6"/>
        <v>490.32188547680767</v>
      </c>
      <c r="G33">
        <f t="shared" ca="1" si="7"/>
        <v>409.76905843858884</v>
      </c>
      <c r="H33">
        <f t="shared" ca="1" si="8"/>
        <v>80.552827038218823</v>
      </c>
      <c r="O33">
        <v>10</v>
      </c>
      <c r="P33" s="4">
        <f t="shared" ca="1" si="9"/>
        <v>-198.94360669771572</v>
      </c>
      <c r="Q33" s="4">
        <f ca="1">_xll.PDENSITY($P$33,'Gen 1'!$H$15:$H$114,$P$18,$P$19,0)</f>
        <v>4.7491128460945087E-4</v>
      </c>
      <c r="S33">
        <f ca="1">SMALL('Gen 1'!$H$15:$H$114,19)</f>
        <v>-36.710128263962702</v>
      </c>
      <c r="T33">
        <f ca="1">1/(COUNT('Gen 1'!$H$15:$H$114)-1)+$T$32</f>
        <v>0.18181818181818185</v>
      </c>
    </row>
    <row r="34" spans="1:20" x14ac:dyDescent="0.2">
      <c r="A34">
        <v>20</v>
      </c>
      <c r="B34">
        <f ca="1">_xll.NORM($C$6,$D$6)</f>
        <v>9.0936897790755165</v>
      </c>
      <c r="C34">
        <f ca="1">_xll.TRIANGLE($C$7,$D$7,$E$7)</f>
        <v>61.561234180599186</v>
      </c>
      <c r="D34">
        <f t="shared" ca="1" si="1"/>
        <v>389.36740508359514</v>
      </c>
      <c r="E34">
        <f t="shared" si="2"/>
        <v>100</v>
      </c>
      <c r="F34">
        <f t="shared" ca="1" si="6"/>
        <v>559.81876605538912</v>
      </c>
      <c r="G34">
        <f t="shared" ca="1" si="7"/>
        <v>489.36740508359514</v>
      </c>
      <c r="H34">
        <f t="shared" ca="1" si="8"/>
        <v>70.451360971793974</v>
      </c>
      <c r="O34">
        <v>11</v>
      </c>
      <c r="P34" s="4">
        <f t="shared" ca="1" si="9"/>
        <v>-192.04308013597779</v>
      </c>
      <c r="Q34" s="4">
        <f ca="1">_xll.PDENSITY($P$34,'Gen 1'!$H$15:$H$114,$P$18,$P$19,0)</f>
        <v>5.0281970337657481E-4</v>
      </c>
      <c r="S34">
        <f ca="1">SMALL('Gen 1'!$H$15:$H$114,20)</f>
        <v>-26.953400875681268</v>
      </c>
      <c r="T34">
        <f ca="1">1/(COUNT('Gen 1'!$H$15:$H$114)-1)+$T$33</f>
        <v>0.19191919191919196</v>
      </c>
    </row>
    <row r="35" spans="1:20" x14ac:dyDescent="0.2">
      <c r="A35">
        <v>21</v>
      </c>
      <c r="B35">
        <f ca="1">_xll.NORM($C$6,$D$6)</f>
        <v>10.725303906472503</v>
      </c>
      <c r="C35">
        <f ca="1">_xll.TRIANGLE($C$7,$D$7,$E$7)</f>
        <v>50.972399822765595</v>
      </c>
      <c r="D35">
        <f t="shared" ca="1" si="1"/>
        <v>325.83439893659357</v>
      </c>
      <c r="E35">
        <f t="shared" si="2"/>
        <v>100</v>
      </c>
      <c r="F35">
        <f t="shared" ca="1" si="6"/>
        <v>546.69447894138614</v>
      </c>
      <c r="G35">
        <f t="shared" ca="1" si="7"/>
        <v>425.83439893659357</v>
      </c>
      <c r="H35">
        <f t="shared" ca="1" si="8"/>
        <v>120.86008000479256</v>
      </c>
      <c r="O35">
        <v>12</v>
      </c>
      <c r="P35" s="4">
        <f t="shared" ca="1" si="9"/>
        <v>-185.14255357423986</v>
      </c>
      <c r="Q35" s="4">
        <f ca="1">_xll.PDENSITY($P$35,'Gen 1'!$H$15:$H$114,$P$18,$P$19,0)</f>
        <v>5.3233433726055128E-4</v>
      </c>
      <c r="S35">
        <f ca="1">SMALL('Gen 1'!$H$15:$H$114,21)</f>
        <v>-23.759192885479592</v>
      </c>
      <c r="T35">
        <f ca="1">1/(COUNT('Gen 1'!$H$15:$H$114)-1)+$T$34</f>
        <v>0.20202020202020207</v>
      </c>
    </row>
    <row r="36" spans="1:20" x14ac:dyDescent="0.2">
      <c r="A36">
        <v>22</v>
      </c>
      <c r="B36">
        <f ca="1">_xll.NORM($C$6,$D$6)</f>
        <v>12.142924596199061</v>
      </c>
      <c r="C36">
        <f ca="1">_xll.TRIANGLE($C$7,$D$7,$E$7)</f>
        <v>63.613550034325606</v>
      </c>
      <c r="D36">
        <f t="shared" ca="1" si="1"/>
        <v>401.68130020595362</v>
      </c>
      <c r="E36">
        <f t="shared" si="2"/>
        <v>100</v>
      </c>
      <c r="F36">
        <f t="shared" ca="1" si="6"/>
        <v>772.45454136335195</v>
      </c>
      <c r="G36">
        <f t="shared" ca="1" si="7"/>
        <v>501.68130020595362</v>
      </c>
      <c r="H36">
        <f t="shared" ca="1" si="8"/>
        <v>270.77324115739833</v>
      </c>
      <c r="O36">
        <v>13</v>
      </c>
      <c r="P36" s="4">
        <f t="shared" ca="1" si="9"/>
        <v>-178.24202701250192</v>
      </c>
      <c r="Q36" s="4">
        <f ca="1">_xll.PDENSITY($P$36,'Gen 1'!$H$15:$H$114,$P$18,$P$19,0)</f>
        <v>5.6380520750152899E-4</v>
      </c>
      <c r="S36">
        <f ca="1">SMALL('Gen 1'!$H$15:$H$114,22)</f>
        <v>-20.126629967293809</v>
      </c>
      <c r="T36">
        <f ca="1">1/(COUNT('Gen 1'!$H$15:$H$114)-1)+$T$35</f>
        <v>0.21212121212121218</v>
      </c>
    </row>
    <row r="37" spans="1:20" x14ac:dyDescent="0.2">
      <c r="A37">
        <v>23</v>
      </c>
      <c r="B37">
        <f ca="1">_xll.NORM($C$6,$D$6)</f>
        <v>13.802159775044634</v>
      </c>
      <c r="C37">
        <f ca="1">_xll.TRIANGLE($C$7,$D$7,$E$7)</f>
        <v>63.983867716194233</v>
      </c>
      <c r="D37">
        <f t="shared" ca="1" si="1"/>
        <v>403.90320629716541</v>
      </c>
      <c r="E37">
        <f t="shared" si="2"/>
        <v>100</v>
      </c>
      <c r="F37">
        <f t="shared" ca="1" si="6"/>
        <v>883.11556524423304</v>
      </c>
      <c r="G37">
        <f t="shared" ca="1" si="7"/>
        <v>503.90320629716541</v>
      </c>
      <c r="H37">
        <f t="shared" ca="1" si="8"/>
        <v>379.21235894706763</v>
      </c>
      <c r="O37">
        <v>14</v>
      </c>
      <c r="P37" s="4">
        <f t="shared" ca="1" si="9"/>
        <v>-171.34150045076399</v>
      </c>
      <c r="Q37" s="4">
        <f ca="1">_xll.PDENSITY($P$37,'Gen 1'!$H$15:$H$114,$P$18,$P$19,0)</f>
        <v>5.9756345730782188E-4</v>
      </c>
      <c r="S37">
        <f ca="1">SMALL('Gen 1'!$H$15:$H$114,23)</f>
        <v>-7.9205757819525502</v>
      </c>
      <c r="T37">
        <f ca="1">1/(COUNT('Gen 1'!$H$15:$H$114)-1)+$T$36</f>
        <v>0.22222222222222229</v>
      </c>
    </row>
    <row r="38" spans="1:20" x14ac:dyDescent="0.2">
      <c r="A38">
        <v>24</v>
      </c>
      <c r="B38">
        <f ca="1">_xll.NORM($C$6,$D$6)</f>
        <v>9.3634738748298965</v>
      </c>
      <c r="C38">
        <f ca="1">_xll.TRIANGLE($C$7,$D$7,$E$7)</f>
        <v>46.098895450765724</v>
      </c>
      <c r="D38">
        <f t="shared" ca="1" si="1"/>
        <v>296.59337270459434</v>
      </c>
      <c r="E38">
        <f t="shared" si="2"/>
        <v>100</v>
      </c>
      <c r="F38">
        <f t="shared" ca="1" si="6"/>
        <v>431.64580321175964</v>
      </c>
      <c r="G38">
        <f t="shared" ca="1" si="7"/>
        <v>396.59337270459434</v>
      </c>
      <c r="H38">
        <f t="shared" ca="1" si="8"/>
        <v>35.052430507165298</v>
      </c>
      <c r="O38">
        <v>15</v>
      </c>
      <c r="P38" s="4">
        <f t="shared" ca="1" si="9"/>
        <v>-164.44097388902605</v>
      </c>
      <c r="Q38" s="4">
        <f ca="1">_xll.PDENSITY($P$38,'Gen 1'!$H$15:$H$114,$P$18,$P$19,0)</f>
        <v>6.3389801000461436E-4</v>
      </c>
      <c r="S38">
        <f ca="1">SMALL('Gen 1'!$H$15:$H$114,24)</f>
        <v>-7.7879161112757629</v>
      </c>
      <c r="T38">
        <f ca="1">1/(COUNT('Gen 1'!$H$15:$H$114)-1)+$T$37</f>
        <v>0.2323232323232324</v>
      </c>
    </row>
    <row r="39" spans="1:20" x14ac:dyDescent="0.2">
      <c r="A39">
        <v>25</v>
      </c>
      <c r="B39">
        <f ca="1">_xll.NORM($C$6,$D$6)</f>
        <v>5.5139906683075015</v>
      </c>
      <c r="C39">
        <f ca="1">_xll.TRIANGLE($C$7,$D$7,$E$7)</f>
        <v>30.672000822830739</v>
      </c>
      <c r="D39">
        <f t="shared" ca="1" si="1"/>
        <v>204.03200493698444</v>
      </c>
      <c r="E39">
        <f t="shared" si="2"/>
        <v>100</v>
      </c>
      <c r="F39">
        <f t="shared" ca="1" si="6"/>
        <v>169.12512631540869</v>
      </c>
      <c r="G39">
        <f t="shared" ca="1" si="7"/>
        <v>304.03200493698444</v>
      </c>
      <c r="H39">
        <f t="shared" ca="1" si="8"/>
        <v>-134.90687862157574</v>
      </c>
      <c r="O39">
        <v>16</v>
      </c>
      <c r="P39" s="4">
        <f t="shared" ca="1" si="9"/>
        <v>-157.54044732728812</v>
      </c>
      <c r="Q39" s="4">
        <f ca="1">_xll.PDENSITY($P$39,'Gen 1'!$H$15:$H$114,$P$18,$P$19,0)</f>
        <v>6.7303400449305489E-4</v>
      </c>
      <c r="S39">
        <f ca="1">SMALL('Gen 1'!$H$15:$H$114,25)</f>
        <v>-2.8119253013828711</v>
      </c>
      <c r="T39">
        <f ca="1">1/(COUNT('Gen 1'!$H$15:$H$114)-1)+$T$38</f>
        <v>0.24242424242424251</v>
      </c>
    </row>
    <row r="40" spans="1:20" x14ac:dyDescent="0.2">
      <c r="A40">
        <v>26</v>
      </c>
      <c r="B40">
        <f ca="1">_xll.NORM($C$6,$D$6)</f>
        <v>12.937026038408328</v>
      </c>
      <c r="C40">
        <f ca="1">_xll.TRIANGLE($C$7,$D$7,$E$7)</f>
        <v>53.683564531255449</v>
      </c>
      <c r="D40">
        <f t="shared" ca="1" si="1"/>
        <v>342.10138718753268</v>
      </c>
      <c r="E40">
        <f t="shared" si="2"/>
        <v>100</v>
      </c>
      <c r="F40">
        <f t="shared" ca="1" si="6"/>
        <v>694.5056721754255</v>
      </c>
      <c r="G40">
        <f t="shared" ca="1" si="7"/>
        <v>442.10138718753268</v>
      </c>
      <c r="H40">
        <f t="shared" ca="1" si="8"/>
        <v>252.40428498789282</v>
      </c>
      <c r="O40">
        <v>17</v>
      </c>
      <c r="P40" s="4">
        <f t="shared" ca="1" si="9"/>
        <v>-150.63992076555019</v>
      </c>
      <c r="Q40" s="4">
        <f ca="1">_xll.PDENSITY($P$40,'Gen 1'!$H$15:$H$114,$P$18,$P$19,0)</f>
        <v>7.1511495990589922E-4</v>
      </c>
      <c r="S40">
        <f ca="1">SMALL('Gen 1'!$H$15:$H$114,26)</f>
        <v>2.449877898402633</v>
      </c>
      <c r="T40">
        <f ca="1">1/(COUNT('Gen 1'!$H$15:$H$114)-1)+$T$39</f>
        <v>0.2525252525252526</v>
      </c>
    </row>
    <row r="41" spans="1:20" x14ac:dyDescent="0.2">
      <c r="A41">
        <v>27</v>
      </c>
      <c r="B41">
        <f ca="1">_xll.NORM($C$6,$D$6)</f>
        <v>7.8804090224632928</v>
      </c>
      <c r="C41">
        <f ca="1">_xll.TRIANGLE($C$7,$D$7,$E$7)</f>
        <v>27.282825741513385</v>
      </c>
      <c r="D41">
        <f t="shared" ca="1" si="1"/>
        <v>183.69695444908029</v>
      </c>
      <c r="E41">
        <f t="shared" si="2"/>
        <v>100</v>
      </c>
      <c r="F41">
        <f t="shared" ca="1" si="6"/>
        <v>214.99982613171585</v>
      </c>
      <c r="G41">
        <f t="shared" ca="1" si="7"/>
        <v>283.69695444908029</v>
      </c>
      <c r="H41">
        <f t="shared" ca="1" si="8"/>
        <v>-68.697128317364445</v>
      </c>
      <c r="O41">
        <v>18</v>
      </c>
      <c r="P41" s="4">
        <f t="shared" ca="1" si="9"/>
        <v>-143.73939420381225</v>
      </c>
      <c r="Q41" s="4">
        <f ca="1">_xll.PDENSITY($P$41,'Gen 1'!$H$15:$H$114,$P$18,$P$19,0)</f>
        <v>7.6019041868721706E-4</v>
      </c>
      <c r="S41">
        <f ca="1">SMALL('Gen 1'!$H$15:$H$114,27)</f>
        <v>13.672998670222455</v>
      </c>
      <c r="T41">
        <f ca="1">1/(COUNT('Gen 1'!$H$15:$H$114)-1)+$T$40</f>
        <v>0.26262626262626271</v>
      </c>
    </row>
    <row r="42" spans="1:20" x14ac:dyDescent="0.2">
      <c r="A42">
        <v>28</v>
      </c>
      <c r="B42">
        <f ca="1">_xll.NORM($C$6,$D$6)</f>
        <v>7.9123947211529959</v>
      </c>
      <c r="C42">
        <f ca="1">_xll.TRIANGLE($C$7,$D$7,$E$7)</f>
        <v>58.676215034242944</v>
      </c>
      <c r="D42">
        <f t="shared" ca="1" si="1"/>
        <v>372.05729020545766</v>
      </c>
      <c r="E42">
        <f t="shared" si="2"/>
        <v>100</v>
      </c>
      <c r="F42">
        <f t="shared" ca="1" si="6"/>
        <v>464.2693740941819</v>
      </c>
      <c r="G42">
        <f t="shared" ca="1" si="7"/>
        <v>472.05729020545766</v>
      </c>
      <c r="H42">
        <f t="shared" ca="1" si="8"/>
        <v>-7.7879161112757629</v>
      </c>
      <c r="O42">
        <v>19</v>
      </c>
      <c r="P42" s="4">
        <f t="shared" ca="1" si="9"/>
        <v>-136.83886764207432</v>
      </c>
      <c r="Q42" s="4">
        <f ca="1">_xll.PDENSITY($P$42,'Gen 1'!$H$15:$H$114,$P$18,$P$19,0)</f>
        <v>8.0821042032988241E-4</v>
      </c>
      <c r="S42">
        <f ca="1">SMALL('Gen 1'!$H$15:$H$114,28)</f>
        <v>17.804757097757772</v>
      </c>
      <c r="T42">
        <f ca="1">1/(COUNT('Gen 1'!$H$15:$H$114)-1)+$T$41</f>
        <v>0.27272727272727282</v>
      </c>
    </row>
    <row r="43" spans="1:20" x14ac:dyDescent="0.2">
      <c r="A43">
        <v>29</v>
      </c>
      <c r="B43">
        <f ca="1">_xll.NORM($C$6,$D$6)</f>
        <v>10.756771541978557</v>
      </c>
      <c r="C43">
        <f ca="1">_xll.TRIANGLE($C$7,$D$7,$E$7)</f>
        <v>42.242998371678667</v>
      </c>
      <c r="D43">
        <f t="shared" ca="1" si="1"/>
        <v>273.45799023007203</v>
      </c>
      <c r="E43">
        <f t="shared" si="2"/>
        <v>100</v>
      </c>
      <c r="F43">
        <f t="shared" ca="1" si="6"/>
        <v>454.39828273231961</v>
      </c>
      <c r="G43">
        <f t="shared" ca="1" si="7"/>
        <v>373.45799023007203</v>
      </c>
      <c r="H43">
        <f t="shared" ca="1" si="8"/>
        <v>80.940292502247587</v>
      </c>
      <c r="O43">
        <v>20</v>
      </c>
      <c r="P43" s="4">
        <f t="shared" ca="1" si="9"/>
        <v>-129.93834108033639</v>
      </c>
      <c r="Q43" s="4">
        <f ca="1">_xll.PDENSITY($P$43,'Gen 1'!$H$15:$H$114,$P$18,$P$19,0)</f>
        <v>8.590275925463302E-4</v>
      </c>
      <c r="S43">
        <f ca="1">SMALL('Gen 1'!$H$15:$H$114,29)</f>
        <v>30.214950060473313</v>
      </c>
      <c r="T43">
        <f ca="1">1/(COUNT('Gen 1'!$H$15:$H$114)-1)+$T$42</f>
        <v>0.28282828282828293</v>
      </c>
    </row>
    <row r="44" spans="1:20" x14ac:dyDescent="0.2">
      <c r="A44">
        <v>30</v>
      </c>
      <c r="B44">
        <f ca="1">_xll.NORM($C$6,$D$6)</f>
        <v>9.362534992085795</v>
      </c>
      <c r="C44">
        <f ca="1">_xll.TRIANGLE($C$7,$D$7,$E$7)</f>
        <v>57.948168289951759</v>
      </c>
      <c r="D44">
        <f t="shared" ca="1" si="1"/>
        <v>367.68900973971057</v>
      </c>
      <c r="E44">
        <f t="shared" si="2"/>
        <v>100</v>
      </c>
      <c r="F44">
        <f t="shared" ca="1" si="6"/>
        <v>542.54175334194986</v>
      </c>
      <c r="G44">
        <f t="shared" ca="1" si="7"/>
        <v>467.68900973971057</v>
      </c>
      <c r="H44">
        <f t="shared" ca="1" si="8"/>
        <v>74.852743602239286</v>
      </c>
      <c r="O44">
        <v>21</v>
      </c>
      <c r="P44" s="4">
        <f t="shared" ca="1" si="9"/>
        <v>-123.03781451859847</v>
      </c>
      <c r="Q44" s="4">
        <f ca="1">_xll.PDENSITY($P$44,'Gen 1'!$H$15:$H$114,$P$18,$P$19,0)</f>
        <v>9.1240696004733779E-4</v>
      </c>
      <c r="S44">
        <f ca="1">SMALL('Gen 1'!$H$15:$H$114,30)</f>
        <v>30.95589820300961</v>
      </c>
      <c r="T44">
        <f ca="1">1/(COUNT('Gen 1'!$H$15:$H$114)-1)+$T$43</f>
        <v>0.29292929292929304</v>
      </c>
    </row>
    <row r="45" spans="1:20" x14ac:dyDescent="0.2">
      <c r="A45">
        <v>31</v>
      </c>
      <c r="B45">
        <f ca="1">_xll.NORM($C$6,$D$6)</f>
        <v>9.0746954117300387</v>
      </c>
      <c r="C45">
        <f ca="1">_xll.TRIANGLE($C$7,$D$7,$E$7)</f>
        <v>63.278298250140629</v>
      </c>
      <c r="D45">
        <f t="shared" ca="1" si="1"/>
        <v>399.66978950084376</v>
      </c>
      <c r="E45">
        <f t="shared" si="2"/>
        <v>100</v>
      </c>
      <c r="F45">
        <f t="shared" ca="1" si="6"/>
        <v>574.23128279263608</v>
      </c>
      <c r="G45">
        <f t="shared" ca="1" si="7"/>
        <v>499.66978950084376</v>
      </c>
      <c r="H45">
        <f t="shared" ca="1" si="8"/>
        <v>74.561493291792317</v>
      </c>
      <c r="O45">
        <v>22</v>
      </c>
      <c r="P45" s="4">
        <f t="shared" ca="1" si="9"/>
        <v>-116.13728795686055</v>
      </c>
      <c r="Q45" s="4">
        <f ca="1">_xll.PDENSITY($P$45,'Gen 1'!$H$15:$H$114,$P$18,$P$19,0)</f>
        <v>9.6804282809944786E-4</v>
      </c>
      <c r="S45">
        <f ca="1">SMALL('Gen 1'!$H$15:$H$114,31)</f>
        <v>32.781411974371053</v>
      </c>
      <c r="T45">
        <f ca="1">1/(COUNT('Gen 1'!$H$15:$H$114)-1)+$T$44</f>
        <v>0.30303030303030315</v>
      </c>
    </row>
    <row r="46" spans="1:20" x14ac:dyDescent="0.2">
      <c r="A46">
        <v>32</v>
      </c>
      <c r="B46">
        <f ca="1">_xll.NORM($C$6,$D$6)</f>
        <v>5.7622255859508131</v>
      </c>
      <c r="C46">
        <f ca="1">_xll.TRIANGLE($C$7,$D$7,$E$7)</f>
        <v>52.639050494576281</v>
      </c>
      <c r="D46">
        <f t="shared" ca="1" si="1"/>
        <v>335.83430296745769</v>
      </c>
      <c r="E46">
        <f t="shared" si="2"/>
        <v>100</v>
      </c>
      <c r="F46">
        <f t="shared" ca="1" si="6"/>
        <v>303.31808358000427</v>
      </c>
      <c r="G46">
        <f t="shared" ca="1" si="7"/>
        <v>435.83430296745769</v>
      </c>
      <c r="H46">
        <f t="shared" ca="1" si="8"/>
        <v>-132.51621938745342</v>
      </c>
      <c r="O46">
        <v>23</v>
      </c>
      <c r="P46" s="4">
        <f t="shared" ca="1" si="9"/>
        <v>-109.23676139512263</v>
      </c>
      <c r="Q46" s="4">
        <f ca="1">_xll.PDENSITY($P$46,'Gen 1'!$H$15:$H$114,$P$18,$P$19,0)</f>
        <v>1.0255813742921268E-3</v>
      </c>
      <c r="S46">
        <f ca="1">SMALL('Gen 1'!$H$15:$H$114,32)</f>
        <v>35.052430507165298</v>
      </c>
      <c r="T46">
        <f ca="1">1/(COUNT('Gen 1'!$H$15:$H$114)-1)+$T$45</f>
        <v>0.31313131313131326</v>
      </c>
    </row>
    <row r="47" spans="1:20" x14ac:dyDescent="0.2">
      <c r="A47">
        <v>33</v>
      </c>
      <c r="B47">
        <f ca="1">_xll.NORM($C$6,$D$6)</f>
        <v>8.379892654831842</v>
      </c>
      <c r="C47">
        <f ca="1">_xll.TRIANGLE($C$7,$D$7,$E$7)</f>
        <v>41.965493624233673</v>
      </c>
      <c r="D47">
        <f t="shared" ca="1" si="1"/>
        <v>271.79296174540207</v>
      </c>
      <c r="E47">
        <f t="shared" si="2"/>
        <v>100</v>
      </c>
      <c r="F47">
        <f t="shared" ca="1" si="6"/>
        <v>351.66633177810826</v>
      </c>
      <c r="G47">
        <f t="shared" ca="1" si="7"/>
        <v>371.79296174540207</v>
      </c>
      <c r="H47">
        <f t="shared" ca="1" si="8"/>
        <v>-20.126629967293809</v>
      </c>
      <c r="O47">
        <v>24</v>
      </c>
      <c r="P47" s="4">
        <f t="shared" ca="1" si="9"/>
        <v>-102.33623483338471</v>
      </c>
      <c r="Q47" s="4">
        <f ca="1">_xll.PDENSITY($P$47,'Gen 1'!$H$15:$H$114,$P$18,$P$19,0)</f>
        <v>1.0846469558543439E-3</v>
      </c>
      <c r="S47">
        <f ca="1">SMALL('Gen 1'!$H$15:$H$114,33)</f>
        <v>36.478982090852128</v>
      </c>
      <c r="T47">
        <f ca="1">1/(COUNT('Gen 1'!$H$15:$H$114)-1)+$T$46</f>
        <v>0.32323232323232337</v>
      </c>
    </row>
    <row r="48" spans="1:20" x14ac:dyDescent="0.2">
      <c r="A48">
        <v>34</v>
      </c>
      <c r="B48">
        <f ca="1">_xll.NORM($C$6,$D$6)</f>
        <v>6.478168206816318</v>
      </c>
      <c r="C48">
        <f ca="1">_xll.TRIANGLE($C$7,$D$7,$E$7)</f>
        <v>59.70333714524196</v>
      </c>
      <c r="D48">
        <f t="shared" ca="1" si="1"/>
        <v>378.22002287145176</v>
      </c>
      <c r="E48">
        <f t="shared" si="2"/>
        <v>100</v>
      </c>
      <c r="F48">
        <f t="shared" ca="1" si="6"/>
        <v>386.76826053514219</v>
      </c>
      <c r="G48">
        <f t="shared" ca="1" si="7"/>
        <v>478.22002287145176</v>
      </c>
      <c r="H48">
        <f t="shared" ca="1" si="8"/>
        <v>-91.451762336309571</v>
      </c>
      <c r="O48">
        <v>25</v>
      </c>
      <c r="P48" s="4">
        <f t="shared" ca="1" si="9"/>
        <v>-95.435708271646789</v>
      </c>
      <c r="Q48" s="4">
        <f ca="1">_xll.PDENSITY($P$48,'Gen 1'!$H$15:$H$114,$P$18,$P$19,0)</f>
        <v>1.144869683561733E-3</v>
      </c>
      <c r="S48">
        <f ca="1">SMALL('Gen 1'!$H$15:$H$114,34)</f>
        <v>37.545749176323397</v>
      </c>
      <c r="T48">
        <f ca="1">1/(COUNT('Gen 1'!$H$15:$H$114)-1)+$T$47</f>
        <v>0.33333333333333348</v>
      </c>
    </row>
    <row r="49" spans="1:20" x14ac:dyDescent="0.2">
      <c r="A49">
        <v>35</v>
      </c>
      <c r="B49">
        <f ca="1">_xll.NORM($C$6,$D$6)</f>
        <v>14.53936187469432</v>
      </c>
      <c r="C49">
        <f ca="1">_xll.TRIANGLE($C$7,$D$7,$E$7)</f>
        <v>57.255878573471463</v>
      </c>
      <c r="D49">
        <f t="shared" ca="1" si="1"/>
        <v>363.53527144082875</v>
      </c>
      <c r="E49">
        <f t="shared" si="2"/>
        <v>100</v>
      </c>
      <c r="F49">
        <f t="shared" ca="1" si="6"/>
        <v>832.46393803325839</v>
      </c>
      <c r="G49">
        <f t="shared" ca="1" si="7"/>
        <v>463.53527144082875</v>
      </c>
      <c r="H49">
        <f t="shared" ca="1" si="8"/>
        <v>368.92866659242964</v>
      </c>
      <c r="O49">
        <v>26</v>
      </c>
      <c r="P49" s="4">
        <f t="shared" ca="1" si="9"/>
        <v>-88.535181709908869</v>
      </c>
      <c r="Q49" s="4">
        <f ca="1">_xll.PDENSITY($P$49,'Gen 1'!$H$15:$H$114,$P$18,$P$19,0)</f>
        <v>1.2059115840864897E-3</v>
      </c>
      <c r="S49">
        <f ca="1">SMALL('Gen 1'!$H$15:$H$114,35)</f>
        <v>46.99873812888552</v>
      </c>
      <c r="T49">
        <f ca="1">1/(COUNT('Gen 1'!$H$15:$H$114)-1)+$T$48</f>
        <v>0.34343434343434359</v>
      </c>
    </row>
    <row r="50" spans="1:20" x14ac:dyDescent="0.2">
      <c r="A50">
        <v>36</v>
      </c>
      <c r="B50">
        <f ca="1">_xll.NORM($C$6,$D$6)</f>
        <v>12.877204406524132</v>
      </c>
      <c r="C50">
        <f ca="1">_xll.TRIANGLE($C$7,$D$7,$E$7)</f>
        <v>44.816219022294675</v>
      </c>
      <c r="D50">
        <f t="shared" ca="1" si="1"/>
        <v>288.89731413376808</v>
      </c>
      <c r="E50">
        <f t="shared" si="2"/>
        <v>100</v>
      </c>
      <c r="F50">
        <f t="shared" ca="1" si="6"/>
        <v>577.10761307764358</v>
      </c>
      <c r="G50">
        <f t="shared" ca="1" si="7"/>
        <v>388.89731413376808</v>
      </c>
      <c r="H50">
        <f t="shared" ca="1" si="8"/>
        <v>188.2102989438755</v>
      </c>
      <c r="O50">
        <v>27</v>
      </c>
      <c r="P50" s="4">
        <f t="shared" ca="1" si="9"/>
        <v>-81.63465514817095</v>
      </c>
      <c r="Q50" s="4">
        <f ca="1">_xll.PDENSITY($P$50,'Gen 1'!$H$15:$H$114,$P$18,$P$19,0)</f>
        <v>1.267488705899973E-3</v>
      </c>
      <c r="S50">
        <f ca="1">SMALL('Gen 1'!$H$15:$H$114,36)</f>
        <v>48.258936906348879</v>
      </c>
      <c r="T50">
        <f ca="1">1/(COUNT('Gen 1'!$H$15:$H$114)-1)+$T$49</f>
        <v>0.3535353535353537</v>
      </c>
    </row>
    <row r="51" spans="1:20" x14ac:dyDescent="0.2">
      <c r="A51">
        <v>37</v>
      </c>
      <c r="B51">
        <f ca="1">_xll.NORM($C$6,$D$6)</f>
        <v>9.798127248313337</v>
      </c>
      <c r="C51">
        <f ca="1">_xll.TRIANGLE($C$7,$D$7,$E$7)</f>
        <v>49.195135845398113</v>
      </c>
      <c r="D51">
        <f t="shared" ca="1" si="1"/>
        <v>315.17081507238868</v>
      </c>
      <c r="E51">
        <f t="shared" si="2"/>
        <v>100</v>
      </c>
      <c r="F51">
        <f t="shared" ca="1" si="6"/>
        <v>482.02020101127141</v>
      </c>
      <c r="G51">
        <f t="shared" ca="1" si="7"/>
        <v>415.17081507238868</v>
      </c>
      <c r="H51">
        <f t="shared" ca="1" si="8"/>
        <v>66.849385938882733</v>
      </c>
      <c r="O51">
        <v>28</v>
      </c>
      <c r="P51" s="4">
        <f t="shared" ca="1" si="9"/>
        <v>-74.73412858643303</v>
      </c>
      <c r="Q51" s="4">
        <f ca="1">_xll.PDENSITY($P$51,'Gen 1'!$H$15:$H$114,$P$18,$P$19,0)</f>
        <v>1.3293868280848315E-3</v>
      </c>
      <c r="S51">
        <f ca="1">SMALL('Gen 1'!$H$15:$H$114,37)</f>
        <v>52.965702989499619</v>
      </c>
      <c r="T51">
        <f ca="1">1/(COUNT('Gen 1'!$H$15:$H$114)-1)+$T$50</f>
        <v>0.36363636363636381</v>
      </c>
    </row>
    <row r="52" spans="1:20" x14ac:dyDescent="0.2">
      <c r="A52">
        <v>38</v>
      </c>
      <c r="B52">
        <f ca="1">_xll.NORM($C$6,$D$6)</f>
        <v>14.949177545785055</v>
      </c>
      <c r="C52">
        <f ca="1">_xll.TRIANGLE($C$7,$D$7,$E$7)</f>
        <v>33.163540883582577</v>
      </c>
      <c r="D52">
        <f t="shared" ca="1" si="1"/>
        <v>218.98124530149545</v>
      </c>
      <c r="E52">
        <f t="shared" si="2"/>
        <v>100</v>
      </c>
      <c r="F52">
        <f t="shared" ca="1" si="6"/>
        <v>495.76766071557734</v>
      </c>
      <c r="G52">
        <f t="shared" ca="1" si="7"/>
        <v>318.98124530149545</v>
      </c>
      <c r="H52">
        <f t="shared" ca="1" si="8"/>
        <v>176.78641541408189</v>
      </c>
      <c r="O52">
        <v>29</v>
      </c>
      <c r="P52" s="4">
        <f t="shared" ca="1" si="9"/>
        <v>-67.833602024695111</v>
      </c>
      <c r="Q52" s="4">
        <f ca="1">_xll.PDENSITY($P$52,'Gen 1'!$H$15:$H$114,$P$18,$P$19,0)</f>
        <v>1.3914689865190421E-3</v>
      </c>
      <c r="S52">
        <f ca="1">SMALL('Gen 1'!$H$15:$H$114,38)</f>
        <v>57.761224273372363</v>
      </c>
      <c r="T52">
        <f ca="1">1/(COUNT('Gen 1'!$H$15:$H$114)-1)+$T$51</f>
        <v>0.37373737373737392</v>
      </c>
    </row>
    <row r="53" spans="1:20" x14ac:dyDescent="0.2">
      <c r="A53">
        <v>39</v>
      </c>
      <c r="B53">
        <f ca="1">_xll.NORM($C$6,$D$6)</f>
        <v>8.4851178059560439</v>
      </c>
      <c r="C53">
        <f ca="1">_xll.TRIANGLE($C$7,$D$7,$E$7)</f>
        <v>53.789401190499071</v>
      </c>
      <c r="D53">
        <f t="shared" ca="1" si="1"/>
        <v>342.73640714299444</v>
      </c>
      <c r="E53">
        <f t="shared" si="2"/>
        <v>100</v>
      </c>
      <c r="F53">
        <f t="shared" ca="1" si="6"/>
        <v>456.40940581321689</v>
      </c>
      <c r="G53">
        <f t="shared" ca="1" si="7"/>
        <v>442.73640714299444</v>
      </c>
      <c r="H53">
        <f t="shared" ca="1" si="8"/>
        <v>13.672998670222455</v>
      </c>
      <c r="O53">
        <v>30</v>
      </c>
      <c r="P53" s="4">
        <f t="shared" ca="1" si="9"/>
        <v>-60.933075462957184</v>
      </c>
      <c r="Q53" s="4">
        <f ca="1">_xll.PDENSITY($P$53,'Gen 1'!$H$15:$H$114,$P$18,$P$19,0)</f>
        <v>1.4536737903555954E-3</v>
      </c>
      <c r="S53">
        <f ca="1">SMALL('Gen 1'!$H$15:$H$114,39)</f>
        <v>61.692510791667928</v>
      </c>
      <c r="T53">
        <f ca="1">1/(COUNT('Gen 1'!$H$15:$H$114)-1)+$T$52</f>
        <v>0.38383838383838403</v>
      </c>
    </row>
    <row r="54" spans="1:20" x14ac:dyDescent="0.2">
      <c r="A54">
        <v>40</v>
      </c>
      <c r="B54">
        <f ca="1">_xll.NORM($C$6,$D$6)</f>
        <v>10.090432224440578</v>
      </c>
      <c r="C54">
        <f ca="1">_xll.TRIANGLE($C$7,$D$7,$E$7)</f>
        <v>36.904632547396588</v>
      </c>
      <c r="D54">
        <f t="shared" ca="1" si="1"/>
        <v>241.42779528437953</v>
      </c>
      <c r="E54">
        <f t="shared" si="2"/>
        <v>100</v>
      </c>
      <c r="F54">
        <f t="shared" ca="1" si="6"/>
        <v>372.38369348738911</v>
      </c>
      <c r="G54">
        <f t="shared" ca="1" si="7"/>
        <v>341.4277952843795</v>
      </c>
      <c r="H54">
        <f t="shared" ca="1" si="8"/>
        <v>30.95589820300961</v>
      </c>
      <c r="O54">
        <v>31</v>
      </c>
      <c r="P54" s="4">
        <f t="shared" ca="1" si="9"/>
        <v>-54.032548901219258</v>
      </c>
      <c r="Q54" s="4">
        <f ca="1">_xll.PDENSITY($P$54,'Gen 1'!$H$15:$H$114,$P$18,$P$19,0)</f>
        <v>1.5160043929985344E-3</v>
      </c>
      <c r="S54">
        <f ca="1">SMALL('Gen 1'!$H$15:$H$114,40)</f>
        <v>64.064612739811878</v>
      </c>
      <c r="T54">
        <f ca="1">1/(COUNT('Gen 1'!$H$15:$H$114)-1)+$T$53</f>
        <v>0.39393939393939414</v>
      </c>
    </row>
    <row r="55" spans="1:20" x14ac:dyDescent="0.2">
      <c r="A55">
        <v>41</v>
      </c>
      <c r="B55">
        <f ca="1">_xll.NORM($C$6,$D$6)</f>
        <v>12.285462237989398</v>
      </c>
      <c r="C55">
        <f ca="1">_xll.TRIANGLE($C$7,$D$7,$E$7)</f>
        <v>54.204120731280319</v>
      </c>
      <c r="D55">
        <f t="shared" ca="1" si="1"/>
        <v>345.22472438768193</v>
      </c>
      <c r="E55">
        <f t="shared" si="2"/>
        <v>100</v>
      </c>
      <c r="F55">
        <f t="shared" ca="1" si="6"/>
        <v>665.92267838756266</v>
      </c>
      <c r="G55">
        <f t="shared" ca="1" si="7"/>
        <v>445.22472438768193</v>
      </c>
      <c r="H55">
        <f t="shared" ca="1" si="8"/>
        <v>220.69795399988072</v>
      </c>
      <c r="O55">
        <v>32</v>
      </c>
      <c r="P55" s="4">
        <f t="shared" ca="1" si="9"/>
        <v>-47.132022339481331</v>
      </c>
      <c r="Q55" s="4">
        <f ca="1">_xll.PDENSITY($P$55,'Gen 1'!$H$15:$H$114,$P$18,$P$19,0)</f>
        <v>1.5785089191776174E-3</v>
      </c>
      <c r="S55">
        <f ca="1">SMALL('Gen 1'!$H$15:$H$114,41)</f>
        <v>64.879321156825313</v>
      </c>
      <c r="T55">
        <f ca="1">1/(COUNT('Gen 1'!$H$15:$H$114)-1)+$T$54</f>
        <v>0.40404040404040426</v>
      </c>
    </row>
    <row r="56" spans="1:20" x14ac:dyDescent="0.2">
      <c r="A56">
        <v>42</v>
      </c>
      <c r="B56">
        <f ca="1">_xll.NORM($C$6,$D$6)</f>
        <v>12.82421946659567</v>
      </c>
      <c r="C56">
        <f ca="1">_xll.TRIANGLE($C$7,$D$7,$E$7)</f>
        <v>60.266458954262198</v>
      </c>
      <c r="D56">
        <f t="shared" ca="1" si="1"/>
        <v>381.5987537255732</v>
      </c>
      <c r="E56">
        <f t="shared" si="2"/>
        <v>100</v>
      </c>
      <c r="F56">
        <f t="shared" ca="1" si="6"/>
        <v>772.87029610403818</v>
      </c>
      <c r="G56">
        <f t="shared" ca="1" si="7"/>
        <v>481.5987537255732</v>
      </c>
      <c r="H56">
        <f t="shared" ca="1" si="8"/>
        <v>291.27154237846497</v>
      </c>
      <c r="O56">
        <v>33</v>
      </c>
      <c r="P56" s="4">
        <f t="shared" ca="1" si="9"/>
        <v>-40.231495777743405</v>
      </c>
      <c r="Q56" s="4">
        <f ca="1">_xll.PDENSITY($P$56,'Gen 1'!$H$15:$H$114,$P$18,$P$19,0)</f>
        <v>1.6412540390940724E-3</v>
      </c>
      <c r="S56">
        <f ca="1">SMALL('Gen 1'!$H$15:$H$114,42)</f>
        <v>66.849385938882733</v>
      </c>
      <c r="T56">
        <f ca="1">1/(COUNT('Gen 1'!$H$15:$H$114)-1)+$T$55</f>
        <v>0.41414141414141437</v>
      </c>
    </row>
    <row r="57" spans="1:20" x14ac:dyDescent="0.2">
      <c r="A57">
        <v>43</v>
      </c>
      <c r="B57">
        <f ca="1">_xll.NORM($C$6,$D$6)</f>
        <v>7.0455066819068435</v>
      </c>
      <c r="C57">
        <f ca="1">_xll.TRIANGLE($C$7,$D$7,$E$7)</f>
        <v>42.4505750552742</v>
      </c>
      <c r="D57">
        <f t="shared" ca="1" si="1"/>
        <v>274.70345033164517</v>
      </c>
      <c r="E57">
        <f t="shared" si="2"/>
        <v>100</v>
      </c>
      <c r="F57">
        <f t="shared" ca="1" si="6"/>
        <v>299.08581020272237</v>
      </c>
      <c r="G57">
        <f t="shared" ca="1" si="7"/>
        <v>374.70345033164517</v>
      </c>
      <c r="H57">
        <f t="shared" ca="1" si="8"/>
        <v>-75.617640128922801</v>
      </c>
      <c r="O57">
        <v>34</v>
      </c>
      <c r="P57" s="4">
        <f t="shared" ref="P57:P88" ca="1" si="10">1/99*($P$17-$P$16)+P56</f>
        <v>-33.330969216005478</v>
      </c>
      <c r="Q57" s="4">
        <f ca="1">_xll.PDENSITY($P$57,'Gen 1'!$H$15:$H$114,$P$18,$P$19,0)</f>
        <v>1.704294129905605E-3</v>
      </c>
      <c r="S57">
        <f ca="1">SMALL('Gen 1'!$H$15:$H$114,43)</f>
        <v>70.451360971793974</v>
      </c>
      <c r="T57">
        <f ca="1">1/(COUNT('Gen 1'!$H$15:$H$114)-1)+$T$56</f>
        <v>0.42424242424242448</v>
      </c>
    </row>
    <row r="58" spans="1:20" x14ac:dyDescent="0.2">
      <c r="A58">
        <v>44</v>
      </c>
      <c r="B58">
        <f ca="1">_xll.NORM($C$6,$D$6)</f>
        <v>9.5076104143522269</v>
      </c>
      <c r="C58">
        <f ca="1">_xll.TRIANGLE($C$7,$D$7,$E$7)</f>
        <v>26.527062054439195</v>
      </c>
      <c r="D58">
        <f t="shared" ca="1" si="1"/>
        <v>179.16237232663516</v>
      </c>
      <c r="E58">
        <f t="shared" si="2"/>
        <v>100</v>
      </c>
      <c r="F58">
        <f t="shared" ca="1" si="6"/>
        <v>252.20897145095387</v>
      </c>
      <c r="G58">
        <f t="shared" ca="1" si="7"/>
        <v>279.16237232663514</v>
      </c>
      <c r="H58">
        <f t="shared" ca="1" si="8"/>
        <v>-26.953400875681268</v>
      </c>
      <c r="O58">
        <v>35</v>
      </c>
      <c r="P58" s="4">
        <f t="shared" ca="1" si="10"/>
        <v>-26.430442654267551</v>
      </c>
      <c r="Q58" s="4">
        <f ca="1">_xll.PDENSITY($P$58,'Gen 1'!$H$15:$H$114,$P$18,$P$19,0)</f>
        <v>1.7676389936146476E-3</v>
      </c>
      <c r="S58">
        <f ca="1">SMALL('Gen 1'!$H$15:$H$114,44)</f>
        <v>74.561493291792317</v>
      </c>
      <c r="T58">
        <f ca="1">1/(COUNT('Gen 1'!$H$15:$H$114)-1)+$T$57</f>
        <v>0.43434343434343459</v>
      </c>
    </row>
    <row r="59" spans="1:20" x14ac:dyDescent="0.2">
      <c r="A59">
        <v>45</v>
      </c>
      <c r="B59">
        <f ca="1">_xll.NORM($C$6,$D$6)</f>
        <v>7.5081433903385442</v>
      </c>
      <c r="C59">
        <f ca="1">_xll.TRIANGLE($C$7,$D$7,$E$7)</f>
        <v>39.543746002557953</v>
      </c>
      <c r="D59">
        <f t="shared" ca="1" si="1"/>
        <v>257.26247601534772</v>
      </c>
      <c r="E59">
        <f t="shared" si="2"/>
        <v>100</v>
      </c>
      <c r="F59">
        <f t="shared" ca="1" si="6"/>
        <v>296.9001151783317</v>
      </c>
      <c r="G59">
        <f t="shared" ca="1" si="7"/>
        <v>357.26247601534772</v>
      </c>
      <c r="H59">
        <f t="shared" ca="1" si="8"/>
        <v>-60.362360837016013</v>
      </c>
      <c r="O59">
        <v>36</v>
      </c>
      <c r="P59" s="4">
        <f t="shared" ca="1" si="10"/>
        <v>-19.529916092529625</v>
      </c>
      <c r="Q59" s="4">
        <f ca="1">_xll.PDENSITY($P$59,'Gen 1'!$H$15:$H$114,$P$18,$P$19,0)</f>
        <v>1.8312233484261799E-3</v>
      </c>
      <c r="S59">
        <f ca="1">SMALL('Gen 1'!$H$15:$H$114,45)</f>
        <v>74.852743602239286</v>
      </c>
      <c r="T59">
        <f ca="1">1/(COUNT('Gen 1'!$H$15:$H$114)-1)+$T$58</f>
        <v>0.4444444444444447</v>
      </c>
    </row>
    <row r="60" spans="1:20" x14ac:dyDescent="0.2">
      <c r="A60">
        <v>46</v>
      </c>
      <c r="B60">
        <f ca="1">_xll.NORM($C$6,$D$6)</f>
        <v>12.842142043251814</v>
      </c>
      <c r="C60">
        <f ca="1">_xll.TRIANGLE($C$7,$D$7,$E$7)</f>
        <v>59.776290932067809</v>
      </c>
      <c r="D60">
        <f t="shared" ca="1" si="1"/>
        <v>378.65774559240685</v>
      </c>
      <c r="E60">
        <f t="shared" si="2"/>
        <v>100</v>
      </c>
      <c r="F60">
        <f t="shared" ca="1" si="6"/>
        <v>767.65561896836016</v>
      </c>
      <c r="G60">
        <f t="shared" ca="1" si="7"/>
        <v>478.65774559240685</v>
      </c>
      <c r="H60">
        <f t="shared" ca="1" si="8"/>
        <v>288.9978733759533</v>
      </c>
      <c r="O60">
        <v>37</v>
      </c>
      <c r="P60" s="4">
        <f t="shared" ca="1" si="10"/>
        <v>-12.6293895307917</v>
      </c>
      <c r="Q60" s="4">
        <f ca="1">_xll.PDENSITY($P$60,'Gen 1'!$H$15:$H$114,$P$18,$P$19,0)</f>
        <v>1.8948812444017416E-3</v>
      </c>
      <c r="S60">
        <f ca="1">SMALL('Gen 1'!$H$15:$H$114,46)</f>
        <v>80.552827038218823</v>
      </c>
      <c r="T60">
        <f ca="1">1/(COUNT('Gen 1'!$H$15:$H$114)-1)+$T$59</f>
        <v>0.45454545454545481</v>
      </c>
    </row>
    <row r="61" spans="1:20" x14ac:dyDescent="0.2">
      <c r="A61">
        <v>47</v>
      </c>
      <c r="B61">
        <f ca="1">_xll.NORM($C$6,$D$6)</f>
        <v>9.4722200536607595</v>
      </c>
      <c r="C61">
        <f ca="1">_xll.TRIANGLE($C$7,$D$7,$E$7)</f>
        <v>51.195264564513636</v>
      </c>
      <c r="D61">
        <f t="shared" ca="1" si="1"/>
        <v>327.17158738708179</v>
      </c>
      <c r="E61">
        <f t="shared" si="2"/>
        <v>100</v>
      </c>
      <c r="F61">
        <f t="shared" ca="1" si="6"/>
        <v>484.93281166045415</v>
      </c>
      <c r="G61">
        <f t="shared" ca="1" si="7"/>
        <v>427.17158738708179</v>
      </c>
      <c r="H61">
        <f t="shared" ca="1" si="8"/>
        <v>57.761224273372363</v>
      </c>
      <c r="O61">
        <v>38</v>
      </c>
      <c r="P61" s="4">
        <f t="shared" ca="1" si="10"/>
        <v>-5.7288629690537753</v>
      </c>
      <c r="Q61" s="4">
        <f ca="1">_xll.PDENSITY($P$61,'Gen 1'!$H$15:$H$114,$P$18,$P$19,0)</f>
        <v>1.9583281714140219E-3</v>
      </c>
      <c r="S61">
        <f ca="1">SMALL('Gen 1'!$H$15:$H$114,47)</f>
        <v>80.940292502247587</v>
      </c>
      <c r="T61">
        <f ca="1">1/(COUNT('Gen 1'!$H$15:$H$114)-1)+$T$60</f>
        <v>0.46464646464646492</v>
      </c>
    </row>
    <row r="62" spans="1:20" x14ac:dyDescent="0.2">
      <c r="A62">
        <v>48</v>
      </c>
      <c r="B62">
        <f ca="1">_xll.NORM($C$6,$D$6)</f>
        <v>10.079182783704191</v>
      </c>
      <c r="C62">
        <f ca="1">_xll.TRIANGLE($C$7,$D$7,$E$7)</f>
        <v>49.965800819434143</v>
      </c>
      <c r="D62">
        <f t="shared" ca="1" si="1"/>
        <v>319.79480491660485</v>
      </c>
      <c r="E62">
        <f t="shared" si="2"/>
        <v>100</v>
      </c>
      <c r="F62">
        <f t="shared" ca="1" si="6"/>
        <v>503.61443939323334</v>
      </c>
      <c r="G62">
        <f t="shared" ca="1" si="7"/>
        <v>419.79480491660485</v>
      </c>
      <c r="H62">
        <f t="shared" ca="1" si="8"/>
        <v>83.819634476628494</v>
      </c>
      <c r="O62">
        <v>39</v>
      </c>
      <c r="P62" s="4">
        <f t="shared" ca="1" si="10"/>
        <v>1.1716635926841494</v>
      </c>
      <c r="Q62" s="4">
        <f ca="1">_xll.PDENSITY($P$62,'Gen 1'!$H$15:$H$114,$P$18,$P$19,0)</f>
        <v>2.0211529581169586E-3</v>
      </c>
      <c r="S62">
        <f ca="1">SMALL('Gen 1'!$H$15:$H$114,48)</f>
        <v>81.031220790433849</v>
      </c>
      <c r="T62">
        <f ca="1">1/(COUNT('Gen 1'!$H$15:$H$114)-1)+$T$61</f>
        <v>0.47474747474747503</v>
      </c>
    </row>
    <row r="63" spans="1:20" x14ac:dyDescent="0.2">
      <c r="A63">
        <v>49</v>
      </c>
      <c r="B63">
        <f ca="1">_xll.NORM($C$6,$D$6)</f>
        <v>8.0908938744211216</v>
      </c>
      <c r="C63">
        <f ca="1">_xll.TRIANGLE($C$7,$D$7,$E$7)</f>
        <v>56.046878386432439</v>
      </c>
      <c r="D63">
        <f t="shared" ca="1" si="1"/>
        <v>356.28127031859464</v>
      </c>
      <c r="E63">
        <f t="shared" si="2"/>
        <v>100</v>
      </c>
      <c r="F63">
        <f t="shared" ca="1" si="6"/>
        <v>453.46934501721177</v>
      </c>
      <c r="G63">
        <f t="shared" ca="1" si="7"/>
        <v>456.28127031859464</v>
      </c>
      <c r="H63">
        <f t="shared" ca="1" si="8"/>
        <v>-2.8119253013828711</v>
      </c>
      <c r="O63">
        <v>40</v>
      </c>
      <c r="P63" s="4">
        <f t="shared" ca="1" si="10"/>
        <v>8.0721901544220742</v>
      </c>
      <c r="Q63" s="4">
        <f ca="1">_xll.PDENSITY($P$63,'Gen 1'!$H$15:$H$114,$P$18,$P$19,0)</f>
        <v>2.0828206656345206E-3</v>
      </c>
      <c r="S63">
        <f ca="1">SMALL('Gen 1'!$H$15:$H$114,49)</f>
        <v>83.819634476628494</v>
      </c>
      <c r="T63">
        <f ca="1">1/(COUNT('Gen 1'!$H$15:$H$114)-1)+$T$62</f>
        <v>0.48484848484848514</v>
      </c>
    </row>
    <row r="64" spans="1:20" x14ac:dyDescent="0.2">
      <c r="A64">
        <v>50</v>
      </c>
      <c r="B64">
        <f ca="1">_xll.NORM($C$6,$D$6)</f>
        <v>11.928252730073531</v>
      </c>
      <c r="C64">
        <f ca="1">_xll.TRIANGLE($C$7,$D$7,$E$7)</f>
        <v>46.31664716427133</v>
      </c>
      <c r="D64">
        <f t="shared" ca="1" si="1"/>
        <v>297.89988298562798</v>
      </c>
      <c r="E64">
        <f t="shared" si="2"/>
        <v>100</v>
      </c>
      <c r="F64">
        <f t="shared" ref="F64:F114" ca="1" si="11">B64*C64</f>
        <v>552.47667298507201</v>
      </c>
      <c r="G64">
        <f t="shared" ref="G64:G114" ca="1" si="12">D64+E64</f>
        <v>397.89988298562798</v>
      </c>
      <c r="H64">
        <f t="shared" ref="H64:H114" ca="1" si="13">F64-G64</f>
        <v>154.57678999944403</v>
      </c>
      <c r="O64">
        <v>41</v>
      </c>
      <c r="P64" s="4">
        <f t="shared" ca="1" si="10"/>
        <v>14.972716716159999</v>
      </c>
      <c r="Q64" s="4">
        <f ca="1">_xll.PDENSITY($P$64,'Gen 1'!$H$15:$H$114,$P$18,$P$19,0)</f>
        <v>2.1426866452906976E-3</v>
      </c>
      <c r="S64">
        <f ca="1">SMALL('Gen 1'!$H$15:$H$114,50)</f>
        <v>96.797469821965706</v>
      </c>
      <c r="T64">
        <f ca="1">1/(COUNT('Gen 1'!$H$15:$H$114)-1)+$T$63</f>
        <v>0.49494949494949525</v>
      </c>
    </row>
    <row r="65" spans="1:20" x14ac:dyDescent="0.2">
      <c r="A65">
        <v>51</v>
      </c>
      <c r="B65">
        <f ca="1">_xll.NORM($C$6,$D$6)</f>
        <v>12.71630838868872</v>
      </c>
      <c r="C65">
        <f ca="1">_xll.TRIANGLE($C$7,$D$7,$E$7)</f>
        <v>54.730934236912631</v>
      </c>
      <c r="D65">
        <f t="shared" ca="1" si="1"/>
        <v>348.38560542147582</v>
      </c>
      <c r="E65">
        <f t="shared" si="2"/>
        <v>100</v>
      </c>
      <c r="F65">
        <f t="shared" ca="1" si="11"/>
        <v>695.97543815762276</v>
      </c>
      <c r="G65">
        <f t="shared" ca="1" si="12"/>
        <v>448.38560542147582</v>
      </c>
      <c r="H65">
        <f t="shared" ca="1" si="13"/>
        <v>247.58983273614695</v>
      </c>
      <c r="O65">
        <v>42</v>
      </c>
      <c r="P65" s="4">
        <f t="shared" ca="1" si="10"/>
        <v>21.873243277897924</v>
      </c>
      <c r="Q65" s="4">
        <f ca="1">_xll.PDENSITY($P$65,'Gen 1'!$H$15:$H$114,$P$18,$P$19,0)</f>
        <v>2.2000208599486349E-3</v>
      </c>
      <c r="S65">
        <f ca="1">SMALL('Gen 1'!$H$15:$H$114,51)</f>
        <v>97.299895071406581</v>
      </c>
      <c r="T65">
        <f ca="1">1/(COUNT('Gen 1'!$H$15:$H$114)-1)+$T$64</f>
        <v>0.50505050505050531</v>
      </c>
    </row>
    <row r="66" spans="1:20" x14ac:dyDescent="0.2">
      <c r="A66">
        <v>52</v>
      </c>
      <c r="B66">
        <f ca="1">_xll.NORM($C$6,$D$6)</f>
        <v>6.7678633980849003</v>
      </c>
      <c r="C66">
        <f ca="1">_xll.TRIANGLE($C$7,$D$7,$E$7)</f>
        <v>58.15268590029082</v>
      </c>
      <c r="D66">
        <f t="shared" ca="1" si="1"/>
        <v>368.91611540174495</v>
      </c>
      <c r="E66">
        <f t="shared" si="2"/>
        <v>100</v>
      </c>
      <c r="F66">
        <f t="shared" ca="1" si="11"/>
        <v>393.56943440490608</v>
      </c>
      <c r="G66">
        <f t="shared" ca="1" si="12"/>
        <v>468.91611540174495</v>
      </c>
      <c r="H66">
        <f t="shared" ca="1" si="13"/>
        <v>-75.34668099683887</v>
      </c>
      <c r="O66">
        <v>43</v>
      </c>
      <c r="P66" s="4">
        <f t="shared" ca="1" si="10"/>
        <v>28.773769839635847</v>
      </c>
      <c r="Q66" s="4">
        <f ca="1">_xll.PDENSITY($P$66,'Gen 1'!$H$15:$H$114,$P$18,$P$19,0)</f>
        <v>2.2540405746766605E-3</v>
      </c>
      <c r="S66">
        <f ca="1">SMALL('Gen 1'!$H$15:$H$114,52)</f>
        <v>100.02923076656117</v>
      </c>
      <c r="T66">
        <f ca="1">1/(COUNT('Gen 1'!$H$15:$H$114)-1)+$T$65</f>
        <v>0.51515151515151536</v>
      </c>
    </row>
    <row r="67" spans="1:20" x14ac:dyDescent="0.2">
      <c r="A67">
        <v>53</v>
      </c>
      <c r="B67">
        <f ca="1">_xll.NORM($C$6,$D$6)</f>
        <v>14.152967129564606</v>
      </c>
      <c r="C67">
        <f ca="1">_xll.TRIANGLE($C$7,$D$7,$E$7)</f>
        <v>36.644475786841411</v>
      </c>
      <c r="D67">
        <f t="shared" ca="1" si="1"/>
        <v>239.86685472104847</v>
      </c>
      <c r="E67">
        <f t="shared" si="2"/>
        <v>100</v>
      </c>
      <c r="F67">
        <f t="shared" ca="1" si="11"/>
        <v>518.62806129129262</v>
      </c>
      <c r="G67">
        <f t="shared" ca="1" si="12"/>
        <v>339.86685472104847</v>
      </c>
      <c r="H67">
        <f t="shared" ca="1" si="13"/>
        <v>178.76120657024416</v>
      </c>
      <c r="O67">
        <v>44</v>
      </c>
      <c r="P67" s="4">
        <f t="shared" ca="1" si="10"/>
        <v>35.674296401373773</v>
      </c>
      <c r="Q67" s="4">
        <f ca="1">_xll.PDENSITY($P$67,'Gen 1'!$H$15:$H$114,$P$18,$P$19,0)</f>
        <v>2.3039487112075023E-3</v>
      </c>
      <c r="S67">
        <f ca="1">SMALL('Gen 1'!$H$15:$H$114,53)</f>
        <v>100.36717866880008</v>
      </c>
      <c r="T67">
        <f ca="1">1/(COUNT('Gen 1'!$H$15:$H$114)-1)+$T$66</f>
        <v>0.52525252525252542</v>
      </c>
    </row>
    <row r="68" spans="1:20" x14ac:dyDescent="0.2">
      <c r="A68">
        <v>54</v>
      </c>
      <c r="B68">
        <f ca="1">_xll.NORM($C$6,$D$6)</f>
        <v>14.447078916401587</v>
      </c>
      <c r="C68">
        <f ca="1">_xll.TRIANGLE($C$7,$D$7,$E$7)</f>
        <v>62.302605770152638</v>
      </c>
      <c r="D68">
        <f t="shared" ca="1" si="1"/>
        <v>393.81563462091583</v>
      </c>
      <c r="E68">
        <f t="shared" si="2"/>
        <v>100</v>
      </c>
      <c r="F68">
        <f t="shared" ca="1" si="11"/>
        <v>900.09066225885203</v>
      </c>
      <c r="G68">
        <f t="shared" ca="1" si="12"/>
        <v>493.81563462091583</v>
      </c>
      <c r="H68">
        <f t="shared" ca="1" si="13"/>
        <v>406.2750276379362</v>
      </c>
      <c r="O68">
        <v>45</v>
      </c>
      <c r="P68" s="4">
        <f t="shared" ca="1" si="10"/>
        <v>42.5748229631117</v>
      </c>
      <c r="Q68" s="4">
        <f ca="1">_xll.PDENSITY($P$68,'Gen 1'!$H$15:$H$114,$P$18,$P$19,0)</f>
        <v>2.3489746219186049E-3</v>
      </c>
      <c r="S68">
        <f ca="1">SMALL('Gen 1'!$H$15:$H$114,54)</f>
        <v>115.98982536944499</v>
      </c>
      <c r="T68">
        <f ca="1">1/(COUNT('Gen 1'!$H$15:$H$114)-1)+$T$67</f>
        <v>0.53535353535353547</v>
      </c>
    </row>
    <row r="69" spans="1:20" x14ac:dyDescent="0.2">
      <c r="A69">
        <v>55</v>
      </c>
      <c r="B69">
        <f ca="1">_xll.NORM($C$6,$D$6)</f>
        <v>7.2899095576154931</v>
      </c>
      <c r="C69">
        <f ca="1">_xll.TRIANGLE($C$7,$D$7,$E$7)</f>
        <v>56.731214639680104</v>
      </c>
      <c r="D69">
        <f t="shared" ca="1" si="1"/>
        <v>360.38728783808062</v>
      </c>
      <c r="E69">
        <f t="shared" si="2"/>
        <v>100</v>
      </c>
      <c r="F69">
        <f t="shared" ca="1" si="11"/>
        <v>413.56542381693998</v>
      </c>
      <c r="G69">
        <f t="shared" ca="1" si="12"/>
        <v>460.38728783808062</v>
      </c>
      <c r="H69">
        <f t="shared" ca="1" si="13"/>
        <v>-46.821864021140641</v>
      </c>
      <c r="O69">
        <v>46</v>
      </c>
      <c r="P69" s="4">
        <f t="shared" ca="1" si="10"/>
        <v>49.475349524849626</v>
      </c>
      <c r="Q69" s="4">
        <f ca="1">_xll.PDENSITY($P$69,'Gen 1'!$H$15:$H$114,$P$18,$P$19,0)</f>
        <v>2.3884138348498384E-3</v>
      </c>
      <c r="S69">
        <f ca="1">SMALL('Gen 1'!$H$15:$H$114,55)</f>
        <v>120.86008000479256</v>
      </c>
      <c r="T69">
        <f ca="1">1/(COUNT('Gen 1'!$H$15:$H$114)-1)+$T$68</f>
        <v>0.54545454545454553</v>
      </c>
    </row>
    <row r="70" spans="1:20" x14ac:dyDescent="0.2">
      <c r="A70">
        <v>56</v>
      </c>
      <c r="B70">
        <f ca="1">_xll.NORM($C$6,$D$6)</f>
        <v>8.8332048101896685</v>
      </c>
      <c r="C70">
        <f ca="1">_xll.TRIANGLE($C$7,$D$7,$E$7)</f>
        <v>29.397758833559735</v>
      </c>
      <c r="D70">
        <f t="shared" ca="1" si="1"/>
        <v>196.38655300135841</v>
      </c>
      <c r="E70">
        <f t="shared" si="2"/>
        <v>100</v>
      </c>
      <c r="F70">
        <f t="shared" ca="1" si="11"/>
        <v>259.67642473739568</v>
      </c>
      <c r="G70">
        <f t="shared" ca="1" si="12"/>
        <v>296.38655300135838</v>
      </c>
      <c r="H70">
        <f t="shared" ca="1" si="13"/>
        <v>-36.710128263962702</v>
      </c>
      <c r="O70">
        <v>47</v>
      </c>
      <c r="P70" s="4">
        <f t="shared" ca="1" si="10"/>
        <v>56.375876086587553</v>
      </c>
      <c r="Q70" s="4">
        <f ca="1">_xll.PDENSITY($P$70,'Gen 1'!$H$15:$H$114,$P$18,$P$19,0)</f>
        <v>2.421663477126025E-3</v>
      </c>
      <c r="S70">
        <f ca="1">SMALL('Gen 1'!$H$15:$H$114,56)</f>
        <v>124.12917001454684</v>
      </c>
      <c r="T70">
        <f ca="1">1/(COUNT('Gen 1'!$H$15:$H$114)-1)+$T$69</f>
        <v>0.55555555555555558</v>
      </c>
    </row>
    <row r="71" spans="1:20" x14ac:dyDescent="0.2">
      <c r="A71">
        <v>57</v>
      </c>
      <c r="B71">
        <f ca="1">_xll.NORM($C$6,$D$6)</f>
        <v>11.063999920429989</v>
      </c>
      <c r="C71">
        <f ca="1">_xll.TRIANGLE($C$7,$D$7,$E$7)</f>
        <v>60.738809292520074</v>
      </c>
      <c r="D71">
        <f t="shared" ca="1" si="1"/>
        <v>384.43285575512044</v>
      </c>
      <c r="E71">
        <f t="shared" si="2"/>
        <v>100</v>
      </c>
      <c r="F71">
        <f t="shared" ca="1" si="11"/>
        <v>672.01418117945434</v>
      </c>
      <c r="G71">
        <f t="shared" ca="1" si="12"/>
        <v>484.43285575512044</v>
      </c>
      <c r="H71">
        <f t="shared" ca="1" si="13"/>
        <v>187.5813254243339</v>
      </c>
      <c r="O71">
        <v>48</v>
      </c>
      <c r="P71" s="4">
        <f t="shared" ca="1" si="10"/>
        <v>63.27640264832548</v>
      </c>
      <c r="Q71" s="4">
        <f ca="1">_xll.PDENSITY($P$71,'Gen 1'!$H$15:$H$114,$P$18,$P$19,0)</f>
        <v>2.4482505844346885E-3</v>
      </c>
      <c r="S71">
        <f ca="1">SMALL('Gen 1'!$H$15:$H$114,57)</f>
        <v>125.01226613291408</v>
      </c>
      <c r="T71">
        <f ca="1">1/(COUNT('Gen 1'!$H$15:$H$114)-1)+$T$70</f>
        <v>0.56565656565656564</v>
      </c>
    </row>
    <row r="72" spans="1:20" x14ac:dyDescent="0.2">
      <c r="A72">
        <v>58</v>
      </c>
      <c r="B72">
        <f ca="1">_xll.NORM($C$6,$D$6)</f>
        <v>14.626329906516361</v>
      </c>
      <c r="C72">
        <f ca="1">_xll.TRIANGLE($C$7,$D$7,$E$7)</f>
        <v>62.842922741592595</v>
      </c>
      <c r="D72">
        <f t="shared" ca="1" si="1"/>
        <v>397.05753644955558</v>
      </c>
      <c r="E72">
        <f t="shared" si="2"/>
        <v>100</v>
      </c>
      <c r="F72">
        <f t="shared" ca="1" si="11"/>
        <v>919.16132030825293</v>
      </c>
      <c r="G72">
        <f t="shared" ca="1" si="12"/>
        <v>497.05753644955558</v>
      </c>
      <c r="H72">
        <f t="shared" ca="1" si="13"/>
        <v>422.10378385869734</v>
      </c>
      <c r="O72">
        <v>49</v>
      </c>
      <c r="P72" s="4">
        <f t="shared" ca="1" si="10"/>
        <v>70.176929210063406</v>
      </c>
      <c r="Q72" s="4">
        <f ca="1">_xll.PDENSITY($P$72,'Gen 1'!$H$15:$H$114,$P$18,$P$19,0)</f>
        <v>2.4678512922931641E-3</v>
      </c>
      <c r="S72">
        <f ca="1">SMALL('Gen 1'!$H$15:$H$114,58)</f>
        <v>126.31932514187298</v>
      </c>
      <c r="T72">
        <f ca="1">1/(COUNT('Gen 1'!$H$15:$H$114)-1)+$T$71</f>
        <v>0.57575757575757569</v>
      </c>
    </row>
    <row r="73" spans="1:20" x14ac:dyDescent="0.2">
      <c r="A73">
        <v>59</v>
      </c>
      <c r="B73">
        <f ca="1">_xll.NORM($C$6,$D$6)</f>
        <v>12.827795906653382</v>
      </c>
      <c r="C73">
        <f ca="1">_xll.TRIANGLE($C$7,$D$7,$E$7)</f>
        <v>60.151136001024661</v>
      </c>
      <c r="D73">
        <f t="shared" ca="1" si="1"/>
        <v>380.90681600614795</v>
      </c>
      <c r="E73">
        <f t="shared" si="2"/>
        <v>100</v>
      </c>
      <c r="F73">
        <f t="shared" ca="1" si="11"/>
        <v>771.60649617449496</v>
      </c>
      <c r="G73">
        <f t="shared" ca="1" si="12"/>
        <v>480.90681600614795</v>
      </c>
      <c r="H73">
        <f t="shared" ca="1" si="13"/>
        <v>290.69968016834702</v>
      </c>
      <c r="O73">
        <v>50</v>
      </c>
      <c r="P73" s="4">
        <f t="shared" ca="1" si="10"/>
        <v>77.077455771801326</v>
      </c>
      <c r="Q73" s="4">
        <f ca="1">_xll.PDENSITY($P$73,'Gen 1'!$H$15:$H$114,$P$18,$P$19,0)</f>
        <v>2.4802998885219765E-3</v>
      </c>
      <c r="S73">
        <f ca="1">SMALL('Gen 1'!$H$15:$H$114,59)</f>
        <v>133.90209696880351</v>
      </c>
      <c r="T73">
        <f ca="1">1/(COUNT('Gen 1'!$H$15:$H$114)-1)+$T$72</f>
        <v>0.58585858585858575</v>
      </c>
    </row>
    <row r="74" spans="1:20" x14ac:dyDescent="0.2">
      <c r="A74">
        <v>60</v>
      </c>
      <c r="B74">
        <f ca="1">_xll.NORM($C$6,$D$6)</f>
        <v>12.305143596273114</v>
      </c>
      <c r="C74">
        <f ca="1">_xll.TRIANGLE($C$7,$D$7,$E$7)</f>
        <v>38.719049976728257</v>
      </c>
      <c r="D74">
        <f t="shared" ca="1" si="1"/>
        <v>252.31429986036954</v>
      </c>
      <c r="E74">
        <f t="shared" si="2"/>
        <v>100</v>
      </c>
      <c r="F74">
        <f t="shared" ca="1" si="11"/>
        <v>476.44346987491639</v>
      </c>
      <c r="G74">
        <f t="shared" ca="1" si="12"/>
        <v>352.31429986036954</v>
      </c>
      <c r="H74">
        <f t="shared" ca="1" si="13"/>
        <v>124.12917001454684</v>
      </c>
      <c r="O74">
        <v>51</v>
      </c>
      <c r="P74" s="4">
        <f t="shared" ca="1" si="10"/>
        <v>83.977982333539245</v>
      </c>
      <c r="Q74" s="4">
        <f ca="1">_xll.PDENSITY($P$74,'Gen 1'!$H$15:$H$114,$P$18,$P$19,0)</f>
        <v>2.4855877682227428E-3</v>
      </c>
      <c r="S74">
        <f ca="1">SMALL('Gen 1'!$H$15:$H$114,60)</f>
        <v>135.36484707731779</v>
      </c>
      <c r="T74">
        <f ca="1">1/(COUNT('Gen 1'!$H$15:$H$114)-1)+$T$73</f>
        <v>0.5959595959595958</v>
      </c>
    </row>
    <row r="75" spans="1:20" x14ac:dyDescent="0.2">
      <c r="A75">
        <v>61</v>
      </c>
      <c r="B75">
        <f ca="1">_xll.NORM($C$6,$D$6)</f>
        <v>8.5674556473522721</v>
      </c>
      <c r="C75">
        <f ca="1">_xll.TRIANGLE($C$7,$D$7,$E$7)</f>
        <v>60.947102339323195</v>
      </c>
      <c r="D75">
        <f t="shared" ca="1" si="1"/>
        <v>385.6826140359392</v>
      </c>
      <c r="E75">
        <f t="shared" si="2"/>
        <v>100</v>
      </c>
      <c r="F75">
        <f t="shared" ca="1" si="11"/>
        <v>522.16159612679132</v>
      </c>
      <c r="G75">
        <f t="shared" ca="1" si="12"/>
        <v>485.6826140359392</v>
      </c>
      <c r="H75">
        <f t="shared" ca="1" si="13"/>
        <v>36.478982090852128</v>
      </c>
      <c r="O75">
        <v>52</v>
      </c>
      <c r="P75" s="4">
        <f t="shared" ca="1" si="10"/>
        <v>90.878508895277164</v>
      </c>
      <c r="Q75" s="4">
        <f ca="1">_xll.PDENSITY($P$75,'Gen 1'!$H$15:$H$114,$P$18,$P$19,0)</f>
        <v>2.4838533442878559E-3</v>
      </c>
      <c r="S75">
        <f ca="1">SMALL('Gen 1'!$H$15:$H$114,61)</f>
        <v>138.31928102847223</v>
      </c>
      <c r="T75">
        <f ca="1">1/(COUNT('Gen 1'!$H$15:$H$114)-1)+$T$74</f>
        <v>0.60606060606060586</v>
      </c>
    </row>
    <row r="76" spans="1:20" x14ac:dyDescent="0.2">
      <c r="A76">
        <v>62</v>
      </c>
      <c r="B76">
        <f ca="1">_xll.NORM($C$6,$D$6)</f>
        <v>8.1992509203145758</v>
      </c>
      <c r="C76">
        <f ca="1">_xll.TRIANGLE($C$7,$D$7,$E$7)</f>
        <v>50.962545102409621</v>
      </c>
      <c r="D76">
        <f t="shared" ca="1" si="1"/>
        <v>325.77527061445772</v>
      </c>
      <c r="E76">
        <f t="shared" si="2"/>
        <v>100</v>
      </c>
      <c r="F76">
        <f t="shared" ca="1" si="11"/>
        <v>417.85469483250517</v>
      </c>
      <c r="G76">
        <f t="shared" ca="1" si="12"/>
        <v>425.77527061445772</v>
      </c>
      <c r="H76">
        <f t="shared" ca="1" si="13"/>
        <v>-7.9205757819525502</v>
      </c>
      <c r="O76">
        <v>53</v>
      </c>
      <c r="P76" s="4">
        <f t="shared" ca="1" si="10"/>
        <v>97.779035457015084</v>
      </c>
      <c r="Q76" s="4">
        <f ca="1">_xll.PDENSITY($P$76,'Gen 1'!$H$15:$H$114,$P$18,$P$19,0)</f>
        <v>2.4753648051366295E-3</v>
      </c>
      <c r="S76">
        <f ca="1">SMALL('Gen 1'!$H$15:$H$114,62)</f>
        <v>139.97225101973572</v>
      </c>
      <c r="T76">
        <f ca="1">1/(COUNT('Gen 1'!$H$15:$H$114)-1)+$T$75</f>
        <v>0.61616161616161591</v>
      </c>
    </row>
    <row r="77" spans="1:20" x14ac:dyDescent="0.2">
      <c r="A77">
        <v>63</v>
      </c>
      <c r="B77">
        <f ca="1">_xll.NORM($C$6,$D$6)</f>
        <v>13.097231279400434</v>
      </c>
      <c r="C77">
        <f ca="1">_xll.TRIANGLE($C$7,$D$7,$E$7)</f>
        <v>59.478256228508243</v>
      </c>
      <c r="D77">
        <f t="shared" ca="1" si="1"/>
        <v>376.86953737104943</v>
      </c>
      <c r="E77">
        <f t="shared" si="2"/>
        <v>100</v>
      </c>
      <c r="F77">
        <f t="shared" ca="1" si="11"/>
        <v>779.00047792021189</v>
      </c>
      <c r="G77">
        <f t="shared" ca="1" si="12"/>
        <v>476.86953737104943</v>
      </c>
      <c r="H77">
        <f t="shared" ca="1" si="13"/>
        <v>302.13094054916246</v>
      </c>
      <c r="O77">
        <v>54</v>
      </c>
      <c r="P77" s="4">
        <f t="shared" ca="1" si="10"/>
        <v>104.679562018753</v>
      </c>
      <c r="Q77" s="4">
        <f ca="1">_xll.PDENSITY($P$77,'Gen 1'!$H$15:$H$114,$P$18,$P$19,0)</f>
        <v>2.4604981758746896E-3</v>
      </c>
      <c r="S77">
        <f ca="1">SMALL('Gen 1'!$H$15:$H$114,63)</f>
        <v>140.50628156975699</v>
      </c>
      <c r="T77">
        <f ca="1">1/(COUNT('Gen 1'!$H$15:$H$114)-1)+$T$76</f>
        <v>0.62626262626262597</v>
      </c>
    </row>
    <row r="78" spans="1:20" x14ac:dyDescent="0.2">
      <c r="A78">
        <v>64</v>
      </c>
      <c r="B78">
        <f ca="1">_xll.NORM($C$6,$D$6)</f>
        <v>11.477459432332619</v>
      </c>
      <c r="C78">
        <f ca="1">_xll.TRIANGLE($C$7,$D$7,$E$7)</f>
        <v>50.539780985728271</v>
      </c>
      <c r="D78">
        <f t="shared" ca="1" si="1"/>
        <v>323.23868591436963</v>
      </c>
      <c r="E78">
        <f t="shared" si="2"/>
        <v>100</v>
      </c>
      <c r="F78">
        <f t="shared" ca="1" si="11"/>
        <v>580.06828598267168</v>
      </c>
      <c r="G78">
        <f t="shared" ca="1" si="12"/>
        <v>423.23868591436963</v>
      </c>
      <c r="H78">
        <f t="shared" ca="1" si="13"/>
        <v>156.82960006830206</v>
      </c>
      <c r="O78">
        <v>55</v>
      </c>
      <c r="P78" s="4">
        <f t="shared" ca="1" si="10"/>
        <v>111.58008858049092</v>
      </c>
      <c r="Q78" s="4">
        <f ca="1">_xll.PDENSITY($P$78,'Gen 1'!$H$15:$H$114,$P$18,$P$19,0)</f>
        <v>2.4397133641319868E-3</v>
      </c>
      <c r="S78">
        <f ca="1">SMALL('Gen 1'!$H$15:$H$114,64)</f>
        <v>154.57678999944403</v>
      </c>
      <c r="T78">
        <f ca="1">1/(COUNT('Gen 1'!$H$15:$H$114)-1)+$T$77</f>
        <v>0.63636363636363602</v>
      </c>
    </row>
    <row r="79" spans="1:20" x14ac:dyDescent="0.2">
      <c r="A79">
        <v>65</v>
      </c>
      <c r="B79">
        <f ca="1">_xll.NORM($C$6,$D$6)</f>
        <v>13.260159470493196</v>
      </c>
      <c r="C79">
        <f ca="1">_xll.TRIANGLE($C$7,$D$7,$E$7)</f>
        <v>54.238899604014001</v>
      </c>
      <c r="D79">
        <f t="shared" ca="1" si="1"/>
        <v>345.43339762408402</v>
      </c>
      <c r="E79">
        <f t="shared" si="2"/>
        <v>100</v>
      </c>
      <c r="F79">
        <f t="shared" ca="1" si="11"/>
        <v>719.21645825329597</v>
      </c>
      <c r="G79">
        <f t="shared" ca="1" si="12"/>
        <v>445.43339762408402</v>
      </c>
      <c r="H79">
        <f t="shared" ca="1" si="13"/>
        <v>273.78306062921195</v>
      </c>
      <c r="O79">
        <v>56</v>
      </c>
      <c r="P79" s="4">
        <f t="shared" ca="1" si="10"/>
        <v>118.48061514222884</v>
      </c>
      <c r="Q79" s="4">
        <f ca="1">_xll.PDENSITY($P$79,'Gen 1'!$H$15:$H$114,$P$18,$P$19,0)</f>
        <v>2.4135307375741455E-3</v>
      </c>
      <c r="S79">
        <f ca="1">SMALL('Gen 1'!$H$15:$H$114,65)</f>
        <v>156.82960006830206</v>
      </c>
      <c r="T79">
        <f ca="1">1/(COUNT('Gen 1'!$H$15:$H$114)-1)+$T$78</f>
        <v>0.64646464646464608</v>
      </c>
    </row>
    <row r="80" spans="1:20" x14ac:dyDescent="0.2">
      <c r="A80">
        <v>66</v>
      </c>
      <c r="B80">
        <f ca="1">_xll.NORM($C$6,$D$6)</f>
        <v>11.221445536320031</v>
      </c>
      <c r="C80">
        <f ca="1">_xll.TRIANGLE($C$7,$D$7,$E$7)</f>
        <v>29.260366868070079</v>
      </c>
      <c r="D80">
        <f t="shared" ref="D80:D114" ca="1" si="14">$C$8+$D$8*C80</f>
        <v>195.56220120842048</v>
      </c>
      <c r="E80">
        <f t="shared" ref="E80:E114" si="15">$C$9</f>
        <v>100</v>
      </c>
      <c r="F80">
        <f t="shared" ca="1" si="11"/>
        <v>328.3436131827915</v>
      </c>
      <c r="G80">
        <f t="shared" ca="1" si="12"/>
        <v>295.56220120842045</v>
      </c>
      <c r="H80">
        <f t="shared" ca="1" si="13"/>
        <v>32.781411974371053</v>
      </c>
      <c r="O80">
        <v>57</v>
      </c>
      <c r="P80" s="4">
        <f t="shared" ca="1" si="10"/>
        <v>125.38114170396676</v>
      </c>
      <c r="Q80" s="4">
        <f ca="1">_xll.PDENSITY($P$80,'Gen 1'!$H$15:$H$114,$P$18,$P$19,0)</f>
        <v>2.3825103156053539E-3</v>
      </c>
      <c r="S80">
        <f ca="1">SMALL('Gen 1'!$H$15:$H$114,66)</f>
        <v>168.58974151259406</v>
      </c>
      <c r="T80">
        <f ca="1">1/(COUNT('Gen 1'!$H$15:$H$114)-1)+$T$79</f>
        <v>0.65656565656565613</v>
      </c>
    </row>
    <row r="81" spans="1:20" x14ac:dyDescent="0.2">
      <c r="A81">
        <v>67</v>
      </c>
      <c r="B81">
        <f ca="1">_xll.NORM($C$6,$D$6)</f>
        <v>11.187366841395976</v>
      </c>
      <c r="C81">
        <f ca="1">_xll.TRIANGLE($C$7,$D$7,$E$7)</f>
        <v>45.493182299391343</v>
      </c>
      <c r="D81">
        <f t="shared" ca="1" si="14"/>
        <v>292.95909379634804</v>
      </c>
      <c r="E81">
        <f t="shared" si="15"/>
        <v>100</v>
      </c>
      <c r="F81">
        <f t="shared" ca="1" si="11"/>
        <v>508.94891916579303</v>
      </c>
      <c r="G81">
        <f t="shared" ca="1" si="12"/>
        <v>392.95909379634804</v>
      </c>
      <c r="H81">
        <f t="shared" ca="1" si="13"/>
        <v>115.98982536944499</v>
      </c>
      <c r="O81">
        <v>58</v>
      </c>
      <c r="P81" s="4">
        <f t="shared" ca="1" si="10"/>
        <v>132.2816682657047</v>
      </c>
      <c r="Q81" s="4">
        <f ca="1">_xll.PDENSITY($P$81,'Gen 1'!$H$15:$H$114,$P$18,$P$19,0)</f>
        <v>2.3472349379945285E-3</v>
      </c>
      <c r="S81">
        <f ca="1">SMALL('Gen 1'!$H$15:$H$114,67)</f>
        <v>174.13747897121391</v>
      </c>
      <c r="T81">
        <f ca="1">1/(COUNT('Gen 1'!$H$15:$H$114)-1)+$T$80</f>
        <v>0.66666666666666619</v>
      </c>
    </row>
    <row r="82" spans="1:20" x14ac:dyDescent="0.2">
      <c r="A82">
        <v>68</v>
      </c>
      <c r="B82">
        <f ca="1">_xll.NORM($C$6,$D$6)</f>
        <v>9.8973985761815335</v>
      </c>
      <c r="C82">
        <f ca="1">_xll.TRIANGLE($C$7,$D$7,$E$7)</f>
        <v>55.626199267094854</v>
      </c>
      <c r="D82">
        <f t="shared" ca="1" si="14"/>
        <v>353.75719560256914</v>
      </c>
      <c r="E82">
        <f t="shared" si="15"/>
        <v>100</v>
      </c>
      <c r="F82">
        <f t="shared" ca="1" si="11"/>
        <v>550.55466542453485</v>
      </c>
      <c r="G82">
        <f t="shared" ca="1" si="12"/>
        <v>453.75719560256914</v>
      </c>
      <c r="H82">
        <f t="shared" ca="1" si="13"/>
        <v>96.797469821965706</v>
      </c>
      <c r="O82">
        <v>59</v>
      </c>
      <c r="P82" s="4">
        <f t="shared" ca="1" si="10"/>
        <v>139.18219482744263</v>
      </c>
      <c r="Q82" s="4">
        <f ca="1">_xll.PDENSITY($P$82,'Gen 1'!$H$15:$H$114,$P$18,$P$19,0)</f>
        <v>2.3082979090328359E-3</v>
      </c>
      <c r="S82">
        <f ca="1">SMALL('Gen 1'!$H$15:$H$114,68)</f>
        <v>175.00211314471341</v>
      </c>
      <c r="T82">
        <f ca="1">1/(COUNT('Gen 1'!$H$15:$H$114)-1)+$T$81</f>
        <v>0.67676767676767624</v>
      </c>
    </row>
    <row r="83" spans="1:20" x14ac:dyDescent="0.2">
      <c r="A83">
        <v>69</v>
      </c>
      <c r="B83">
        <f ca="1">_xll.NORM($C$6,$D$6)</f>
        <v>11.513839510595785</v>
      </c>
      <c r="C83">
        <f ca="1">_xll.TRIANGLE($C$7,$D$7,$E$7)</f>
        <v>54.499950464185453</v>
      </c>
      <c r="D83">
        <f t="shared" ca="1" si="14"/>
        <v>346.99970278511273</v>
      </c>
      <c r="E83">
        <f t="shared" si="15"/>
        <v>100</v>
      </c>
      <c r="F83">
        <f t="shared" ca="1" si="11"/>
        <v>627.50368298005162</v>
      </c>
      <c r="G83">
        <f t="shared" ca="1" si="12"/>
        <v>446.99970278511273</v>
      </c>
      <c r="H83">
        <f t="shared" ca="1" si="13"/>
        <v>180.50398019493889</v>
      </c>
      <c r="O83">
        <v>60</v>
      </c>
      <c r="P83" s="4">
        <f t="shared" ca="1" si="10"/>
        <v>146.08272138918056</v>
      </c>
      <c r="Q83" s="4">
        <f ca="1">_xll.PDENSITY($P$83,'Gen 1'!$H$15:$H$114,$P$18,$P$19,0)</f>
        <v>2.2662947392632243E-3</v>
      </c>
      <c r="S83">
        <f ca="1">SMALL('Gen 1'!$H$15:$H$114,69)</f>
        <v>176.78641541408189</v>
      </c>
      <c r="T83">
        <f ca="1">1/(COUNT('Gen 1'!$H$15:$H$114)-1)+$T$82</f>
        <v>0.6868686868686863</v>
      </c>
    </row>
    <row r="84" spans="1:20" x14ac:dyDescent="0.2">
      <c r="A84">
        <v>70</v>
      </c>
      <c r="B84">
        <f ca="1">_xll.NORM($C$6,$D$6)</f>
        <v>2.5487322563945263</v>
      </c>
      <c r="C84">
        <f ca="1">_xll.TRIANGLE($C$7,$D$7,$E$7)</f>
        <v>31.788852818711838</v>
      </c>
      <c r="D84">
        <f t="shared" ca="1" si="14"/>
        <v>210.73311691227104</v>
      </c>
      <c r="E84">
        <f t="shared" si="15"/>
        <v>100</v>
      </c>
      <c r="F84">
        <f t="shared" ca="1" si="11"/>
        <v>81.021274572828915</v>
      </c>
      <c r="G84">
        <f t="shared" ca="1" si="12"/>
        <v>310.73311691227104</v>
      </c>
      <c r="H84">
        <f t="shared" ca="1" si="13"/>
        <v>-229.71184233944211</v>
      </c>
      <c r="O84">
        <v>61</v>
      </c>
      <c r="P84" s="4">
        <f t="shared" ca="1" si="10"/>
        <v>152.9832479509185</v>
      </c>
      <c r="Q84" s="4">
        <f ca="1">_xll.PDENSITY($P$84,'Gen 1'!$H$15:$H$114,$P$18,$P$19,0)</f>
        <v>2.2218178520392231E-3</v>
      </c>
      <c r="S84">
        <f ca="1">SMALL('Gen 1'!$H$15:$H$114,70)</f>
        <v>178.76120657024416</v>
      </c>
      <c r="T84">
        <f ca="1">1/(COUNT('Gen 1'!$H$15:$H$114)-1)+$T$83</f>
        <v>0.69696969696969635</v>
      </c>
    </row>
    <row r="85" spans="1:20" x14ac:dyDescent="0.2">
      <c r="A85">
        <v>71</v>
      </c>
      <c r="B85">
        <f ca="1">_xll.NORM($C$6,$D$6)</f>
        <v>6.6938972574456308</v>
      </c>
      <c r="C85">
        <f ca="1">_xll.TRIANGLE($C$7,$D$7,$E$7)</f>
        <v>43.169035353651438</v>
      </c>
      <c r="D85">
        <f t="shared" ca="1" si="14"/>
        <v>279.0142121219086</v>
      </c>
      <c r="E85">
        <f t="shared" si="15"/>
        <v>100</v>
      </c>
      <c r="F85">
        <f t="shared" ca="1" si="11"/>
        <v>288.96908736038085</v>
      </c>
      <c r="G85">
        <f t="shared" ca="1" si="12"/>
        <v>379.0142121219086</v>
      </c>
      <c r="H85">
        <f t="shared" ca="1" si="13"/>
        <v>-90.045124761527745</v>
      </c>
      <c r="O85">
        <v>62</v>
      </c>
      <c r="P85" s="4">
        <f t="shared" ca="1" si="10"/>
        <v>159.88377451265643</v>
      </c>
      <c r="Q85" s="4">
        <f ca="1">_xll.PDENSITY($P$85,'Gen 1'!$H$15:$H$114,$P$18,$P$19,0)</f>
        <v>2.1754526062454783E-3</v>
      </c>
      <c r="S85">
        <f ca="1">SMALL('Gen 1'!$H$15:$H$114,71)</f>
        <v>180.50398019493889</v>
      </c>
      <c r="T85">
        <f ca="1">1/(COUNT('Gen 1'!$H$15:$H$114)-1)+$T$84</f>
        <v>0.70707070707070641</v>
      </c>
    </row>
    <row r="86" spans="1:20" x14ac:dyDescent="0.2">
      <c r="A86">
        <v>72</v>
      </c>
      <c r="B86">
        <f ca="1">_xll.NORM($C$6,$D$6)</f>
        <v>3.5752327032667095</v>
      </c>
      <c r="C86">
        <f ca="1">_xll.TRIANGLE($C$7,$D$7,$E$7)</f>
        <v>30.487390121593648</v>
      </c>
      <c r="D86">
        <f t="shared" ca="1" si="14"/>
        <v>202.92434072956189</v>
      </c>
      <c r="E86">
        <f t="shared" si="15"/>
        <v>100</v>
      </c>
      <c r="F86">
        <f t="shared" ca="1" si="11"/>
        <v>108.99951419997204</v>
      </c>
      <c r="G86">
        <f t="shared" ca="1" si="12"/>
        <v>302.92434072956189</v>
      </c>
      <c r="H86">
        <f t="shared" ca="1" si="13"/>
        <v>-193.92482652958984</v>
      </c>
      <c r="O86">
        <v>63</v>
      </c>
      <c r="P86" s="4">
        <f t="shared" ca="1" si="10"/>
        <v>166.78430107439436</v>
      </c>
      <c r="Q86" s="4">
        <f ca="1">_xll.PDENSITY($P$86,'Gen 1'!$H$15:$H$114,$P$18,$P$19,0)</f>
        <v>2.1277727917542572E-3</v>
      </c>
      <c r="S86">
        <f ca="1">SMALL('Gen 1'!$H$15:$H$114,72)</f>
        <v>187.5813254243339</v>
      </c>
      <c r="T86">
        <f ca="1">1/(COUNT('Gen 1'!$H$15:$H$114)-1)+$T$85</f>
        <v>0.71717171717171646</v>
      </c>
    </row>
    <row r="87" spans="1:20" x14ac:dyDescent="0.2">
      <c r="A87">
        <v>73</v>
      </c>
      <c r="B87">
        <f ca="1">_xll.NORM($C$6,$D$6)</f>
        <v>12.067188666448491</v>
      </c>
      <c r="C87">
        <f ca="1">_xll.TRIANGLE($C$7,$D$7,$E$7)</f>
        <v>24.758575729012833</v>
      </c>
      <c r="D87">
        <f t="shared" ca="1" si="14"/>
        <v>168.551454374077</v>
      </c>
      <c r="E87">
        <f t="shared" si="15"/>
        <v>100</v>
      </c>
      <c r="F87">
        <f t="shared" ca="1" si="11"/>
        <v>298.76640443455034</v>
      </c>
      <c r="G87">
        <f t="shared" ca="1" si="12"/>
        <v>268.55145437407703</v>
      </c>
      <c r="H87">
        <f t="shared" ca="1" si="13"/>
        <v>30.214950060473313</v>
      </c>
      <c r="O87">
        <v>64</v>
      </c>
      <c r="P87" s="4">
        <f t="shared" ca="1" si="10"/>
        <v>173.6848276361323</v>
      </c>
      <c r="Q87" s="4">
        <f ca="1">_xll.PDENSITY($P$87,'Gen 1'!$H$15:$H$114,$P$18,$P$19,0)</f>
        <v>2.0793339150246637E-3</v>
      </c>
      <c r="S87">
        <f ca="1">SMALL('Gen 1'!$H$15:$H$114,73)</f>
        <v>188.2102989438755</v>
      </c>
      <c r="T87">
        <f ca="1">1/(COUNT('Gen 1'!$H$15:$H$114)-1)+$T$86</f>
        <v>0.72727272727272652</v>
      </c>
    </row>
    <row r="88" spans="1:20" x14ac:dyDescent="0.2">
      <c r="A88">
        <v>74</v>
      </c>
      <c r="B88">
        <f ca="1">_xll.NORM($C$6,$D$6)</f>
        <v>10.728848833887307</v>
      </c>
      <c r="C88">
        <f ca="1">_xll.TRIANGLE($C$7,$D$7,$E$7)</f>
        <v>42.51166147452804</v>
      </c>
      <c r="D88">
        <f t="shared" ca="1" si="14"/>
        <v>275.06996884716824</v>
      </c>
      <c r="E88">
        <f t="shared" si="15"/>
        <v>100</v>
      </c>
      <c r="F88">
        <f t="shared" ca="1" si="11"/>
        <v>456.10118963760209</v>
      </c>
      <c r="G88">
        <f t="shared" ca="1" si="12"/>
        <v>375.06996884716824</v>
      </c>
      <c r="H88">
        <f t="shared" ca="1" si="13"/>
        <v>81.031220790433849</v>
      </c>
      <c r="O88">
        <v>65</v>
      </c>
      <c r="P88" s="4">
        <f t="shared" ca="1" si="10"/>
        <v>180.58535419787023</v>
      </c>
      <c r="Q88" s="4">
        <f ca="1">_xll.PDENSITY($P$88,'Gen 1'!$H$15:$H$114,$P$18,$P$19,0)</f>
        <v>2.0306630886909806E-3</v>
      </c>
      <c r="S88">
        <f ca="1">SMALL('Gen 1'!$H$15:$H$114,74)</f>
        <v>189.04352081977345</v>
      </c>
      <c r="T88">
        <f ca="1">1/(COUNT('Gen 1'!$H$15:$H$114)-1)+$T$87</f>
        <v>0.73737373737373657</v>
      </c>
    </row>
    <row r="89" spans="1:20" x14ac:dyDescent="0.2">
      <c r="A89">
        <v>75</v>
      </c>
      <c r="B89">
        <f ca="1">_xll.NORM($C$6,$D$6)</f>
        <v>17.451267743605474</v>
      </c>
      <c r="C89">
        <f ca="1">_xll.TRIANGLE($C$7,$D$7,$E$7)</f>
        <v>26.987712429686844</v>
      </c>
      <c r="D89">
        <f t="shared" ca="1" si="14"/>
        <v>181.92627457812108</v>
      </c>
      <c r="E89">
        <f t="shared" si="15"/>
        <v>100</v>
      </c>
      <c r="F89">
        <f t="shared" ca="1" si="11"/>
        <v>470.96979539789453</v>
      </c>
      <c r="G89">
        <f t="shared" ca="1" si="12"/>
        <v>281.92627457812108</v>
      </c>
      <c r="H89">
        <f t="shared" ca="1" si="13"/>
        <v>189.04352081977345</v>
      </c>
      <c r="O89">
        <v>66</v>
      </c>
      <c r="P89" s="4">
        <f t="shared" ref="P89:P123" ca="1" si="16">1/99*($P$17-$P$16)+P88</f>
        <v>187.48588075960816</v>
      </c>
      <c r="Q89" s="4">
        <f ca="1">_xll.PDENSITY($P$89,'Gen 1'!$H$15:$H$114,$P$18,$P$19,0)</f>
        <v>1.9822450979543613E-3</v>
      </c>
      <c r="S89">
        <f ca="1">SMALL('Gen 1'!$H$15:$H$114,75)</f>
        <v>192.682602885454</v>
      </c>
      <c r="T89">
        <f ca="1">1/(COUNT('Gen 1'!$H$15:$H$114)-1)+$T$88</f>
        <v>0.74747474747474663</v>
      </c>
    </row>
    <row r="90" spans="1:20" x14ac:dyDescent="0.2">
      <c r="A90">
        <v>76</v>
      </c>
      <c r="B90">
        <f ca="1">_xll.NORM($C$6,$D$6)</f>
        <v>10.568850558749842</v>
      </c>
      <c r="C90">
        <f ca="1">_xll.TRIANGLE($C$7,$D$7,$E$7)</f>
        <v>40.465171442905138</v>
      </c>
      <c r="D90">
        <f t="shared" ca="1" si="14"/>
        <v>262.79102865743084</v>
      </c>
      <c r="E90">
        <f t="shared" si="15"/>
        <v>100</v>
      </c>
      <c r="F90">
        <f t="shared" ca="1" si="11"/>
        <v>427.67034981425616</v>
      </c>
      <c r="G90">
        <f t="shared" ca="1" si="12"/>
        <v>362.79102865743084</v>
      </c>
      <c r="H90">
        <f t="shared" ca="1" si="13"/>
        <v>64.879321156825313</v>
      </c>
      <c r="O90">
        <v>67</v>
      </c>
      <c r="P90" s="4">
        <f t="shared" ca="1" si="16"/>
        <v>194.3864073213461</v>
      </c>
      <c r="Q90" s="4">
        <f ca="1">_xll.PDENSITY($P$90,'Gen 1'!$H$15:$H$114,$P$18,$P$19,0)</f>
        <v>1.9345051212195405E-3</v>
      </c>
      <c r="S90">
        <f ca="1">SMALL('Gen 1'!$H$15:$H$114,76)</f>
        <v>200.56397164309612</v>
      </c>
      <c r="T90">
        <f ca="1">1/(COUNT('Gen 1'!$H$15:$H$114)-1)+$T$89</f>
        <v>0.75757575757575668</v>
      </c>
    </row>
    <row r="91" spans="1:20" x14ac:dyDescent="0.2">
      <c r="A91">
        <v>77</v>
      </c>
      <c r="B91">
        <f ca="1">_xll.NORM($C$6,$D$6)</f>
        <v>12.298982547409006</v>
      </c>
      <c r="C91">
        <f ca="1">_xll.TRIANGLE($C$7,$D$7,$E$7)</f>
        <v>49.640176097022433</v>
      </c>
      <c r="D91">
        <f t="shared" ca="1" si="14"/>
        <v>317.84105658213457</v>
      </c>
      <c r="E91">
        <f t="shared" si="15"/>
        <v>100</v>
      </c>
      <c r="F91">
        <f t="shared" ca="1" si="11"/>
        <v>610.52365946758857</v>
      </c>
      <c r="G91">
        <f t="shared" ca="1" si="12"/>
        <v>417.84105658213457</v>
      </c>
      <c r="H91">
        <f t="shared" ca="1" si="13"/>
        <v>192.682602885454</v>
      </c>
      <c r="O91">
        <v>68</v>
      </c>
      <c r="P91" s="4">
        <f t="shared" ca="1" si="16"/>
        <v>201.28693388308403</v>
      </c>
      <c r="Q91" s="4">
        <f ca="1">_xll.PDENSITY($P$91,'Gen 1'!$H$15:$H$114,$P$18,$P$19,0)</f>
        <v>1.8877894883284258E-3</v>
      </c>
      <c r="S91">
        <f ca="1">SMALL('Gen 1'!$H$15:$H$114,77)</f>
        <v>220.21855431954788</v>
      </c>
      <c r="T91">
        <f ca="1">1/(COUNT('Gen 1'!$H$15:$H$114)-1)+$T$90</f>
        <v>0.76767676767676674</v>
      </c>
    </row>
    <row r="92" spans="1:20" x14ac:dyDescent="0.2">
      <c r="A92">
        <v>78</v>
      </c>
      <c r="B92">
        <f ca="1">_xll.NORM($C$6,$D$6)</f>
        <v>9.9437719734597732</v>
      </c>
      <c r="C92">
        <f ca="1">_xll.TRIANGLE($C$7,$D$7,$E$7)</f>
        <v>62.457801008658016</v>
      </c>
      <c r="D92">
        <f t="shared" ca="1" si="14"/>
        <v>394.74680605194811</v>
      </c>
      <c r="E92">
        <f t="shared" si="15"/>
        <v>100</v>
      </c>
      <c r="F92">
        <f t="shared" ca="1" si="11"/>
        <v>621.06613119382109</v>
      </c>
      <c r="G92">
        <f t="shared" ca="1" si="12"/>
        <v>494.74680605194811</v>
      </c>
      <c r="H92">
        <f t="shared" ca="1" si="13"/>
        <v>126.31932514187298</v>
      </c>
      <c r="O92">
        <v>69</v>
      </c>
      <c r="P92" s="4">
        <f t="shared" ca="1" si="16"/>
        <v>208.18746044482197</v>
      </c>
      <c r="Q92" s="4">
        <f ca="1">_xll.PDENSITY($P$92,'Gen 1'!$H$15:$H$114,$P$18,$P$19,0)</f>
        <v>1.8423466161880352E-3</v>
      </c>
      <c r="S92">
        <f ca="1">SMALL('Gen 1'!$H$15:$H$114,78)</f>
        <v>220.69795399988072</v>
      </c>
      <c r="T92">
        <f ca="1">1/(COUNT('Gen 1'!$H$15:$H$114)-1)+$T$91</f>
        <v>0.77777777777777679</v>
      </c>
    </row>
    <row r="93" spans="1:20" x14ac:dyDescent="0.2">
      <c r="A93">
        <v>79</v>
      </c>
      <c r="B93">
        <f ca="1">_xll.NORM($C$6,$D$6)</f>
        <v>8.538323868846879</v>
      </c>
      <c r="C93">
        <f ca="1">_xll.TRIANGLE($C$7,$D$7,$E$7)</f>
        <v>54.289666810863004</v>
      </c>
      <c r="D93">
        <f t="shared" ca="1" si="14"/>
        <v>345.73800086517804</v>
      </c>
      <c r="E93">
        <f t="shared" si="15"/>
        <v>100</v>
      </c>
      <c r="F93">
        <f t="shared" ca="1" si="11"/>
        <v>463.54275796293581</v>
      </c>
      <c r="G93">
        <f t="shared" ca="1" si="12"/>
        <v>445.73800086517804</v>
      </c>
      <c r="H93">
        <f t="shared" ca="1" si="13"/>
        <v>17.804757097757772</v>
      </c>
      <c r="O93">
        <v>70</v>
      </c>
      <c r="P93" s="4">
        <f t="shared" ca="1" si="16"/>
        <v>215.0879870065599</v>
      </c>
      <c r="Q93" s="4">
        <f ca="1">_xll.PDENSITY($P$93,'Gen 1'!$H$15:$H$114,$P$18,$P$19,0)</f>
        <v>1.7983107344613427E-3</v>
      </c>
      <c r="S93">
        <f ca="1">SMALL('Gen 1'!$H$15:$H$114,79)</f>
        <v>237.47843638316868</v>
      </c>
      <c r="T93">
        <f ca="1">1/(COUNT('Gen 1'!$H$15:$H$114)-1)+$T$92</f>
        <v>0.78787878787878685</v>
      </c>
    </row>
    <row r="94" spans="1:20" x14ac:dyDescent="0.2">
      <c r="A94">
        <v>80</v>
      </c>
      <c r="B94">
        <f ca="1">_xll.NORM($C$6,$D$6)</f>
        <v>13.98653669044452</v>
      </c>
      <c r="C94">
        <f ca="1">_xll.TRIANGLE($C$7,$D$7,$E$7)</f>
        <v>54.25404857458458</v>
      </c>
      <c r="D94">
        <f t="shared" ca="1" si="14"/>
        <v>345.52429144750749</v>
      </c>
      <c r="E94">
        <f t="shared" si="15"/>
        <v>100</v>
      </c>
      <c r="F94">
        <f t="shared" ca="1" si="11"/>
        <v>758.82624099358645</v>
      </c>
      <c r="G94">
        <f t="shared" ca="1" si="12"/>
        <v>445.52429144750749</v>
      </c>
      <c r="H94">
        <f t="shared" ca="1" si="13"/>
        <v>313.30194954607896</v>
      </c>
      <c r="O94">
        <v>71</v>
      </c>
      <c r="P94" s="4">
        <f t="shared" ca="1" si="16"/>
        <v>221.98851356829783</v>
      </c>
      <c r="Q94" s="4">
        <f ca="1">_xll.PDENSITY($P$94,'Gen 1'!$H$15:$H$114,$P$18,$P$19,0)</f>
        <v>1.7556911072536842E-3</v>
      </c>
      <c r="S94">
        <f ca="1">SMALL('Gen 1'!$H$15:$H$114,80)</f>
        <v>247.58983273614695</v>
      </c>
      <c r="T94">
        <f ca="1">1/(COUNT('Gen 1'!$H$15:$H$114)-1)+$T$93</f>
        <v>0.7979797979797969</v>
      </c>
    </row>
    <row r="95" spans="1:20" x14ac:dyDescent="0.2">
      <c r="A95">
        <v>81</v>
      </c>
      <c r="B95">
        <f ca="1">_xll.NORM($C$6,$D$6)</f>
        <v>3.2132343838020523</v>
      </c>
      <c r="C95">
        <f ca="1">_xll.TRIANGLE($C$7,$D$7,$E$7)</f>
        <v>50.61363787952601</v>
      </c>
      <c r="D95">
        <f t="shared" ca="1" si="14"/>
        <v>323.68182727715606</v>
      </c>
      <c r="E95">
        <f t="shared" si="15"/>
        <v>100</v>
      </c>
      <c r="F95">
        <f t="shared" ca="1" si="11"/>
        <v>162.63348152379896</v>
      </c>
      <c r="G95">
        <f t="shared" ca="1" si="12"/>
        <v>423.68182727715606</v>
      </c>
      <c r="H95">
        <f t="shared" ca="1" si="13"/>
        <v>-261.04834575335713</v>
      </c>
      <c r="O95">
        <v>72</v>
      </c>
      <c r="P95" s="4">
        <f t="shared" ca="1" si="16"/>
        <v>228.88904013003577</v>
      </c>
      <c r="Q95" s="4">
        <f ca="1">_xll.PDENSITY($P$95,'Gen 1'!$H$15:$H$114,$P$18,$P$19,0)</f>
        <v>1.7143691289019821E-3</v>
      </c>
      <c r="S95">
        <f ca="1">SMALL('Gen 1'!$H$15:$H$114,81)</f>
        <v>252.40428498789282</v>
      </c>
      <c r="T95">
        <f ca="1">1/(COUNT('Gen 1'!$H$15:$H$114)-1)+$T$94</f>
        <v>0.80808080808080696</v>
      </c>
    </row>
    <row r="96" spans="1:20" x14ac:dyDescent="0.2">
      <c r="A96">
        <v>82</v>
      </c>
      <c r="B96">
        <f ca="1">_xll.NORM($C$6,$D$6)</f>
        <v>15.121863730199744</v>
      </c>
      <c r="C96">
        <f ca="1">_xll.TRIANGLE($C$7,$D$7,$E$7)</f>
        <v>26.859891068285997</v>
      </c>
      <c r="D96">
        <f t="shared" ca="1" si="14"/>
        <v>181.15934640971597</v>
      </c>
      <c r="E96">
        <f t="shared" si="15"/>
        <v>100</v>
      </c>
      <c r="F96">
        <f t="shared" ca="1" si="11"/>
        <v>406.17161254263004</v>
      </c>
      <c r="G96">
        <f t="shared" ca="1" si="12"/>
        <v>281.15934640971597</v>
      </c>
      <c r="H96">
        <f t="shared" ca="1" si="13"/>
        <v>125.01226613291408</v>
      </c>
      <c r="O96">
        <v>73</v>
      </c>
      <c r="P96" s="4">
        <f t="shared" ca="1" si="16"/>
        <v>235.7895666917737</v>
      </c>
      <c r="Q96" s="4">
        <f ca="1">_xll.PDENSITY($P$96,'Gen 1'!$H$15:$H$114,$P$18,$P$19,0)</f>
        <v>1.6741049448311877E-3</v>
      </c>
      <c r="S96">
        <f ca="1">SMALL('Gen 1'!$H$15:$H$114,82)</f>
        <v>255.43573335210971</v>
      </c>
      <c r="T96">
        <f ca="1">1/(COUNT('Gen 1'!$H$15:$H$114)-1)+$T$95</f>
        <v>0.81818181818181701</v>
      </c>
    </row>
    <row r="97" spans="1:20" x14ac:dyDescent="0.2">
      <c r="A97">
        <v>83</v>
      </c>
      <c r="B97">
        <f ca="1">_xll.NORM($C$6,$D$6)</f>
        <v>10.789748053447484</v>
      </c>
      <c r="C97">
        <f ca="1">_xll.TRIANGLE($C$7,$D$7,$E$7)</f>
        <v>61.409801870372839</v>
      </c>
      <c r="D97">
        <f t="shared" ca="1" si="14"/>
        <v>388.45881122223705</v>
      </c>
      <c r="E97">
        <f t="shared" si="15"/>
        <v>100</v>
      </c>
      <c r="F97">
        <f t="shared" ca="1" si="11"/>
        <v>662.59629019345095</v>
      </c>
      <c r="G97">
        <f t="shared" ca="1" si="12"/>
        <v>488.45881122223705</v>
      </c>
      <c r="H97">
        <f t="shared" ca="1" si="13"/>
        <v>174.13747897121391</v>
      </c>
      <c r="O97">
        <v>74</v>
      </c>
      <c r="P97" s="4">
        <f t="shared" ca="1" si="16"/>
        <v>242.69009325351163</v>
      </c>
      <c r="Q97" s="4">
        <f ca="1">_xll.PDENSITY($P$97,'Gen 1'!$H$15:$H$114,$P$18,$P$19,0)</f>
        <v>1.6345542062273081E-3</v>
      </c>
      <c r="S97">
        <f ca="1">SMALL('Gen 1'!$H$15:$H$114,83)</f>
        <v>266.60745378613876</v>
      </c>
      <c r="T97">
        <f ca="1">1/(COUNT('Gen 1'!$H$15:$H$114)-1)+$T$96</f>
        <v>0.82828282828282707</v>
      </c>
    </row>
    <row r="98" spans="1:20" x14ac:dyDescent="0.2">
      <c r="A98">
        <v>84</v>
      </c>
      <c r="B98">
        <f ca="1">_xll.NORM($C$6,$D$6)</f>
        <v>12.844659303688603</v>
      </c>
      <c r="C98">
        <f ca="1">_xll.TRIANGLE($C$7,$D$7,$E$7)</f>
        <v>37.094921120759814</v>
      </c>
      <c r="D98">
        <f t="shared" ca="1" si="14"/>
        <v>242.5695267245589</v>
      </c>
      <c r="E98">
        <f t="shared" si="15"/>
        <v>100</v>
      </c>
      <c r="F98">
        <f t="shared" ca="1" si="11"/>
        <v>476.4716236933624</v>
      </c>
      <c r="G98">
        <f t="shared" ca="1" si="12"/>
        <v>342.5695267245589</v>
      </c>
      <c r="H98">
        <f t="shared" ca="1" si="13"/>
        <v>133.90209696880351</v>
      </c>
      <c r="O98">
        <v>75</v>
      </c>
      <c r="P98" s="4">
        <f t="shared" ca="1" si="16"/>
        <v>249.59061981524957</v>
      </c>
      <c r="Q98" s="4">
        <f ca="1">_xll.PDENSITY($P$98,'Gen 1'!$H$15:$H$114,$P$18,$P$19,0)</f>
        <v>1.5952943461602855E-3</v>
      </c>
      <c r="S98">
        <f ca="1">SMALL('Gen 1'!$H$15:$H$114,84)</f>
        <v>270.77324115739833</v>
      </c>
      <c r="T98">
        <f ca="1">1/(COUNT('Gen 1'!$H$15:$H$114)-1)+$T$97</f>
        <v>0.83838383838383712</v>
      </c>
    </row>
    <row r="99" spans="1:20" x14ac:dyDescent="0.2">
      <c r="A99">
        <v>85</v>
      </c>
      <c r="B99">
        <f ca="1">_xll.NORM($C$6,$D$6)</f>
        <v>10.227641499849362</v>
      </c>
      <c r="C99">
        <f ca="1">_xll.TRIANGLE($C$7,$D$7,$E$7)</f>
        <v>39.799717386714136</v>
      </c>
      <c r="D99">
        <f t="shared" ca="1" si="14"/>
        <v>258.79830432028484</v>
      </c>
      <c r="E99">
        <f t="shared" si="15"/>
        <v>100</v>
      </c>
      <c r="F99">
        <f t="shared" ca="1" si="11"/>
        <v>407.05724122663372</v>
      </c>
      <c r="G99">
        <f t="shared" ca="1" si="12"/>
        <v>358.79830432028484</v>
      </c>
      <c r="H99">
        <f t="shared" ca="1" si="13"/>
        <v>48.258936906348879</v>
      </c>
      <c r="O99">
        <v>76</v>
      </c>
      <c r="P99" s="4">
        <f t="shared" ca="1" si="16"/>
        <v>256.4911463769875</v>
      </c>
      <c r="Q99" s="4">
        <f ca="1">_xll.PDENSITY($P$99,'Gen 1'!$H$15:$H$114,$P$18,$P$19,0)</f>
        <v>1.555858533845815E-3</v>
      </c>
      <c r="S99">
        <f ca="1">SMALL('Gen 1'!$H$15:$H$114,85)</f>
        <v>273.78306062921195</v>
      </c>
      <c r="T99">
        <f ca="1">1/(COUNT('Gen 1'!$H$15:$H$114)-1)+$T$98</f>
        <v>0.84848484848484718</v>
      </c>
    </row>
    <row r="100" spans="1:20" x14ac:dyDescent="0.2">
      <c r="A100">
        <v>86</v>
      </c>
      <c r="B100">
        <f ca="1">_xll.NORM($C$6,$D$6)</f>
        <v>16.734432779316169</v>
      </c>
      <c r="C100">
        <f ca="1">_xll.TRIANGLE($C$7,$D$7,$E$7)</f>
        <v>45.253838275720582</v>
      </c>
      <c r="D100">
        <f t="shared" ca="1" si="14"/>
        <v>291.52302965432352</v>
      </c>
      <c r="E100">
        <f t="shared" si="15"/>
        <v>100</v>
      </c>
      <c r="F100">
        <f t="shared" ca="1" si="11"/>
        <v>757.29731463109124</v>
      </c>
      <c r="G100">
        <f t="shared" ca="1" si="12"/>
        <v>391.52302965432352</v>
      </c>
      <c r="H100">
        <f t="shared" ca="1" si="13"/>
        <v>365.77428497676772</v>
      </c>
      <c r="O100">
        <v>77</v>
      </c>
      <c r="P100" s="4">
        <f t="shared" ca="1" si="16"/>
        <v>263.39167293872543</v>
      </c>
      <c r="Q100" s="4">
        <f ca="1">_xll.PDENSITY($P$100,'Gen 1'!$H$15:$H$114,$P$18,$P$19,0)</f>
        <v>1.5157744001578193E-3</v>
      </c>
      <c r="S100">
        <f ca="1">SMALL('Gen 1'!$H$15:$H$114,86)</f>
        <v>278.39411647312238</v>
      </c>
      <c r="T100">
        <f ca="1">1/(COUNT('Gen 1'!$H$15:$H$114)-1)+$T$99</f>
        <v>0.85858585858585723</v>
      </c>
    </row>
    <row r="101" spans="1:20" x14ac:dyDescent="0.2">
      <c r="A101">
        <v>87</v>
      </c>
      <c r="B101">
        <f ca="1">_xll.NORM($C$6,$D$6)</f>
        <v>8.872707681716534</v>
      </c>
      <c r="C101">
        <f ca="1">_xll.TRIANGLE($C$7,$D$7,$E$7)</f>
        <v>42.625248185793453</v>
      </c>
      <c r="D101">
        <f t="shared" ca="1" si="14"/>
        <v>275.75148911476072</v>
      </c>
      <c r="E101">
        <f t="shared" si="15"/>
        <v>100</v>
      </c>
      <c r="F101">
        <f t="shared" ca="1" si="11"/>
        <v>378.20136701316335</v>
      </c>
      <c r="G101">
        <f t="shared" ca="1" si="12"/>
        <v>375.75148911476072</v>
      </c>
      <c r="H101">
        <f t="shared" ca="1" si="13"/>
        <v>2.449877898402633</v>
      </c>
      <c r="O101">
        <v>78</v>
      </c>
      <c r="P101" s="4">
        <f t="shared" ca="1" si="16"/>
        <v>270.29219950046337</v>
      </c>
      <c r="Q101" s="4">
        <f ca="1">_xll.PDENSITY($P$101,'Gen 1'!$H$15:$H$114,$P$18,$P$19,0)</f>
        <v>1.474603889848998E-3</v>
      </c>
      <c r="S101">
        <f ca="1">SMALL('Gen 1'!$H$15:$H$114,87)</f>
        <v>285.49208931520235</v>
      </c>
      <c r="T101">
        <f ca="1">1/(COUNT('Gen 1'!$H$15:$H$114)-1)+$T$100</f>
        <v>0.86868686868686729</v>
      </c>
    </row>
    <row r="102" spans="1:20" x14ac:dyDescent="0.2">
      <c r="A102">
        <v>88</v>
      </c>
      <c r="B102">
        <f ca="1">_xll.NORM($C$6,$D$6)</f>
        <v>14.145203643938961</v>
      </c>
      <c r="C102">
        <f ca="1">_xll.TRIANGLE($C$7,$D$7,$E$7)</f>
        <v>61.430253693497541</v>
      </c>
      <c r="D102">
        <f t="shared" ca="1" si="14"/>
        <v>388.58152216098523</v>
      </c>
      <c r="E102">
        <f t="shared" si="15"/>
        <v>100</v>
      </c>
      <c r="F102">
        <f t="shared" ca="1" si="11"/>
        <v>868.94344839335622</v>
      </c>
      <c r="G102">
        <f t="shared" ca="1" si="12"/>
        <v>488.58152216098523</v>
      </c>
      <c r="H102">
        <f t="shared" ca="1" si="13"/>
        <v>380.36192623237099</v>
      </c>
      <c r="O102">
        <v>79</v>
      </c>
      <c r="P102" s="4">
        <f t="shared" ca="1" si="16"/>
        <v>277.1927260622013</v>
      </c>
      <c r="Q102" s="4">
        <f ca="1">_xll.PDENSITY($P$102,'Gen 1'!$H$15:$H$114,$P$18,$P$19,0)</f>
        <v>1.431980299602189E-3</v>
      </c>
      <c r="S102">
        <f ca="1">SMALL('Gen 1'!$H$15:$H$114,88)</f>
        <v>288.9978733759533</v>
      </c>
      <c r="T102">
        <f ca="1">1/(COUNT('Gen 1'!$H$15:$H$114)-1)+$T$101</f>
        <v>0.87878787878787734</v>
      </c>
    </row>
    <row r="103" spans="1:20" x14ac:dyDescent="0.2">
      <c r="A103">
        <v>89</v>
      </c>
      <c r="B103">
        <f ca="1">_xll.NORM($C$6,$D$6)</f>
        <v>12.413321683251894</v>
      </c>
      <c r="C103">
        <f ca="1">_xll.TRIANGLE($C$7,$D$7,$E$7)</f>
        <v>28.330484539103953</v>
      </c>
      <c r="D103">
        <f t="shared" ca="1" si="14"/>
        <v>189.98290723462372</v>
      </c>
      <c r="E103">
        <f t="shared" si="15"/>
        <v>100</v>
      </c>
      <c r="F103">
        <f t="shared" ca="1" si="11"/>
        <v>351.67541802629165</v>
      </c>
      <c r="G103">
        <f t="shared" ca="1" si="12"/>
        <v>289.98290723462372</v>
      </c>
      <c r="H103">
        <f t="shared" ca="1" si="13"/>
        <v>61.692510791667928</v>
      </c>
      <c r="O103">
        <v>80</v>
      </c>
      <c r="P103" s="4">
        <f t="shared" ca="1" si="16"/>
        <v>284.09325262393924</v>
      </c>
      <c r="Q103" s="4">
        <f ca="1">_xll.PDENSITY($P$103,'Gen 1'!$H$15:$H$114,$P$18,$P$19,0)</f>
        <v>1.3876387599560086E-3</v>
      </c>
      <c r="S103">
        <f ca="1">SMALL('Gen 1'!$H$15:$H$114,89)</f>
        <v>290.69968016834702</v>
      </c>
      <c r="T103">
        <f ca="1">1/(COUNT('Gen 1'!$H$15:$H$114)-1)+$T$102</f>
        <v>0.8888888888888874</v>
      </c>
    </row>
    <row r="104" spans="1:20" x14ac:dyDescent="0.2">
      <c r="A104">
        <v>90</v>
      </c>
      <c r="B104">
        <f ca="1">_xll.NORM($C$6,$D$6)</f>
        <v>10.483552883931317</v>
      </c>
      <c r="C104">
        <f ca="1">_xll.TRIANGLE($C$7,$D$7,$E$7)</f>
        <v>57.983536215543438</v>
      </c>
      <c r="D104">
        <f t="shared" ca="1" si="14"/>
        <v>367.90121729326063</v>
      </c>
      <c r="E104">
        <f t="shared" si="15"/>
        <v>100</v>
      </c>
      <c r="F104">
        <f t="shared" ca="1" si="11"/>
        <v>607.87346831299635</v>
      </c>
      <c r="G104">
        <f t="shared" ca="1" si="12"/>
        <v>467.90121729326063</v>
      </c>
      <c r="H104">
        <f t="shared" ca="1" si="13"/>
        <v>139.97225101973572</v>
      </c>
      <c r="O104">
        <v>81</v>
      </c>
      <c r="P104" s="4">
        <f t="shared" ca="1" si="16"/>
        <v>290.99377918567717</v>
      </c>
      <c r="Q104" s="4">
        <f ca="1">_xll.PDENSITY($P$104,'Gen 1'!$H$15:$H$114,$P$18,$P$19,0)</f>
        <v>1.3414370967568077E-3</v>
      </c>
      <c r="S104">
        <f ca="1">SMALL('Gen 1'!$H$15:$H$114,90)</f>
        <v>291.27154237846497</v>
      </c>
      <c r="T104">
        <f ca="1">1/(COUNT('Gen 1'!$H$15:$H$114)-1)+$T$103</f>
        <v>0.89898989898989745</v>
      </c>
    </row>
    <row r="105" spans="1:20" x14ac:dyDescent="0.2">
      <c r="A105">
        <v>91</v>
      </c>
      <c r="B105">
        <f ca="1">_xll.NORM($C$6,$D$6)</f>
        <v>6.7988530228429784</v>
      </c>
      <c r="C105">
        <f ca="1">_xll.TRIANGLE($C$7,$D$7,$E$7)</f>
        <v>52.025533026399422</v>
      </c>
      <c r="D105">
        <f t="shared" ca="1" si="14"/>
        <v>332.15319815839655</v>
      </c>
      <c r="E105">
        <f t="shared" si="15"/>
        <v>100</v>
      </c>
      <c r="F105">
        <f t="shared" ca="1" si="11"/>
        <v>353.71395248155289</v>
      </c>
      <c r="G105">
        <f t="shared" ca="1" si="12"/>
        <v>432.15319815839655</v>
      </c>
      <c r="H105">
        <f t="shared" ca="1" si="13"/>
        <v>-78.439245676843655</v>
      </c>
      <c r="O105">
        <v>82</v>
      </c>
      <c r="P105" s="4">
        <f t="shared" ca="1" si="16"/>
        <v>297.8943057474151</v>
      </c>
      <c r="Q105" s="4">
        <f ca="1">_xll.PDENSITY($P$105,'Gen 1'!$H$15:$H$114,$P$18,$P$19,0)</f>
        <v>1.2933650787994083E-3</v>
      </c>
      <c r="S105">
        <f ca="1">SMALL('Gen 1'!$H$15:$H$114,91)</f>
        <v>293.14887191891654</v>
      </c>
      <c r="T105">
        <f ca="1">1/(COUNT('Gen 1'!$H$15:$H$114)-1)+$T$104</f>
        <v>0.90909090909090751</v>
      </c>
    </row>
    <row r="106" spans="1:20" x14ac:dyDescent="0.2">
      <c r="A106">
        <v>92</v>
      </c>
      <c r="B106">
        <f ca="1">_xll.NORM($C$6,$D$6)</f>
        <v>9.0397349589472373</v>
      </c>
      <c r="C106">
        <f ca="1">_xll.TRIANGLE($C$7,$D$7,$E$7)</f>
        <v>60.552849253528208</v>
      </c>
      <c r="D106">
        <f t="shared" ca="1" si="14"/>
        <v>383.31709552116922</v>
      </c>
      <c r="E106">
        <f t="shared" si="15"/>
        <v>100</v>
      </c>
      <c r="F106">
        <f t="shared" ca="1" si="11"/>
        <v>547.3817082609811</v>
      </c>
      <c r="G106">
        <f t="shared" ca="1" si="12"/>
        <v>483.31709552116922</v>
      </c>
      <c r="H106">
        <f t="shared" ca="1" si="13"/>
        <v>64.064612739811878</v>
      </c>
      <c r="O106">
        <v>83</v>
      </c>
      <c r="P106" s="4">
        <f t="shared" ca="1" si="16"/>
        <v>304.79483230915304</v>
      </c>
      <c r="Q106" s="4">
        <f ca="1">_xll.PDENSITY($P$106,'Gen 1'!$H$15:$H$114,$P$18,$P$19,0)</f>
        <v>1.2435413811322875E-3</v>
      </c>
      <c r="S106">
        <f ca="1">SMALL('Gen 1'!$H$15:$H$114,92)</f>
        <v>302.13094054916246</v>
      </c>
      <c r="T106">
        <f ca="1">1/(COUNT('Gen 1'!$H$15:$H$114)-1)+$T$105</f>
        <v>0.91919191919191756</v>
      </c>
    </row>
    <row r="107" spans="1:20" x14ac:dyDescent="0.2">
      <c r="A107">
        <v>93</v>
      </c>
      <c r="B107">
        <f ca="1">_xll.NORM($C$6,$D$6)</f>
        <v>12.177125053425412</v>
      </c>
      <c r="C107">
        <f ca="1">_xll.TRIANGLE($C$7,$D$7,$E$7)</f>
        <v>55.077167999195005</v>
      </c>
      <c r="D107">
        <f t="shared" ca="1" si="14"/>
        <v>350.46300799517002</v>
      </c>
      <c r="E107">
        <f t="shared" si="15"/>
        <v>100</v>
      </c>
      <c r="F107">
        <f t="shared" ca="1" si="11"/>
        <v>670.68156231471789</v>
      </c>
      <c r="G107">
        <f t="shared" ca="1" si="12"/>
        <v>450.46300799517002</v>
      </c>
      <c r="H107">
        <f t="shared" ca="1" si="13"/>
        <v>220.21855431954788</v>
      </c>
      <c r="O107">
        <v>84</v>
      </c>
      <c r="P107" s="4">
        <f t="shared" ca="1" si="16"/>
        <v>311.69535887089097</v>
      </c>
      <c r="Q107" s="4">
        <f ca="1">_xll.PDENSITY($P$107,'Gen 1'!$H$15:$H$114,$P$18,$P$19,0)</f>
        <v>1.1921989912712534E-3</v>
      </c>
      <c r="S107">
        <f ca="1">SMALL('Gen 1'!$H$15:$H$114,93)</f>
        <v>313.30194954607896</v>
      </c>
      <c r="T107">
        <f ca="1">1/(COUNT('Gen 1'!$H$15:$H$114)-1)+$T$106</f>
        <v>0.92929292929292762</v>
      </c>
    </row>
    <row r="108" spans="1:20" x14ac:dyDescent="0.2">
      <c r="A108">
        <v>94</v>
      </c>
      <c r="B108">
        <f ca="1">_xll.NORM($C$6,$D$6)</f>
        <v>11.525319126524403</v>
      </c>
      <c r="C108">
        <f ca="1">_xll.TRIANGLE($C$7,$D$7,$E$7)</f>
        <v>47.147734927959462</v>
      </c>
      <c r="D108">
        <f t="shared" ca="1" si="14"/>
        <v>302.8864095677568</v>
      </c>
      <c r="E108">
        <f t="shared" si="15"/>
        <v>100</v>
      </c>
      <c r="F108">
        <f t="shared" ca="1" si="11"/>
        <v>543.39269113751379</v>
      </c>
      <c r="G108">
        <f t="shared" ca="1" si="12"/>
        <v>402.8864095677568</v>
      </c>
      <c r="H108">
        <f t="shared" ca="1" si="13"/>
        <v>140.50628156975699</v>
      </c>
      <c r="O108">
        <v>85</v>
      </c>
      <c r="P108" s="4">
        <f t="shared" ca="1" si="16"/>
        <v>318.5958854326289</v>
      </c>
      <c r="Q108" s="4">
        <f ca="1">_xll.PDENSITY($P$108,'Gen 1'!$H$15:$H$114,$P$18,$P$19,0)</f>
        <v>1.1396610725226042E-3</v>
      </c>
      <c r="S108">
        <f ca="1">SMALL('Gen 1'!$H$15:$H$114,94)</f>
        <v>323.59436145597431</v>
      </c>
      <c r="T108">
        <f ca="1">1/(COUNT('Gen 1'!$H$15:$H$114)-1)+$T$107</f>
        <v>0.93939393939393767</v>
      </c>
    </row>
    <row r="109" spans="1:20" x14ac:dyDescent="0.2">
      <c r="A109">
        <v>95</v>
      </c>
      <c r="B109">
        <f ca="1">_xll.NORM($C$6,$D$6)</f>
        <v>14.719741226459606</v>
      </c>
      <c r="C109">
        <f ca="1">_xll.TRIANGLE($C$7,$D$7,$E$7)</f>
        <v>45.688754531409259</v>
      </c>
      <c r="D109">
        <f t="shared" ca="1" si="14"/>
        <v>294.13252718845558</v>
      </c>
      <c r="E109">
        <f t="shared" si="15"/>
        <v>100</v>
      </c>
      <c r="F109">
        <f t="shared" ca="1" si="11"/>
        <v>672.52664366157796</v>
      </c>
      <c r="G109">
        <f t="shared" ca="1" si="12"/>
        <v>394.13252718845558</v>
      </c>
      <c r="H109">
        <f t="shared" ca="1" si="13"/>
        <v>278.39411647312238</v>
      </c>
      <c r="O109">
        <v>86</v>
      </c>
      <c r="P109" s="4">
        <f t="shared" ca="1" si="16"/>
        <v>325.49641199436684</v>
      </c>
      <c r="Q109" s="4">
        <f ca="1">_xll.PDENSITY($P$109,'Gen 1'!$H$15:$H$114,$P$18,$P$19,0)</f>
        <v>1.0863103074307909E-3</v>
      </c>
      <c r="S109">
        <f ca="1">SMALL('Gen 1'!$H$15:$H$114,95)</f>
        <v>365.77428497676772</v>
      </c>
      <c r="T109">
        <f ca="1">1/(COUNT('Gen 1'!$H$15:$H$114)-1)+$T$108</f>
        <v>0.94949494949494773</v>
      </c>
    </row>
    <row r="110" spans="1:20" x14ac:dyDescent="0.2">
      <c r="A110">
        <v>96</v>
      </c>
      <c r="B110">
        <f ca="1">_xll.NORM($C$6,$D$6)</f>
        <v>9.916225751323072</v>
      </c>
      <c r="C110">
        <f ca="1">_xll.TRIANGLE($C$7,$D$7,$E$7)</f>
        <v>42.642776165920999</v>
      </c>
      <c r="D110">
        <f t="shared" ca="1" si="14"/>
        <v>275.85665699552601</v>
      </c>
      <c r="E110">
        <f t="shared" si="15"/>
        <v>100</v>
      </c>
      <c r="F110">
        <f t="shared" ca="1" si="11"/>
        <v>422.85539512441153</v>
      </c>
      <c r="G110">
        <f t="shared" ca="1" si="12"/>
        <v>375.85665699552601</v>
      </c>
      <c r="H110">
        <f t="shared" ca="1" si="13"/>
        <v>46.99873812888552</v>
      </c>
      <c r="O110">
        <v>87</v>
      </c>
      <c r="P110" s="4">
        <f t="shared" ca="1" si="16"/>
        <v>332.39693855610477</v>
      </c>
      <c r="Q110" s="4">
        <f ca="1">_xll.PDENSITY($P$110,'Gen 1'!$H$15:$H$114,$P$18,$P$19,0)</f>
        <v>1.0325553501578774E-3</v>
      </c>
      <c r="S110">
        <f ca="1">SMALL('Gen 1'!$H$15:$H$114,96)</f>
        <v>368.92866659242964</v>
      </c>
      <c r="T110">
        <f ca="1">1/(COUNT('Gen 1'!$H$15:$H$114)-1)+$T$109</f>
        <v>0.95959595959595778</v>
      </c>
    </row>
    <row r="111" spans="1:20" x14ac:dyDescent="0.2">
      <c r="A111">
        <v>97</v>
      </c>
      <c r="B111">
        <f ca="1">_xll.NORM($C$6,$D$6)</f>
        <v>13.149314061456264</v>
      </c>
      <c r="C111">
        <f ca="1">_xll.TRIANGLE($C$7,$D$7,$E$7)</f>
        <v>57.788602985887159</v>
      </c>
      <c r="D111">
        <f t="shared" ca="1" si="14"/>
        <v>366.73161791532294</v>
      </c>
      <c r="E111">
        <f t="shared" si="15"/>
        <v>100</v>
      </c>
      <c r="F111">
        <f t="shared" ca="1" si="11"/>
        <v>759.88048983423948</v>
      </c>
      <c r="G111">
        <f t="shared" ca="1" si="12"/>
        <v>466.73161791532294</v>
      </c>
      <c r="H111">
        <f t="shared" ca="1" si="13"/>
        <v>293.14887191891654</v>
      </c>
      <c r="O111">
        <v>88</v>
      </c>
      <c r="P111" s="4">
        <f t="shared" ca="1" si="16"/>
        <v>339.29746511784271</v>
      </c>
      <c r="Q111" s="4">
        <f ca="1">_xll.PDENSITY($P$111,'Gen 1'!$H$15:$H$114,$P$18,$P$19,0)</f>
        <v>9.7879815390107343E-4</v>
      </c>
      <c r="S111">
        <f ca="1">SMALL('Gen 1'!$H$15:$H$114,97)</f>
        <v>379.21235894706763</v>
      </c>
      <c r="T111">
        <f ca="1">1/(COUNT('Gen 1'!$H$15:$H$114)-1)+$T$110</f>
        <v>0.96969696969696784</v>
      </c>
    </row>
    <row r="112" spans="1:20" x14ac:dyDescent="0.2">
      <c r="A112">
        <v>98</v>
      </c>
      <c r="B112">
        <f ca="1">_xll.NORM($C$6,$D$6)</f>
        <v>11.444644549115869</v>
      </c>
      <c r="C112">
        <f ca="1">_xll.TRIANGLE($C$7,$D$7,$E$7)</f>
        <v>40.474116662874614</v>
      </c>
      <c r="D112">
        <f t="shared" ca="1" si="14"/>
        <v>262.84469997724767</v>
      </c>
      <c r="E112">
        <f t="shared" si="15"/>
        <v>100</v>
      </c>
      <c r="F112">
        <f t="shared" ca="1" si="11"/>
        <v>463.21187864604775</v>
      </c>
      <c r="G112">
        <f t="shared" ca="1" si="12"/>
        <v>362.84469997724767</v>
      </c>
      <c r="H112">
        <f t="shared" ca="1" si="13"/>
        <v>100.36717866880008</v>
      </c>
      <c r="O112">
        <v>89</v>
      </c>
      <c r="P112" s="4">
        <f t="shared" ca="1" si="16"/>
        <v>346.19799167958064</v>
      </c>
      <c r="Q112" s="4">
        <f ca="1">_xll.PDENSITY($P$112,'Gen 1'!$H$15:$H$114,$P$18,$P$19,0)</f>
        <v>9.2540560961354163E-4</v>
      </c>
      <c r="S112">
        <f ca="1">SMALL('Gen 1'!$H$15:$H$114,98)</f>
        <v>380.36192623237099</v>
      </c>
      <c r="T112">
        <f ca="1">1/(COUNT('Gen 1'!$H$15:$H$114)-1)+$T$111</f>
        <v>0.97979797979797789</v>
      </c>
    </row>
    <row r="113" spans="1:20" x14ac:dyDescent="0.2">
      <c r="A113">
        <v>99</v>
      </c>
      <c r="B113">
        <f ca="1">_xll.NORM($C$6,$D$6)</f>
        <v>6.7686833340809702</v>
      </c>
      <c r="C113">
        <f ca="1">_xll.TRIANGLE($C$7,$D$7,$E$7)</f>
        <v>53.754159176592594</v>
      </c>
      <c r="D113">
        <f t="shared" ca="1" si="14"/>
        <v>342.52495505955557</v>
      </c>
      <c r="E113">
        <f t="shared" si="15"/>
        <v>100</v>
      </c>
      <c r="F113">
        <f t="shared" ca="1" si="11"/>
        <v>363.84488135613793</v>
      </c>
      <c r="G113">
        <f t="shared" ca="1" si="12"/>
        <v>442.52495505955557</v>
      </c>
      <c r="H113">
        <f t="shared" ca="1" si="13"/>
        <v>-78.680073703417634</v>
      </c>
      <c r="O113">
        <v>90</v>
      </c>
      <c r="P113" s="4">
        <f t="shared" ca="1" si="16"/>
        <v>353.09851824131857</v>
      </c>
      <c r="Q113" s="4">
        <f ca="1">_xll.PDENSITY($P$113,'Gen 1'!$H$15:$H$114,$P$18,$P$19,0)</f>
        <v>8.7268820054039098E-4</v>
      </c>
      <c r="S113">
        <f ca="1">SMALL('Gen 1'!$H$15:$H$114,99)</f>
        <v>406.2750276379362</v>
      </c>
      <c r="T113">
        <f ca="1">1/(COUNT('Gen 1'!$H$15:$H$114)-1)+$T$112</f>
        <v>0.98989898989898795</v>
      </c>
    </row>
    <row r="114" spans="1:20" x14ac:dyDescent="0.2">
      <c r="A114">
        <v>100</v>
      </c>
      <c r="B114">
        <f ca="1">_xll.NORM($C$6,$D$6)</f>
        <v>4.8362435050156822</v>
      </c>
      <c r="C114">
        <f ca="1">_xll.TRIANGLE($C$7,$D$7,$E$7)</f>
        <v>54.600644355903981</v>
      </c>
      <c r="D114">
        <f t="shared" ca="1" si="14"/>
        <v>347.60386613542391</v>
      </c>
      <c r="E114">
        <f t="shared" si="15"/>
        <v>100</v>
      </c>
      <c r="F114">
        <f t="shared" ca="1" si="11"/>
        <v>264.0620116359118</v>
      </c>
      <c r="G114">
        <f t="shared" ca="1" si="12"/>
        <v>447.60386613542391</v>
      </c>
      <c r="H114">
        <f t="shared" ca="1" si="13"/>
        <v>-183.54185449951211</v>
      </c>
      <c r="O114">
        <v>91</v>
      </c>
      <c r="P114" s="4">
        <f t="shared" ca="1" si="16"/>
        <v>359.99904480305651</v>
      </c>
      <c r="Q114" s="4">
        <f ca="1">_xll.PDENSITY($P$114,'Gen 1'!$H$15:$H$114,$P$18,$P$19,0)</f>
        <v>8.2088736010401872E-4</v>
      </c>
      <c r="S114">
        <f ca="1">SMALL('Gen 1'!$H$15:$H$114,100)</f>
        <v>422.10378385869734</v>
      </c>
      <c r="T114">
        <f ca="1">1/(COUNT('Gen 1'!$H$15:$H$114)-1)+$T$113</f>
        <v>0.999999999999998</v>
      </c>
    </row>
    <row r="115" spans="1:20" x14ac:dyDescent="0.2">
      <c r="A115" s="1"/>
      <c r="B115" s="5" t="str">
        <f>B14</f>
        <v>P</v>
      </c>
      <c r="C115" s="5" t="str">
        <f t="shared" ref="C115:H115" si="17">C14</f>
        <v>Q</v>
      </c>
      <c r="D115" s="5" t="str">
        <f t="shared" si="17"/>
        <v>VC</v>
      </c>
      <c r="E115" s="5" t="str">
        <f t="shared" si="17"/>
        <v>FC</v>
      </c>
      <c r="F115" s="5" t="str">
        <f t="shared" si="17"/>
        <v>TR</v>
      </c>
      <c r="G115" s="5" t="str">
        <f t="shared" si="17"/>
        <v>TC</v>
      </c>
      <c r="H115" s="5" t="str">
        <f t="shared" si="17"/>
        <v>Profit</v>
      </c>
      <c r="O115">
        <v>92</v>
      </c>
      <c r="P115" s="4">
        <f t="shared" ca="1" si="16"/>
        <v>366.89957136479444</v>
      </c>
      <c r="Q115" s="4">
        <f ca="1">_xll.PDENSITY($P$115,'Gen 1'!$H$15:$H$114,$P$18,$P$19,0)</f>
        <v>7.7017206714390931E-4</v>
      </c>
    </row>
    <row r="116" spans="1:20" x14ac:dyDescent="0.2">
      <c r="A116" s="1" t="s">
        <v>12</v>
      </c>
      <c r="B116">
        <f ca="1">AVERAGE('Gen 1'!B15:B114)</f>
        <v>10.494234978684096</v>
      </c>
      <c r="C116">
        <f ca="1">AVERAGE('Gen 1'!C15:C114)</f>
        <v>49.462739429091492</v>
      </c>
      <c r="D116">
        <f ca="1">AVERAGE('Gen 1'!D15:D114)</f>
        <v>316.77643657454894</v>
      </c>
      <c r="E116">
        <f>AVERAGE('Gen 1'!E15:E114)</f>
        <v>100</v>
      </c>
      <c r="F116">
        <f ca="1">AVERAGE('Gen 1'!F15:F114)</f>
        <v>518.91485301767318</v>
      </c>
      <c r="G116">
        <f ca="1">AVERAGE('Gen 1'!G15:G114)</f>
        <v>416.77643657454894</v>
      </c>
      <c r="H116">
        <f ca="1">AVERAGE('Gen 1'!H15:H114)</f>
        <v>102.13841644312393</v>
      </c>
      <c r="O116">
        <v>93</v>
      </c>
      <c r="P116" s="4">
        <f t="shared" ca="1" si="16"/>
        <v>373.80009792653237</v>
      </c>
      <c r="Q116" s="4">
        <f ca="1">_xll.PDENSITY($P$116,'Gen 1'!$H$15:$H$114,$P$18,$P$19,0)</f>
        <v>7.2064407999609622E-4</v>
      </c>
    </row>
    <row r="117" spans="1:20" x14ac:dyDescent="0.2">
      <c r="A117" s="1" t="s">
        <v>13</v>
      </c>
      <c r="B117">
        <f ca="1">STDEV('Gen 1'!B15:B114)</f>
        <v>2.9885741808117867</v>
      </c>
      <c r="C117">
        <f ca="1">STDEV('Gen 1'!C15:C114)</f>
        <v>10.77339607723971</v>
      </c>
      <c r="D117">
        <f ca="1">STDEV('Gen 1'!D15:D114)</f>
        <v>64.640376463438315</v>
      </c>
      <c r="E117">
        <f>STDEV('Gen 1'!E15:E114)</f>
        <v>0</v>
      </c>
      <c r="F117">
        <f ca="1">STDEV('Gen 1'!F15:F114)</f>
        <v>183.07197225854281</v>
      </c>
      <c r="G117">
        <f ca="1">STDEV('Gen 1'!G15:G114)</f>
        <v>64.640376463438741</v>
      </c>
      <c r="H117">
        <f ca="1">STDEV('Gen 1'!H15:H114)</f>
        <v>150.90755558284238</v>
      </c>
      <c r="O117">
        <v>94</v>
      </c>
      <c r="P117" s="4">
        <f t="shared" ca="1" si="16"/>
        <v>380.70062448827031</v>
      </c>
      <c r="Q117" s="4">
        <f ca="1">_xll.PDENSITY($P$117,'Gen 1'!$H$15:$H$114,$P$18,$P$19,0)</f>
        <v>6.7235024293216153E-4</v>
      </c>
    </row>
    <row r="118" spans="1:20" x14ac:dyDescent="0.2">
      <c r="A118" s="1" t="s">
        <v>14</v>
      </c>
      <c r="B118">
        <f ca="1">'Gen 1'!B116-'Gen 1'!B117*TINV((1-0.95)/2,COUNT('Gen 1'!B15:B114))/COUNT('Gen 1'!B15:B114)^0.5</f>
        <v>9.8141393740760599</v>
      </c>
      <c r="C118">
        <f ca="1">'Gen 1'!C116-'Gen 1'!C117*TINV((1-0.95)/2,COUNT('Gen 1'!C15:C114))/COUNT('Gen 1'!C15:C114)^0.5</f>
        <v>47.011088951122773</v>
      </c>
      <c r="D118">
        <f ca="1">'Gen 1'!D116-'Gen 1'!D117*TINV((1-0.95)/2,COUNT('Gen 1'!D15:D114))/COUNT('Gen 1'!D15:D114)^0.5</f>
        <v>302.06653370673661</v>
      </c>
      <c r="E118">
        <f>'Gen 1'!E116-'Gen 1'!E117*TINV((1-0.95)/2,COUNT('Gen 1'!E15:E114))/COUNT('Gen 1'!E15:E114)^0.5</f>
        <v>100</v>
      </c>
      <c r="F118">
        <f ca="1">'Gen 1'!F116-'Gen 1'!F117*TINV((1-0.95)/2,COUNT('Gen 1'!F15:F114))/COUNT('Gen 1'!F15:F114)^0.5</f>
        <v>477.25403547486093</v>
      </c>
      <c r="G118">
        <f ca="1">'Gen 1'!G116-'Gen 1'!G117*TINV((1-0.95)/2,COUNT('Gen 1'!G15:G114))/COUNT('Gen 1'!G15:G114)^0.5</f>
        <v>402.06653370673649</v>
      </c>
      <c r="H118">
        <f ca="1">'Gen 1'!H116-'Gen 1'!H117*TINV((1-0.95)/2,COUNT('Gen 1'!H15:H114))/COUNT('Gen 1'!H15:H114)^0.5</f>
        <v>67.797102142484306</v>
      </c>
      <c r="O118">
        <v>95</v>
      </c>
      <c r="P118" s="4">
        <f t="shared" ca="1" si="16"/>
        <v>387.60115105000824</v>
      </c>
      <c r="Q118" s="4">
        <f ca="1">_xll.PDENSITY($P$118,'Gen 1'!$H$15:$H$114,$P$18,$P$19,0)</f>
        <v>6.2529960542724247E-4</v>
      </c>
    </row>
    <row r="119" spans="1:20" x14ac:dyDescent="0.2">
      <c r="A119" s="1" t="s">
        <v>15</v>
      </c>
      <c r="B119">
        <f ca="1">'Gen 1'!B116+'Gen 1'!B117*TINV((1-0.95)/2,COUNT('Gen 1'!B15:B114))/COUNT('Gen 1'!B15:B114)^0.5</f>
        <v>11.174330583292132</v>
      </c>
      <c r="C119">
        <f ca="1">'Gen 1'!C116+'Gen 1'!C117*TINV((1-0.95)/2,COUNT('Gen 1'!C15:C114))/COUNT('Gen 1'!C15:C114)^0.5</f>
        <v>51.914389907060212</v>
      </c>
      <c r="D119">
        <f ca="1">'Gen 1'!D116+'Gen 1'!D117*TINV((1-0.95)/2,COUNT('Gen 1'!D15:D114))/COUNT('Gen 1'!D15:D114)^0.5</f>
        <v>331.48633944236127</v>
      </c>
      <c r="E119">
        <f>'Gen 1'!E116+'Gen 1'!E117*TINV((1-0.95)/2,COUNT('Gen 1'!E15:E114))/COUNT('Gen 1'!E15:E114)^0.5</f>
        <v>100</v>
      </c>
      <c r="F119">
        <f ca="1">'Gen 1'!F116+'Gen 1'!F117*TINV((1-0.95)/2,COUNT('Gen 1'!F15:F114))/COUNT('Gen 1'!F15:F114)^0.5</f>
        <v>560.57567056048549</v>
      </c>
      <c r="G119">
        <f ca="1">'Gen 1'!G116+'Gen 1'!G117*TINV((1-0.95)/2,COUNT('Gen 1'!G15:G114))/COUNT('Gen 1'!G15:G114)^0.5</f>
        <v>431.48633944236138</v>
      </c>
      <c r="H119">
        <f ca="1">'Gen 1'!H116+'Gen 1'!H117*TINV((1-0.95)/2,COUNT('Gen 1'!H15:H114))/COUNT('Gen 1'!H15:H114)^0.5</f>
        <v>136.47973074376355</v>
      </c>
      <c r="O119">
        <v>96</v>
      </c>
      <c r="P119" s="4">
        <f t="shared" ca="1" si="16"/>
        <v>394.50167761174617</v>
      </c>
      <c r="Q119" s="4">
        <f ca="1">_xll.PDENSITY($P$119,'Gen 1'!$H$15:$H$114,$P$18,$P$19,0)</f>
        <v>5.7948274100201732E-4</v>
      </c>
    </row>
    <row r="120" spans="1:20" x14ac:dyDescent="0.2">
      <c r="A120" s="1" t="s">
        <v>16</v>
      </c>
      <c r="B120">
        <f ca="1">('Gen 1'!B117/'Gen 1'!B116)*100</f>
        <v>28.478247217469232</v>
      </c>
      <c r="C120">
        <f ca="1">('Gen 1'!C117/'Gen 1'!C116)*100</f>
        <v>21.780831797001806</v>
      </c>
      <c r="D120">
        <f ca="1">('Gen 1'!D117/'Gen 1'!D116)*100</f>
        <v>20.405677001239358</v>
      </c>
      <c r="E120">
        <f>('Gen 1'!E117/'Gen 1'!E116)*100</f>
        <v>0</v>
      </c>
      <c r="F120">
        <f ca="1">('Gen 1'!F117/'Gen 1'!F116)*100</f>
        <v>35.279771082657327</v>
      </c>
      <c r="G120">
        <f ca="1">('Gen 1'!G117/'Gen 1'!G116)*100</f>
        <v>15.509604380399395</v>
      </c>
      <c r="H120">
        <f ca="1">('Gen 1'!H117/'Gen 1'!H116)*100</f>
        <v>147.74808621286556</v>
      </c>
      <c r="O120">
        <v>97</v>
      </c>
      <c r="P120" s="4">
        <f t="shared" ca="1" si="16"/>
        <v>401.40220417348411</v>
      </c>
      <c r="Q120" s="4">
        <f ca="1">_xll.PDENSITY($P$120,'Gen 1'!$H$15:$H$114,$P$18,$P$19,0)</f>
        <v>5.3489065151393947E-4</v>
      </c>
    </row>
    <row r="121" spans="1:20" x14ac:dyDescent="0.2">
      <c r="A121" s="1" t="s">
        <v>17</v>
      </c>
      <c r="B121">
        <f ca="1">MIN('Gen 1'!B15:B114)</f>
        <v>2.5487322563945263</v>
      </c>
      <c r="C121">
        <f ca="1">MIN('Gen 1'!C15:C114)</f>
        <v>24.758575729012833</v>
      </c>
      <c r="D121">
        <f ca="1">MIN('Gen 1'!D15:D114)</f>
        <v>168.551454374077</v>
      </c>
      <c r="E121">
        <f>MIN('Gen 1'!E15:E114)</f>
        <v>100</v>
      </c>
      <c r="F121">
        <f ca="1">MIN('Gen 1'!F15:F114)</f>
        <v>81.021274572828915</v>
      </c>
      <c r="G121">
        <f ca="1">MIN('Gen 1'!G15:G114)</f>
        <v>268.55145437407703</v>
      </c>
      <c r="H121">
        <f ca="1">MIN('Gen 1'!H15:H114)</f>
        <v>-261.04834575335713</v>
      </c>
      <c r="O121">
        <v>98</v>
      </c>
      <c r="P121" s="4">
        <f t="shared" ca="1" si="16"/>
        <v>408.30273073522204</v>
      </c>
      <c r="Q121" s="4">
        <f ca="1">_xll.PDENSITY($P$121,'Gen 1'!$H$15:$H$114,$P$18,$P$19,0)</f>
        <v>4.9153096034641286E-4</v>
      </c>
    </row>
    <row r="122" spans="1:20" x14ac:dyDescent="0.2">
      <c r="A122" s="1" t="s">
        <v>18</v>
      </c>
      <c r="B122">
        <f ca="1">MEDIAN('Gen 1'!B15:B114)</f>
        <v>10.727076370179905</v>
      </c>
      <c r="C122">
        <f ca="1">MEDIAN('Gen 1'!C15:C114)</f>
        <v>52.467511074909567</v>
      </c>
      <c r="D122">
        <f ca="1">MEDIAN('Gen 1'!D15:D114)</f>
        <v>334.8050664494574</v>
      </c>
      <c r="E122">
        <f>MEDIAN('Gen 1'!E15:E114)</f>
        <v>100</v>
      </c>
      <c r="F122">
        <f ca="1">MEDIAN('Gen 1'!F15:F114)</f>
        <v>513.78849022854286</v>
      </c>
      <c r="G122">
        <f ca="1">MEDIAN('Gen 1'!G15:G114)</f>
        <v>434.8050664494574</v>
      </c>
      <c r="H122">
        <f ca="1">MEDIAN('Gen 1'!H15:H114)</f>
        <v>97.048682446686144</v>
      </c>
      <c r="O122">
        <v>99</v>
      </c>
      <c r="P122" s="4">
        <f t="shared" ca="1" si="16"/>
        <v>415.20325729695998</v>
      </c>
      <c r="Q122" s="4">
        <f ca="1">_xll.PDENSITY($P$122,'Gen 1'!$H$15:$H$114,$P$18,$P$19,0)</f>
        <v>4.4943966120648859E-4</v>
      </c>
      <c r="R122" s="4"/>
    </row>
    <row r="123" spans="1:20" x14ac:dyDescent="0.2">
      <c r="A123" s="1" t="s">
        <v>19</v>
      </c>
      <c r="B123">
        <f ca="1">MAX('Gen 1'!B15:B114)</f>
        <v>17.451267743605474</v>
      </c>
      <c r="C123">
        <f ca="1">MAX('Gen 1'!C15:C114)</f>
        <v>64.626953479984564</v>
      </c>
      <c r="D123">
        <f ca="1">MAX('Gen 1'!D15:D114)</f>
        <v>407.76172087990739</v>
      </c>
      <c r="E123">
        <f>MAX('Gen 1'!E15:E114)</f>
        <v>100</v>
      </c>
      <c r="F123">
        <f ca="1">MAX('Gen 1'!F15:F114)</f>
        <v>919.16132030825293</v>
      </c>
      <c r="G123">
        <f ca="1">MAX('Gen 1'!G15:G114)</f>
        <v>507.76172087990739</v>
      </c>
      <c r="H123">
        <f ca="1">MAX('Gen 1'!H15:H114)</f>
        <v>422.10378385869734</v>
      </c>
      <c r="O123">
        <v>100</v>
      </c>
      <c r="P123" s="4">
        <f t="shared" ca="1" si="16"/>
        <v>422.10378385869791</v>
      </c>
      <c r="Q123" s="4">
        <f ca="1">_xll.PDENSITY($P$123,'Gen 1'!$H$15:$H$114,$P$18,$P$19,0)</f>
        <v>4.0868740119469858E-4</v>
      </c>
      <c r="R123" s="4"/>
    </row>
    <row r="124" spans="1:20" x14ac:dyDescent="0.2">
      <c r="A124" s="1"/>
      <c r="Q124" s="4"/>
      <c r="R124" s="4"/>
    </row>
    <row r="125" spans="1:20" x14ac:dyDescent="0.2">
      <c r="A125" s="1"/>
      <c r="Q125" s="4"/>
      <c r="R125" s="4"/>
    </row>
    <row r="126" spans="1:20" x14ac:dyDescent="0.2">
      <c r="Q126" s="4"/>
      <c r="R126" s="4"/>
    </row>
    <row r="127" spans="1:20" x14ac:dyDescent="0.2">
      <c r="Q127" s="4"/>
      <c r="R127" s="4"/>
    </row>
    <row r="128" spans="1:20" x14ac:dyDescent="0.2">
      <c r="Q128" s="4"/>
      <c r="R128" s="4"/>
    </row>
    <row r="129" spans="17:18" x14ac:dyDescent="0.2">
      <c r="Q129" s="4"/>
      <c r="R129" s="4"/>
    </row>
    <row r="130" spans="17:18" x14ac:dyDescent="0.2">
      <c r="Q130" s="4"/>
      <c r="R130" s="4"/>
    </row>
    <row r="131" spans="17:18" x14ac:dyDescent="0.2">
      <c r="Q131" s="4"/>
      <c r="R131" s="4"/>
    </row>
    <row r="132" spans="17:18" x14ac:dyDescent="0.2">
      <c r="Q132" s="4"/>
      <c r="R132" s="4"/>
    </row>
    <row r="133" spans="17:18" x14ac:dyDescent="0.2">
      <c r="Q133" s="4"/>
      <c r="R133" s="4"/>
    </row>
    <row r="134" spans="17:18" x14ac:dyDescent="0.2">
      <c r="Q134" s="4"/>
      <c r="R134" s="4"/>
    </row>
    <row r="135" spans="17:18" x14ac:dyDescent="0.2">
      <c r="Q135" s="4"/>
      <c r="R135" s="4"/>
    </row>
    <row r="136" spans="17:18" x14ac:dyDescent="0.2">
      <c r="Q136" s="4"/>
      <c r="R136" s="4"/>
    </row>
    <row r="137" spans="17:18" x14ac:dyDescent="0.2">
      <c r="Q137" s="4"/>
      <c r="R137" s="4"/>
    </row>
    <row r="138" spans="17:18" x14ac:dyDescent="0.2">
      <c r="Q138" s="4"/>
      <c r="R138" s="4"/>
    </row>
    <row r="139" spans="17:18" x14ac:dyDescent="0.2">
      <c r="Q139" s="4"/>
      <c r="R139" s="4"/>
    </row>
    <row r="140" spans="17:18" x14ac:dyDescent="0.2">
      <c r="Q140" s="4"/>
      <c r="R140" s="4"/>
    </row>
    <row r="141" spans="17:18" x14ac:dyDescent="0.2">
      <c r="Q141" s="4"/>
      <c r="R141" s="4"/>
    </row>
    <row r="142" spans="17:18" x14ac:dyDescent="0.2">
      <c r="Q142" s="4"/>
      <c r="R142" s="4"/>
    </row>
    <row r="143" spans="17:18" x14ac:dyDescent="0.2">
      <c r="Q143" s="4"/>
      <c r="R143" s="4"/>
    </row>
    <row r="144" spans="17:18" x14ac:dyDescent="0.2">
      <c r="Q144" s="4"/>
      <c r="R144" s="4"/>
    </row>
    <row r="145" spans="17:18" x14ac:dyDescent="0.2">
      <c r="Q145" s="4"/>
      <c r="R145" s="4"/>
    </row>
    <row r="146" spans="17:18" x14ac:dyDescent="0.2">
      <c r="Q146" s="4"/>
      <c r="R146" s="4"/>
    </row>
    <row r="147" spans="17:18" x14ac:dyDescent="0.2">
      <c r="Q147" s="4"/>
      <c r="R147" s="4"/>
    </row>
    <row r="148" spans="17:18" x14ac:dyDescent="0.2">
      <c r="Q148" s="4"/>
      <c r="R148" s="4"/>
    </row>
    <row r="149" spans="17:18" x14ac:dyDescent="0.2">
      <c r="Q149" s="4"/>
      <c r="R149" s="4"/>
    </row>
    <row r="150" spans="17:18" x14ac:dyDescent="0.2">
      <c r="Q150" s="4"/>
      <c r="R150" s="4"/>
    </row>
    <row r="151" spans="17:18" x14ac:dyDescent="0.2">
      <c r="Q151" s="4"/>
      <c r="R151" s="4"/>
    </row>
    <row r="152" spans="17:18" x14ac:dyDescent="0.2">
      <c r="Q152" s="4"/>
      <c r="R152" s="4"/>
    </row>
    <row r="153" spans="17:18" x14ac:dyDescent="0.2">
      <c r="Q153" s="4"/>
      <c r="R153" s="4"/>
    </row>
    <row r="154" spans="17:18" x14ac:dyDescent="0.2">
      <c r="Q154" s="4"/>
      <c r="R154" s="4"/>
    </row>
    <row r="155" spans="17:18" x14ac:dyDescent="0.2">
      <c r="Q155" s="4"/>
      <c r="R155" s="4"/>
    </row>
    <row r="156" spans="17:18" x14ac:dyDescent="0.2">
      <c r="Q156" s="4"/>
      <c r="R156" s="4"/>
    </row>
    <row r="157" spans="17:18" x14ac:dyDescent="0.2">
      <c r="Q157" s="4"/>
      <c r="R157" s="4"/>
    </row>
    <row r="158" spans="17:18" x14ac:dyDescent="0.2">
      <c r="Q158" s="4"/>
      <c r="R158" s="4"/>
    </row>
    <row r="159" spans="17:18" x14ac:dyDescent="0.2">
      <c r="Q159" s="4"/>
      <c r="R159" s="4"/>
    </row>
    <row r="160" spans="17:18" x14ac:dyDescent="0.2">
      <c r="Q160" s="4"/>
      <c r="R160" s="4"/>
    </row>
    <row r="161" spans="17:18" x14ac:dyDescent="0.2">
      <c r="Q161" s="4"/>
      <c r="R161" s="4"/>
    </row>
    <row r="162" spans="17:18" x14ac:dyDescent="0.2">
      <c r="Q162" s="4"/>
      <c r="R162" s="4"/>
    </row>
    <row r="163" spans="17:18" x14ac:dyDescent="0.2">
      <c r="Q163" s="4"/>
      <c r="R163" s="4"/>
    </row>
    <row r="164" spans="17:18" x14ac:dyDescent="0.2">
      <c r="Q164" s="4"/>
      <c r="R164" s="4"/>
    </row>
    <row r="165" spans="17:18" x14ac:dyDescent="0.2">
      <c r="Q165" s="4"/>
      <c r="R165" s="4"/>
    </row>
    <row r="166" spans="17:18" x14ac:dyDescent="0.2">
      <c r="Q166" s="4"/>
      <c r="R166" s="4"/>
    </row>
    <row r="167" spans="17:18" x14ac:dyDescent="0.2">
      <c r="Q167" s="4"/>
      <c r="R167" s="4"/>
    </row>
    <row r="168" spans="17:18" x14ac:dyDescent="0.2">
      <c r="Q168" s="4"/>
      <c r="R168" s="4"/>
    </row>
    <row r="169" spans="17:18" x14ac:dyDescent="0.2">
      <c r="Q169" s="4"/>
      <c r="R169" s="4"/>
    </row>
    <row r="170" spans="17:18" x14ac:dyDescent="0.2">
      <c r="Q170" s="4"/>
      <c r="R170" s="4"/>
    </row>
    <row r="171" spans="17:18" x14ac:dyDescent="0.2">
      <c r="Q171" s="4"/>
      <c r="R171" s="4"/>
    </row>
    <row r="172" spans="17:18" x14ac:dyDescent="0.2">
      <c r="Q172" s="4"/>
      <c r="R172" s="4"/>
    </row>
    <row r="173" spans="17:18" x14ac:dyDescent="0.2">
      <c r="Q173" s="4"/>
      <c r="R173" s="4"/>
    </row>
    <row r="174" spans="17:18" x14ac:dyDescent="0.2">
      <c r="Q174" s="4"/>
      <c r="R174" s="4"/>
    </row>
    <row r="175" spans="17:18" x14ac:dyDescent="0.2">
      <c r="Q175" s="4"/>
      <c r="R175" s="4"/>
    </row>
    <row r="176" spans="17:18" x14ac:dyDescent="0.2">
      <c r="Q176" s="4"/>
      <c r="R176" s="4"/>
    </row>
    <row r="177" spans="17:18" x14ac:dyDescent="0.2">
      <c r="Q177" s="4"/>
      <c r="R177" s="4"/>
    </row>
    <row r="178" spans="17:18" x14ac:dyDescent="0.2">
      <c r="Q178" s="4"/>
      <c r="R178" s="4"/>
    </row>
    <row r="179" spans="17:18" x14ac:dyDescent="0.2">
      <c r="Q179" s="4"/>
      <c r="R179" s="4"/>
    </row>
    <row r="180" spans="17:18" x14ac:dyDescent="0.2">
      <c r="Q180" s="4"/>
      <c r="R180" s="4"/>
    </row>
    <row r="181" spans="17:18" x14ac:dyDescent="0.2">
      <c r="Q181" s="4"/>
      <c r="R181" s="4"/>
    </row>
    <row r="182" spans="17:18" x14ac:dyDescent="0.2">
      <c r="Q182" s="4"/>
      <c r="R182" s="4"/>
    </row>
    <row r="183" spans="17:18" x14ac:dyDescent="0.2">
      <c r="Q183" s="4"/>
      <c r="R183" s="4"/>
    </row>
    <row r="184" spans="17:18" x14ac:dyDescent="0.2">
      <c r="Q184" s="4"/>
      <c r="R184" s="4"/>
    </row>
    <row r="185" spans="17:18" x14ac:dyDescent="0.2">
      <c r="Q185" s="4"/>
      <c r="R185" s="4"/>
    </row>
    <row r="186" spans="17:18" x14ac:dyDescent="0.2">
      <c r="Q186" s="4"/>
      <c r="R186" s="4"/>
    </row>
    <row r="187" spans="17:18" x14ac:dyDescent="0.2">
      <c r="Q187" s="4"/>
      <c r="R187" s="4"/>
    </row>
    <row r="188" spans="17:18" x14ac:dyDescent="0.2">
      <c r="Q188" s="4"/>
      <c r="R188" s="4"/>
    </row>
    <row r="189" spans="17:18" x14ac:dyDescent="0.2">
      <c r="Q189" s="4"/>
      <c r="R189" s="4"/>
    </row>
    <row r="190" spans="17:18" x14ac:dyDescent="0.2">
      <c r="Q190" s="4"/>
      <c r="R190" s="4"/>
    </row>
    <row r="191" spans="17:18" x14ac:dyDescent="0.2">
      <c r="Q191" s="4"/>
      <c r="R191" s="4"/>
    </row>
    <row r="192" spans="17:18" x14ac:dyDescent="0.2">
      <c r="Q192" s="4"/>
      <c r="R192" s="4"/>
    </row>
    <row r="193" spans="17:18" x14ac:dyDescent="0.2">
      <c r="Q193" s="4"/>
      <c r="R193" s="4"/>
    </row>
    <row r="194" spans="17:18" x14ac:dyDescent="0.2">
      <c r="Q194" s="4"/>
      <c r="R194" s="4"/>
    </row>
    <row r="195" spans="17:18" x14ac:dyDescent="0.2">
      <c r="Q195" s="4"/>
      <c r="R195" s="4"/>
    </row>
    <row r="196" spans="17:18" x14ac:dyDescent="0.2">
      <c r="Q196" s="4"/>
      <c r="R196" s="4"/>
    </row>
    <row r="197" spans="17:18" x14ac:dyDescent="0.2">
      <c r="Q197" s="4"/>
      <c r="R197" s="4"/>
    </row>
    <row r="198" spans="17:18" x14ac:dyDescent="0.2">
      <c r="Q198" s="4"/>
      <c r="R198" s="4"/>
    </row>
    <row r="199" spans="17:18" x14ac:dyDescent="0.2">
      <c r="Q199" s="4"/>
      <c r="R199" s="4"/>
    </row>
    <row r="200" spans="17:18" x14ac:dyDescent="0.2">
      <c r="Q200" s="4"/>
      <c r="R200" s="4"/>
    </row>
    <row r="201" spans="17:18" x14ac:dyDescent="0.2">
      <c r="Q201" s="4"/>
      <c r="R201" s="4"/>
    </row>
    <row r="202" spans="17:18" x14ac:dyDescent="0.2">
      <c r="Q202" s="4"/>
      <c r="R202" s="4"/>
    </row>
    <row r="203" spans="17:18" x14ac:dyDescent="0.2">
      <c r="Q203" s="4"/>
      <c r="R203" s="4"/>
    </row>
    <row r="204" spans="17:18" x14ac:dyDescent="0.2">
      <c r="Q204" s="4"/>
      <c r="R204" s="4"/>
    </row>
    <row r="205" spans="17:18" x14ac:dyDescent="0.2">
      <c r="Q205" s="4"/>
      <c r="R205" s="4"/>
    </row>
    <row r="206" spans="17:18" x14ac:dyDescent="0.2">
      <c r="Q206" s="4"/>
      <c r="R206" s="4"/>
    </row>
    <row r="207" spans="17:18" x14ac:dyDescent="0.2">
      <c r="Q207" s="4"/>
      <c r="R207" s="4"/>
    </row>
    <row r="208" spans="17:18" x14ac:dyDescent="0.2">
      <c r="Q208" s="4"/>
      <c r="R208" s="4"/>
    </row>
    <row r="209" spans="17:18" x14ac:dyDescent="0.2">
      <c r="Q209" s="4"/>
      <c r="R209" s="4"/>
    </row>
    <row r="210" spans="17:18" x14ac:dyDescent="0.2">
      <c r="Q210" s="4"/>
      <c r="R210" s="4"/>
    </row>
    <row r="211" spans="17:18" x14ac:dyDescent="0.2">
      <c r="Q211" s="4"/>
      <c r="R211" s="4"/>
    </row>
    <row r="212" spans="17:18" x14ac:dyDescent="0.2">
      <c r="Q212" s="4"/>
      <c r="R212" s="4"/>
    </row>
    <row r="213" spans="17:18" x14ac:dyDescent="0.2">
      <c r="Q213" s="4"/>
      <c r="R213" s="4"/>
    </row>
    <row r="214" spans="17:18" x14ac:dyDescent="0.2">
      <c r="Q214" s="4"/>
      <c r="R214" s="4"/>
    </row>
    <row r="215" spans="17:18" x14ac:dyDescent="0.2">
      <c r="Q215" s="4"/>
      <c r="R215" s="4"/>
    </row>
    <row r="216" spans="17:18" x14ac:dyDescent="0.2">
      <c r="Q216" s="4"/>
      <c r="R216" s="4"/>
    </row>
    <row r="217" spans="17:18" x14ac:dyDescent="0.2">
      <c r="Q217" s="4"/>
      <c r="R217" s="4"/>
    </row>
    <row r="218" spans="17:18" x14ac:dyDescent="0.2">
      <c r="Q218" s="4"/>
      <c r="R218" s="4"/>
    </row>
    <row r="219" spans="17:18" x14ac:dyDescent="0.2">
      <c r="Q219" s="4"/>
      <c r="R219" s="4"/>
    </row>
    <row r="220" spans="17:18" x14ac:dyDescent="0.2">
      <c r="Q220" s="4"/>
      <c r="R220" s="4"/>
    </row>
    <row r="221" spans="17:18" x14ac:dyDescent="0.2">
      <c r="Q221" s="4"/>
      <c r="R221" s="4"/>
    </row>
    <row r="222" spans="17:18" x14ac:dyDescent="0.2">
      <c r="Q222" s="4"/>
      <c r="R222" s="4"/>
    </row>
    <row r="223" spans="17:18" x14ac:dyDescent="0.2">
      <c r="Q223" s="4"/>
      <c r="R223" s="4"/>
    </row>
    <row r="224" spans="17:18" x14ac:dyDescent="0.2">
      <c r="Q224" s="4"/>
      <c r="R224" s="4"/>
    </row>
  </sheetData>
  <phoneticPr fontId="2" type="noConversion"/>
  <dataValidations count="1">
    <dataValidation type="list" allowBlank="1" showInputMessage="1" showErrorMessage="1" sqref="P19">
      <formula1>"Cauchy,Cosinus,Double Exp,Epanechnikov,Gaussian,Histogram,Parzen,Quartic,Triangle,Triweight,Uniform"</formula1>
    </dataValidation>
  </dataValidations>
  <printOptions headings="1" gridLines="1"/>
  <pageMargins left="0.75" right="0.75" top="0.5" bottom="0.5" header="0.5" footer="0.5"/>
  <pageSetup scale="4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E17"/>
  <sheetViews>
    <sheetView zoomScale="145" workbookViewId="0">
      <selection activeCell="A2" sqref="A2"/>
    </sheetView>
  </sheetViews>
  <sheetFormatPr defaultRowHeight="12.75" x14ac:dyDescent="0.2"/>
  <sheetData>
    <row r="1" spans="1:5" x14ac:dyDescent="0.2">
      <c r="A1" s="1" t="str">
        <f>_xll.WBNAME()</f>
        <v>L 22 1 and 2 Gen Sim Models.xlsx</v>
      </c>
    </row>
    <row r="2" spans="1:5" x14ac:dyDescent="0.2">
      <c r="A2" s="1" t="str">
        <f ca="1">_xll.WSNAME()</f>
        <v>Gen 2</v>
      </c>
    </row>
    <row r="5" spans="1:5" x14ac:dyDescent="0.2">
      <c r="A5" s="1" t="s">
        <v>0</v>
      </c>
      <c r="B5" s="1" t="s">
        <v>1</v>
      </c>
      <c r="C5" s="1">
        <v>10</v>
      </c>
      <c r="D5" s="1">
        <v>3</v>
      </c>
      <c r="E5" s="1"/>
    </row>
    <row r="6" spans="1:5" x14ac:dyDescent="0.2">
      <c r="A6" s="1" t="s">
        <v>2</v>
      </c>
      <c r="B6" s="1" t="s">
        <v>3</v>
      </c>
      <c r="C6" s="1">
        <v>20</v>
      </c>
      <c r="D6" s="1">
        <v>60</v>
      </c>
      <c r="E6" s="1">
        <v>70</v>
      </c>
    </row>
    <row r="7" spans="1:5" x14ac:dyDescent="0.2">
      <c r="A7" s="1" t="s">
        <v>4</v>
      </c>
      <c r="B7" s="1"/>
      <c r="C7" s="1">
        <v>20</v>
      </c>
      <c r="D7" s="1">
        <v>6</v>
      </c>
      <c r="E7" s="1"/>
    </row>
    <row r="8" spans="1:5" x14ac:dyDescent="0.2">
      <c r="A8" s="1" t="s">
        <v>5</v>
      </c>
      <c r="B8" s="1"/>
      <c r="C8" s="1">
        <v>100</v>
      </c>
      <c r="D8" s="1"/>
      <c r="E8" s="1"/>
    </row>
    <row r="9" spans="1:5" x14ac:dyDescent="0.2">
      <c r="A9" s="1"/>
      <c r="B9" s="1"/>
      <c r="C9" s="1"/>
      <c r="D9" s="1"/>
      <c r="E9" s="1"/>
    </row>
    <row r="10" spans="1:5" x14ac:dyDescent="0.2">
      <c r="A10" s="1" t="s">
        <v>44</v>
      </c>
    </row>
    <row r="11" spans="1:5" x14ac:dyDescent="0.2">
      <c r="A11" s="1" t="s">
        <v>7</v>
      </c>
      <c r="B11" s="6">
        <f ca="1">_xll.NORM(C5,D5)</f>
        <v>12.664502316395769</v>
      </c>
      <c r="C11" t="str">
        <f ca="1">_xll.VFORMULA(B11)</f>
        <v>=NORM(C5,D5)</v>
      </c>
    </row>
    <row r="12" spans="1:5" x14ac:dyDescent="0.2">
      <c r="A12" s="1" t="s">
        <v>8</v>
      </c>
      <c r="B12" s="6">
        <f ca="1">_xll.TRIANGLE(C6,D6,E6)</f>
        <v>62.749722190128679</v>
      </c>
      <c r="C12" t="str">
        <f ca="1">_xll.VFORMULA(B12)</f>
        <v>=TRIANGLE(C6,D6,E6)</v>
      </c>
    </row>
    <row r="13" spans="1:5" x14ac:dyDescent="0.2">
      <c r="A13" s="1" t="s">
        <v>4</v>
      </c>
      <c r="B13" s="6">
        <f ca="1">C7+D7*B12</f>
        <v>396.49833314077205</v>
      </c>
      <c r="C13" t="str">
        <f ca="1">_xll.VFORMULA(B13)</f>
        <v>=C7+D7*B12</v>
      </c>
    </row>
    <row r="14" spans="1:5" x14ac:dyDescent="0.2">
      <c r="A14" s="1" t="s">
        <v>5</v>
      </c>
      <c r="B14" s="6">
        <f>C8</f>
        <v>100</v>
      </c>
      <c r="C14" t="str">
        <f ca="1">_xll.VFORMULA(B14)</f>
        <v>=C8</v>
      </c>
    </row>
    <row r="15" spans="1:5" x14ac:dyDescent="0.2">
      <c r="A15" s="1" t="s">
        <v>10</v>
      </c>
      <c r="B15" s="6">
        <f ca="1">B11*B12</f>
        <v>794.69400203007558</v>
      </c>
      <c r="C15" t="str">
        <f ca="1">_xll.VFORMULA(B15)</f>
        <v>=B11*B12</v>
      </c>
    </row>
    <row r="16" spans="1:5" x14ac:dyDescent="0.2">
      <c r="A16" s="1" t="s">
        <v>11</v>
      </c>
      <c r="B16" s="6">
        <f ca="1">B13+B14</f>
        <v>496.49833314077205</v>
      </c>
      <c r="C16" t="str">
        <f ca="1">_xll.VFORMULA(B16)</f>
        <v>=B13+B14</v>
      </c>
    </row>
    <row r="17" spans="1:3" x14ac:dyDescent="0.2">
      <c r="A17" s="1" t="s">
        <v>9</v>
      </c>
      <c r="B17" s="6">
        <f ca="1">B15-B16</f>
        <v>298.19566888930353</v>
      </c>
      <c r="C17" t="str">
        <f ca="1">_xll.VFORMULA(B17)</f>
        <v>=B15-B16</v>
      </c>
    </row>
  </sheetData>
  <phoneticPr fontId="2" type="noConversion"/>
  <printOptions headings="1" gridLines="1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119"/>
  <sheetViews>
    <sheetView tabSelected="1" workbookViewId="0">
      <selection activeCell="A20" sqref="A20"/>
    </sheetView>
  </sheetViews>
  <sheetFormatPr defaultRowHeight="12.75" x14ac:dyDescent="0.2"/>
  <sheetData>
    <row r="1" spans="1:21" x14ac:dyDescent="0.2">
      <c r="A1" t="s">
        <v>43</v>
      </c>
    </row>
    <row r="2" spans="1:21" x14ac:dyDescent="0.2">
      <c r="A2" t="s">
        <v>32</v>
      </c>
      <c r="B2" t="str">
        <f ca="1">ADDRESS(ROW('Gen 2'!$B$11),COLUMN('Gen 2'!$B$11),4,,_xll.WSNAME('Gen 2'!$B$11))</f>
        <v>'Gen 2'!B11</v>
      </c>
      <c r="C2" t="str">
        <f ca="1">ADDRESS(ROW('Gen 2'!$B$12),COLUMN('Gen 2'!$B$12),4,,_xll.WSNAME('Gen 2'!$B$12))</f>
        <v>'Gen 2'!B12</v>
      </c>
      <c r="D2" t="str">
        <f ca="1">ADDRESS(ROW('Gen 2'!$B$13),COLUMN('Gen 2'!$B$13),4,,_xll.WSNAME('Gen 2'!$B$13))</f>
        <v>'Gen 2'!B13</v>
      </c>
      <c r="E2" t="str">
        <f ca="1">ADDRESS(ROW('Gen 2'!$B$14),COLUMN('Gen 2'!$B$14),4,,_xll.WSNAME('Gen 2'!$B$14))</f>
        <v>'Gen 2'!B14</v>
      </c>
      <c r="F2" t="str">
        <f ca="1">ADDRESS(ROW('Gen 2'!$B$15),COLUMN('Gen 2'!$B$15),4,,_xll.WSNAME('Gen 2'!$B$15))</f>
        <v>'Gen 2'!B15</v>
      </c>
      <c r="G2" t="str">
        <f ca="1">ADDRESS(ROW('Gen 2'!$B$16),COLUMN('Gen 2'!$B$16),4,,_xll.WSNAME('Gen 2'!$B$16))</f>
        <v>'Gen 2'!B16</v>
      </c>
      <c r="H2" t="str">
        <f ca="1">ADDRESS(ROW('Gen 2'!$B$17),COLUMN('Gen 2'!$B$17),4,,_xll.WSNAME('Gen 2'!$B$17))</f>
        <v>'Gen 2'!B17</v>
      </c>
      <c r="S2" t="s">
        <v>21</v>
      </c>
    </row>
    <row r="3" spans="1:21" x14ac:dyDescent="0.2">
      <c r="A3" t="s">
        <v>12</v>
      </c>
      <c r="B3">
        <f t="shared" ref="B3:H3" si="0">AVERAGE(B9:B108)</f>
        <v>10.006943959513578</v>
      </c>
      <c r="C3">
        <f t="shared" si="0"/>
        <v>49.991718683942366</v>
      </c>
      <c r="D3">
        <f t="shared" si="0"/>
        <v>319.9503121036542</v>
      </c>
      <c r="E3">
        <f t="shared" si="0"/>
        <v>100</v>
      </c>
      <c r="F3">
        <f t="shared" si="0"/>
        <v>503.24099925440657</v>
      </c>
      <c r="G3">
        <f t="shared" si="0"/>
        <v>419.95031210365414</v>
      </c>
      <c r="H3" s="1">
        <f t="shared" si="0"/>
        <v>83.290687150752277</v>
      </c>
      <c r="P3" t="str">
        <f>'SimData 2'!$H$8</f>
        <v>Profit</v>
      </c>
      <c r="Q3" t="s">
        <v>20</v>
      </c>
      <c r="T3" t="str">
        <f>'SimData 2'!$H$8</f>
        <v>Profit</v>
      </c>
    </row>
    <row r="4" spans="1:21" x14ac:dyDescent="0.2">
      <c r="A4" t="s">
        <v>13</v>
      </c>
      <c r="B4">
        <f t="shared" ref="B4:H4" si="1">STDEV(B9:B108)</f>
        <v>3.0271814422306345</v>
      </c>
      <c r="C4">
        <f t="shared" si="1"/>
        <v>10.843500717737815</v>
      </c>
      <c r="D4">
        <f t="shared" si="1"/>
        <v>65.061004306426639</v>
      </c>
      <c r="E4">
        <f t="shared" si="1"/>
        <v>0</v>
      </c>
      <c r="F4">
        <f t="shared" si="1"/>
        <v>194.94493446261697</v>
      </c>
      <c r="G4">
        <f t="shared" si="1"/>
        <v>65.061004306426497</v>
      </c>
      <c r="H4" s="1">
        <f t="shared" si="1"/>
        <v>163.97064074247487</v>
      </c>
      <c r="P4">
        <f>SMALL('SimData 2'!$H$9:$H$108,1)</f>
        <v>-338.63849652271608</v>
      </c>
      <c r="Q4">
        <v>0</v>
      </c>
      <c r="S4" t="s">
        <v>22</v>
      </c>
      <c r="T4">
        <f>MIN('SimData 2'!$H$9:$H$108)</f>
        <v>-338.63849652271608</v>
      </c>
    </row>
    <row r="5" spans="1:21" x14ac:dyDescent="0.2">
      <c r="A5" t="s">
        <v>16</v>
      </c>
      <c r="B5">
        <f t="shared" ref="B5:H5" si="2">100*B4/B3</f>
        <v>30.250808383439587</v>
      </c>
      <c r="C5">
        <f t="shared" si="2"/>
        <v>21.690593968758293</v>
      </c>
      <c r="D5">
        <f t="shared" si="2"/>
        <v>20.334721313023394</v>
      </c>
      <c r="E5">
        <f t="shared" si="2"/>
        <v>0</v>
      </c>
      <c r="F5">
        <f t="shared" si="2"/>
        <v>38.737887960528681</v>
      </c>
      <c r="G5">
        <f t="shared" si="2"/>
        <v>15.492548149450554</v>
      </c>
      <c r="H5" s="1">
        <f t="shared" si="2"/>
        <v>196.86551564365848</v>
      </c>
      <c r="P5">
        <f>SMALL('SimData 2'!$H$9:$H$108,2)</f>
        <v>-240.26673442654618</v>
      </c>
      <c r="Q5">
        <f>1/(COUNT('SimData 2'!$H$9:$H$108)-1)+$Q$4</f>
        <v>1.0101010101010102E-2</v>
      </c>
      <c r="S5" t="s">
        <v>23</v>
      </c>
      <c r="T5">
        <f>MAX('SimData 2'!$H$9:$H$108)</f>
        <v>548.61767320349054</v>
      </c>
    </row>
    <row r="6" spans="1:21" ht="13.5" thickBot="1" x14ac:dyDescent="0.25">
      <c r="A6" t="s">
        <v>17</v>
      </c>
      <c r="B6">
        <f t="shared" ref="B6:H6" si="3">MIN(B9:B108)</f>
        <v>2.4343532518243594</v>
      </c>
      <c r="C6">
        <f t="shared" si="3"/>
        <v>22.895772943065467</v>
      </c>
      <c r="D6">
        <f t="shared" si="3"/>
        <v>157.3746376583928</v>
      </c>
      <c r="E6">
        <f t="shared" si="3"/>
        <v>100</v>
      </c>
      <c r="F6">
        <f t="shared" si="3"/>
        <v>116.85341868988984</v>
      </c>
      <c r="G6">
        <f t="shared" si="3"/>
        <v>257.37463765839277</v>
      </c>
      <c r="H6" s="1">
        <f t="shared" si="3"/>
        <v>-338.63849652271608</v>
      </c>
      <c r="P6">
        <f>SMALL('SimData 2'!$H$9:$H$108,3)</f>
        <v>-227.00722552260606</v>
      </c>
      <c r="Q6">
        <f>1/(COUNT('SimData 2'!$H$9:$H$108)-1)+$Q$5</f>
        <v>2.0202020202020204E-2</v>
      </c>
      <c r="S6" t="s">
        <v>24</v>
      </c>
      <c r="T6">
        <f>_xll.BANDWIDTH('SimData 2'!$H$9:$H$108)</f>
        <v>67.352675978961443</v>
      </c>
    </row>
    <row r="7" spans="1:21" ht="14.25" thickTop="1" thickBot="1" x14ac:dyDescent="0.25">
      <c r="A7" t="s">
        <v>19</v>
      </c>
      <c r="B7">
        <f t="shared" ref="B7:H7" si="4">MAX(B9:B108)</f>
        <v>18.651958461556411</v>
      </c>
      <c r="C7">
        <f t="shared" si="4"/>
        <v>67.933170656770358</v>
      </c>
      <c r="D7">
        <f t="shared" si="4"/>
        <v>427.59902394062215</v>
      </c>
      <c r="E7">
        <f t="shared" si="4"/>
        <v>100</v>
      </c>
      <c r="F7">
        <f t="shared" si="4"/>
        <v>985.69949507404976</v>
      </c>
      <c r="G7">
        <f t="shared" si="4"/>
        <v>527.59902394062215</v>
      </c>
      <c r="H7" s="1">
        <f t="shared" si="4"/>
        <v>548.61767320349054</v>
      </c>
      <c r="P7">
        <f>SMALL('SimData 2'!$H$9:$H$108,4)</f>
        <v>-209.74708768717312</v>
      </c>
      <c r="Q7">
        <f>1/(COUNT('SimData 2'!$H$9:$H$108)-1)+$Q$6</f>
        <v>3.0303030303030304E-2</v>
      </c>
      <c r="S7" t="s">
        <v>25</v>
      </c>
      <c r="T7" s="2" t="s">
        <v>30</v>
      </c>
    </row>
    <row r="8" spans="1:21" ht="13.5" thickTop="1" x14ac:dyDescent="0.2">
      <c r="A8" t="s">
        <v>6</v>
      </c>
      <c r="B8" t="str">
        <f>'Gen 2'!$A$11</f>
        <v>P</v>
      </c>
      <c r="C8" t="str">
        <f>'Gen 2'!$A$12</f>
        <v>Q</v>
      </c>
      <c r="D8" t="str">
        <f>'Gen 2'!$A$13</f>
        <v>VC</v>
      </c>
      <c r="E8" t="str">
        <f>'Gen 2'!$A$14</f>
        <v>FC</v>
      </c>
      <c r="F8" t="str">
        <f>'Gen 2'!$A$15</f>
        <v>TR</v>
      </c>
      <c r="G8" t="str">
        <f>'Gen 2'!$A$16</f>
        <v>TC</v>
      </c>
      <c r="H8" t="str">
        <f>'Gen 2'!$A$17</f>
        <v>Profit</v>
      </c>
      <c r="P8">
        <f>SMALL('SimData 2'!$H$9:$H$108,5)</f>
        <v>-170.07782536893751</v>
      </c>
      <c r="Q8">
        <f>1/(COUNT('SimData 2'!$H$9:$H$108)-1)+$Q$7</f>
        <v>4.0404040404040407E-2</v>
      </c>
      <c r="S8" t="s">
        <v>26</v>
      </c>
      <c r="T8" s="3">
        <v>0.95</v>
      </c>
    </row>
    <row r="9" spans="1:21" x14ac:dyDescent="0.2">
      <c r="A9">
        <v>1</v>
      </c>
      <c r="B9">
        <v>10.084754096915013</v>
      </c>
      <c r="C9">
        <v>67.48167038935658</v>
      </c>
      <c r="D9">
        <v>424.89002233613951</v>
      </c>
      <c r="E9">
        <v>100</v>
      </c>
      <c r="F9">
        <v>680.53605192573229</v>
      </c>
      <c r="G9">
        <v>524.89002233613951</v>
      </c>
      <c r="H9">
        <v>155.64602958959279</v>
      </c>
      <c r="P9">
        <f>SMALL('SimData 2'!$H$9:$H$108,6)</f>
        <v>-150.52187214776816</v>
      </c>
      <c r="Q9">
        <f>1/(COUNT('SimData 2'!$H$9:$H$108)-1)+$Q$8</f>
        <v>5.0505050505050511E-2</v>
      </c>
      <c r="S9" t="s">
        <v>27</v>
      </c>
      <c r="T9" s="4">
        <f>_xll.QUANTILE('SimData 2'!$H$9:$H$108,(1-$T$8)/2)</f>
        <v>-227.00722552260601</v>
      </c>
      <c r="U9" s="4">
        <f>_xll.PDENSITY($T$9,'SimData 2'!$H$9:$H$108,$T$6,$T$7,0)</f>
        <v>4.2983092617560276E-4</v>
      </c>
    </row>
    <row r="10" spans="1:21" x14ac:dyDescent="0.2">
      <c r="A10">
        <v>2</v>
      </c>
      <c r="B10">
        <v>8.5841226061553346</v>
      </c>
      <c r="C10">
        <v>51.974406746740073</v>
      </c>
      <c r="D10">
        <v>331.84644048044044</v>
      </c>
      <c r="E10">
        <v>100</v>
      </c>
      <c r="F10">
        <v>446.15467989620379</v>
      </c>
      <c r="G10">
        <v>431.84644048044044</v>
      </c>
      <c r="H10">
        <v>14.308239415763353</v>
      </c>
      <c r="P10">
        <f>SMALL('SimData 2'!$H$9:$H$108,7)</f>
        <v>-150.14425578221199</v>
      </c>
      <c r="Q10">
        <f>1/(COUNT('SimData 2'!$H$9:$H$108)-1)+$Q$9</f>
        <v>6.0606060606060615E-2</v>
      </c>
      <c r="S10" t="s">
        <v>28</v>
      </c>
      <c r="T10" s="4">
        <f>AVERAGE('SimData 2'!$H$9:$H$108)</f>
        <v>83.290687150752277</v>
      </c>
      <c r="U10" s="4">
        <f>_xll.PDENSITY($T$10,'SimData 2'!$H$9:$H$108,$T$6,$T$7,0)</f>
        <v>2.2424758847336625E-3</v>
      </c>
    </row>
    <row r="11" spans="1:21" x14ac:dyDescent="0.2">
      <c r="A11">
        <v>3</v>
      </c>
      <c r="B11">
        <v>10.652497970038187</v>
      </c>
      <c r="C11">
        <v>48.222637521086313</v>
      </c>
      <c r="D11">
        <v>309.33582512651788</v>
      </c>
      <c r="E11">
        <v>100</v>
      </c>
      <c r="F11">
        <v>513.69154830325931</v>
      </c>
      <c r="G11">
        <v>409.33582512651788</v>
      </c>
      <c r="H11">
        <v>104.35572317674144</v>
      </c>
      <c r="P11">
        <f>SMALL('SimData 2'!$H$9:$H$108,8)</f>
        <v>-131.43106993984424</v>
      </c>
      <c r="Q11">
        <f>1/(COUNT('SimData 2'!$H$9:$H$108)-1)+$Q$10</f>
        <v>7.0707070707070718E-2</v>
      </c>
      <c r="S11" t="s">
        <v>29</v>
      </c>
      <c r="T11" s="4">
        <f>_xll.QUANTILE('SimData 2'!$H$9:$H$108,1-(1-$T$8)/2)</f>
        <v>400.7867038285824</v>
      </c>
      <c r="U11" s="4">
        <f>_xll.PDENSITY($T$11,'SimData 2'!$H$9:$H$108,$T$6,$T$7,0)</f>
        <v>4.57380928099954E-4</v>
      </c>
    </row>
    <row r="12" spans="1:21" x14ac:dyDescent="0.2">
      <c r="A12">
        <v>4</v>
      </c>
      <c r="B12">
        <v>12.477717208812432</v>
      </c>
      <c r="C12">
        <v>45.94827131301399</v>
      </c>
      <c r="D12">
        <v>295.68962787808391</v>
      </c>
      <c r="E12">
        <v>100</v>
      </c>
      <c r="F12">
        <v>573.32953567757727</v>
      </c>
      <c r="G12">
        <v>395.68962787808391</v>
      </c>
      <c r="H12">
        <v>177.63990779949336</v>
      </c>
      <c r="P12">
        <f>SMALL('SimData 2'!$H$9:$H$108,9)</f>
        <v>-125.96700310467395</v>
      </c>
      <c r="Q12">
        <f>1/(COUNT('SimData 2'!$H$9:$H$108)-1)+$Q$11</f>
        <v>8.0808080808080815E-2</v>
      </c>
      <c r="S12">
        <v>1</v>
      </c>
      <c r="T12" s="4">
        <f>$T$4</f>
        <v>-338.63849652271608</v>
      </c>
      <c r="U12" s="4">
        <f>_xll.PDENSITY($T$12,'SimData 2'!$H$9:$H$108,$T$6,$T$7,0)</f>
        <v>1.1107885926795327E-4</v>
      </c>
    </row>
    <row r="13" spans="1:21" x14ac:dyDescent="0.2">
      <c r="A13">
        <v>5</v>
      </c>
      <c r="B13">
        <v>14.678896530464115</v>
      </c>
      <c r="C13">
        <v>60.006096627670317</v>
      </c>
      <c r="D13">
        <v>380.03657976602187</v>
      </c>
      <c r="E13">
        <v>100</v>
      </c>
      <c r="F13">
        <v>880.82328359460428</v>
      </c>
      <c r="G13">
        <v>480.03657976602187</v>
      </c>
      <c r="H13">
        <v>400.7867038285824</v>
      </c>
      <c r="P13">
        <f>SMALL('SimData 2'!$H$9:$H$108,10)</f>
        <v>-119.20478233315953</v>
      </c>
      <c r="Q13">
        <f>1/(COUNT('SimData 2'!$H$9:$H$108)-1)+$Q$12</f>
        <v>9.0909090909090912E-2</v>
      </c>
      <c r="S13">
        <v>2</v>
      </c>
      <c r="T13" s="4">
        <f t="shared" ref="T13:T44" si="5">1/99*($T$5-$T$4)+T12</f>
        <v>-329.67631299012811</v>
      </c>
      <c r="U13" s="4">
        <f>_xll.PDENSITY($T$13,'SimData 2'!$H$9:$H$108,$T$6,$T$7,0)</f>
        <v>1.2400460910488761E-4</v>
      </c>
    </row>
    <row r="14" spans="1:21" x14ac:dyDescent="0.2">
      <c r="A14">
        <v>6</v>
      </c>
      <c r="B14">
        <v>11.982045428029418</v>
      </c>
      <c r="C14">
        <v>52.334397571075471</v>
      </c>
      <c r="D14">
        <v>334.00638542645282</v>
      </c>
      <c r="E14">
        <v>100</v>
      </c>
      <c r="F14">
        <v>627.07312914517865</v>
      </c>
      <c r="G14">
        <v>434.00638542645282</v>
      </c>
      <c r="H14">
        <v>193.06674371872583</v>
      </c>
      <c r="P14">
        <f>SMALL('SimData 2'!$H$9:$H$108,11)</f>
        <v>-114.44312015569918</v>
      </c>
      <c r="Q14">
        <f>1/(COUNT('SimData 2'!$H$9:$H$108)-1)+$Q$13</f>
        <v>0.10101010101010101</v>
      </c>
      <c r="S14">
        <v>3</v>
      </c>
      <c r="T14" s="4">
        <f t="shared" si="5"/>
        <v>-320.71412945754014</v>
      </c>
      <c r="U14" s="4">
        <f>_xll.PDENSITY($T$14,'SimData 2'!$H$9:$H$108,$T$6,$T$7,0)</f>
        <v>1.3830464794029331E-4</v>
      </c>
    </row>
    <row r="15" spans="1:21" x14ac:dyDescent="0.2">
      <c r="A15">
        <v>7</v>
      </c>
      <c r="B15">
        <v>6.0233126356277884</v>
      </c>
      <c r="C15">
        <v>34.111015139470759</v>
      </c>
      <c r="D15">
        <v>224.66609083682454</v>
      </c>
      <c r="E15">
        <v>100</v>
      </c>
      <c r="F15">
        <v>205.46130850366501</v>
      </c>
      <c r="G15">
        <v>324.66609083682454</v>
      </c>
      <c r="H15">
        <v>-119.20478233315953</v>
      </c>
      <c r="P15">
        <f>SMALL('SimData 2'!$H$9:$H$108,12)</f>
        <v>-109.4146712590626</v>
      </c>
      <c r="Q15">
        <f>1/(COUNT('SimData 2'!$H$9:$H$108)-1)+$Q$14</f>
        <v>0.1111111111111111</v>
      </c>
      <c r="S15">
        <v>4</v>
      </c>
      <c r="T15" s="4">
        <f t="shared" si="5"/>
        <v>-311.75194592495217</v>
      </c>
      <c r="U15" s="4">
        <f>_xll.PDENSITY($T$15,'SimData 2'!$H$9:$H$108,$T$6,$T$7,0)</f>
        <v>1.5422034017126377E-4</v>
      </c>
    </row>
    <row r="16" spans="1:21" x14ac:dyDescent="0.2">
      <c r="A16">
        <v>8</v>
      </c>
      <c r="B16">
        <v>8.3310246931825205</v>
      </c>
      <c r="C16">
        <v>58.77177495830729</v>
      </c>
      <c r="D16">
        <v>372.63064974984377</v>
      </c>
      <c r="E16">
        <v>100</v>
      </c>
      <c r="F16">
        <v>489.62910843982411</v>
      </c>
      <c r="G16">
        <v>472.63064974984377</v>
      </c>
      <c r="H16">
        <v>16.998458689980339</v>
      </c>
      <c r="P16">
        <f>SMALL('SimData 2'!$H$9:$H$108,13)</f>
        <v>-100.55756405071114</v>
      </c>
      <c r="Q16">
        <f>1/(COUNT('SimData 2'!$H$9:$H$108)-1)+$Q$15</f>
        <v>0.1212121212121212</v>
      </c>
      <c r="S16">
        <v>5</v>
      </c>
      <c r="T16" s="4">
        <f t="shared" si="5"/>
        <v>-302.7897623923642</v>
      </c>
      <c r="U16" s="4">
        <f>_xll.PDENSITY($T$16,'SimData 2'!$H$9:$H$108,$T$6,$T$7,0)</f>
        <v>1.7200591225400173E-4</v>
      </c>
    </row>
    <row r="17" spans="1:21" x14ac:dyDescent="0.2">
      <c r="A17">
        <v>9</v>
      </c>
      <c r="B17">
        <v>15.065324496583731</v>
      </c>
      <c r="C17">
        <v>57.167417218903601</v>
      </c>
      <c r="D17">
        <v>363.00450331342159</v>
      </c>
      <c r="E17">
        <v>100</v>
      </c>
      <c r="F17">
        <v>861.24569103437102</v>
      </c>
      <c r="G17">
        <v>463.00450331342159</v>
      </c>
      <c r="H17">
        <v>398.24118772094943</v>
      </c>
      <c r="P17">
        <f>SMALL('SimData 2'!$H$9:$H$108,14)</f>
        <v>-94.682111260798877</v>
      </c>
      <c r="Q17">
        <f>1/(COUNT('SimData 2'!$H$9:$H$108)-1)+$Q$16</f>
        <v>0.1313131313131313</v>
      </c>
      <c r="S17">
        <v>6</v>
      </c>
      <c r="T17" s="4">
        <f t="shared" si="5"/>
        <v>-293.82757885977622</v>
      </c>
      <c r="U17" s="4">
        <f>_xll.PDENSITY($T$17,'SimData 2'!$H$9:$H$108,$T$6,$T$7,0)</f>
        <v>1.9191824312752887E-4</v>
      </c>
    </row>
    <row r="18" spans="1:21" x14ac:dyDescent="0.2">
      <c r="A18">
        <v>10</v>
      </c>
      <c r="B18">
        <v>11.250909516796956</v>
      </c>
      <c r="C18">
        <v>31.006409952456313</v>
      </c>
      <c r="D18">
        <v>206.03845971473788</v>
      </c>
      <c r="E18">
        <v>100</v>
      </c>
      <c r="F18">
        <v>348.85031281579859</v>
      </c>
      <c r="G18">
        <v>306.03845971473788</v>
      </c>
      <c r="H18">
        <v>42.811853101060706</v>
      </c>
      <c r="P18">
        <f>SMALL('SimData 2'!$H$9:$H$108,15)</f>
        <v>-86.800300049283294</v>
      </c>
      <c r="Q18">
        <f>1/(COUNT('SimData 2'!$H$9:$H$108)-1)+$Q$17</f>
        <v>0.14141414141414141</v>
      </c>
      <c r="S18">
        <v>7</v>
      </c>
      <c r="T18" s="4">
        <f t="shared" si="5"/>
        <v>-284.86539532718825</v>
      </c>
      <c r="U18" s="4">
        <f>_xll.PDENSITY($T$18,'SimData 2'!$H$9:$H$108,$T$6,$T$7,0)</f>
        <v>2.1420804912744828E-4</v>
      </c>
    </row>
    <row r="19" spans="1:21" x14ac:dyDescent="0.2">
      <c r="A19">
        <v>11</v>
      </c>
      <c r="B19">
        <v>11.390155559631067</v>
      </c>
      <c r="C19">
        <v>51.647102081836522</v>
      </c>
      <c r="D19">
        <v>329.88261249101913</v>
      </c>
      <c r="E19">
        <v>100</v>
      </c>
      <c r="F19">
        <v>588.26852691626345</v>
      </c>
      <c r="G19">
        <v>429.88261249101913</v>
      </c>
      <c r="H19">
        <v>158.38591442524432</v>
      </c>
      <c r="P19">
        <f>SMALL('SimData 2'!$H$9:$H$108,16)</f>
        <v>-86.728823312342627</v>
      </c>
      <c r="Q19">
        <f>1/(COUNT('SimData 2'!$H$9:$H$108)-1)+$Q$18</f>
        <v>0.15151515151515152</v>
      </c>
      <c r="S19">
        <v>8</v>
      </c>
      <c r="T19" s="4">
        <f t="shared" si="5"/>
        <v>-275.90321179460028</v>
      </c>
      <c r="U19" s="4">
        <f>_xll.PDENSITY($T$19,'SimData 2'!$H$9:$H$108,$T$6,$T$7,0)</f>
        <v>2.3911338150247211E-4</v>
      </c>
    </row>
    <row r="20" spans="1:21" x14ac:dyDescent="0.2">
      <c r="A20">
        <v>12</v>
      </c>
      <c r="B20">
        <v>7.9237482481687493</v>
      </c>
      <c r="C20">
        <v>39.027382323172489</v>
      </c>
      <c r="D20">
        <v>254.16429393903493</v>
      </c>
      <c r="E20">
        <v>100</v>
      </c>
      <c r="F20">
        <v>309.24315231385003</v>
      </c>
      <c r="G20">
        <v>354.16429393903491</v>
      </c>
      <c r="H20">
        <v>-44.921141625184873</v>
      </c>
      <c r="P20">
        <f>SMALL('SimData 2'!$H$9:$H$108,17)</f>
        <v>-69.164878488113914</v>
      </c>
      <c r="Q20">
        <f>1/(COUNT('SimData 2'!$H$9:$H$108)-1)+$Q$19</f>
        <v>0.16161616161616163</v>
      </c>
      <c r="S20">
        <v>9</v>
      </c>
      <c r="T20" s="4">
        <f t="shared" si="5"/>
        <v>-266.94102826201231</v>
      </c>
      <c r="U20" s="4">
        <f>_xll.PDENSITY($T$20,'SimData 2'!$H$9:$H$108,$T$6,$T$7,0)</f>
        <v>2.6685571617135104E-4</v>
      </c>
    </row>
    <row r="21" spans="1:21" x14ac:dyDescent="0.2">
      <c r="A21">
        <v>13</v>
      </c>
      <c r="B21">
        <v>14.377646788282618</v>
      </c>
      <c r="C21">
        <v>55.565563445475227</v>
      </c>
      <c r="D21">
        <v>353.39338067285138</v>
      </c>
      <c r="E21">
        <v>100</v>
      </c>
      <c r="F21">
        <v>798.902044810951</v>
      </c>
      <c r="G21">
        <v>453.39338067285138</v>
      </c>
      <c r="H21">
        <v>345.50866413809962</v>
      </c>
      <c r="P21">
        <f>SMALL('SimData 2'!$H$9:$H$108,18)</f>
        <v>-68.336717272679664</v>
      </c>
      <c r="Q21">
        <f>1/(COUNT('SimData 2'!$H$9:$H$108)-1)+$Q$20</f>
        <v>0.17171717171717174</v>
      </c>
      <c r="S21">
        <v>10</v>
      </c>
      <c r="T21" s="4">
        <f t="shared" si="5"/>
        <v>-257.97884472942434</v>
      </c>
      <c r="U21" s="4">
        <f>_xll.PDENSITY($T$21,'SimData 2'!$H$9:$H$108,$T$6,$T$7,0)</f>
        <v>2.9763821960957908E-4</v>
      </c>
    </row>
    <row r="22" spans="1:21" x14ac:dyDescent="0.2">
      <c r="A22">
        <v>14</v>
      </c>
      <c r="B22">
        <v>6.8163552063315045</v>
      </c>
      <c r="C22">
        <v>40.755759783991209</v>
      </c>
      <c r="D22">
        <v>264.53455870394725</v>
      </c>
      <c r="E22">
        <v>100</v>
      </c>
      <c r="F22">
        <v>277.80573539160463</v>
      </c>
      <c r="G22">
        <v>364.53455870394725</v>
      </c>
      <c r="H22">
        <v>-86.728823312342627</v>
      </c>
      <c r="P22">
        <f>SMALL('SimData 2'!$H$9:$H$108,19)</f>
        <v>-55.809483799554073</v>
      </c>
      <c r="Q22">
        <f>1/(COUNT('SimData 2'!$H$9:$H$108)-1)+$Q$21</f>
        <v>0.18181818181818185</v>
      </c>
      <c r="S22">
        <v>11</v>
      </c>
      <c r="T22" s="4">
        <f t="shared" si="5"/>
        <v>-249.0166611968364</v>
      </c>
      <c r="U22" s="4">
        <f>_xll.PDENSITY($T$22,'SimData 2'!$H$9:$H$108,$T$6,$T$7,0)</f>
        <v>3.3164519610155767E-4</v>
      </c>
    </row>
    <row r="23" spans="1:21" x14ac:dyDescent="0.2">
      <c r="A23">
        <v>15</v>
      </c>
      <c r="B23">
        <v>8.4197703836091975</v>
      </c>
      <c r="C23">
        <v>57.067324637648909</v>
      </c>
      <c r="D23">
        <v>362.40394782589345</v>
      </c>
      <c r="E23">
        <v>100</v>
      </c>
      <c r="F23">
        <v>480.49376985588776</v>
      </c>
      <c r="G23">
        <v>462.40394782589345</v>
      </c>
      <c r="H23">
        <v>18.089822029994309</v>
      </c>
      <c r="P23">
        <f>SMALL('SimData 2'!$H$9:$H$108,20)</f>
        <v>-44.921141625184873</v>
      </c>
      <c r="Q23">
        <f>1/(COUNT('SimData 2'!$H$9:$H$108)-1)+$Q$22</f>
        <v>0.19191919191919196</v>
      </c>
      <c r="S23">
        <v>12</v>
      </c>
      <c r="T23" s="4">
        <f t="shared" si="5"/>
        <v>-240.05447766424845</v>
      </c>
      <c r="U23" s="4">
        <f>_xll.PDENSITY($T$23,'SimData 2'!$H$9:$H$108,$T$6,$T$7,0)</f>
        <v>3.6904141732876353E-4</v>
      </c>
    </row>
    <row r="24" spans="1:21" x14ac:dyDescent="0.2">
      <c r="A24">
        <v>16</v>
      </c>
      <c r="B24">
        <v>9.8047628317847284</v>
      </c>
      <c r="C24">
        <v>61.411622233388442</v>
      </c>
      <c r="D24">
        <v>388.46973340033065</v>
      </c>
      <c r="E24">
        <v>100</v>
      </c>
      <c r="F24">
        <v>602.12639111353167</v>
      </c>
      <c r="G24">
        <v>488.46973340033065</v>
      </c>
      <c r="H24">
        <v>113.65665771320101</v>
      </c>
      <c r="P24">
        <f>SMALL('SimData 2'!$H$9:$H$108,21)</f>
        <v>-43.896545103929839</v>
      </c>
      <c r="Q24">
        <f>1/(COUNT('SimData 2'!$H$9:$H$108)-1)+$Q$23</f>
        <v>0.20202020202020207</v>
      </c>
      <c r="S24">
        <v>13</v>
      </c>
      <c r="T24" s="4">
        <f t="shared" si="5"/>
        <v>-231.09229413166051</v>
      </c>
      <c r="U24" s="4">
        <f>_xll.PDENSITY($T$24,'SimData 2'!$H$9:$H$108,$T$6,$T$7,0)</f>
        <v>4.0997010319450503E-4</v>
      </c>
    </row>
    <row r="25" spans="1:21" x14ac:dyDescent="0.2">
      <c r="A25">
        <v>17</v>
      </c>
      <c r="B25">
        <v>12.730634430503761</v>
      </c>
      <c r="C25">
        <v>41.89267941764713</v>
      </c>
      <c r="D25">
        <v>271.35607650588281</v>
      </c>
      <c r="E25">
        <v>100</v>
      </c>
      <c r="F25">
        <v>533.32038698035478</v>
      </c>
      <c r="G25">
        <v>371.35607650588281</v>
      </c>
      <c r="H25">
        <v>161.96431047447197</v>
      </c>
      <c r="P25">
        <f>SMALL('SimData 2'!$H$9:$H$108,22)</f>
        <v>-34.496000736308929</v>
      </c>
      <c r="Q25">
        <f>1/(COUNT('SimData 2'!$H$9:$H$108)-1)+$Q$24</f>
        <v>0.21212121212121218</v>
      </c>
      <c r="S25">
        <v>14</v>
      </c>
      <c r="T25" s="4">
        <f t="shared" si="5"/>
        <v>-222.13011059907257</v>
      </c>
      <c r="U25" s="4">
        <f>_xll.PDENSITY($T$25,'SimData 2'!$H$9:$H$108,$T$6,$T$7,0)</f>
        <v>4.545487703008217E-4</v>
      </c>
    </row>
    <row r="26" spans="1:21" x14ac:dyDescent="0.2">
      <c r="A26">
        <v>18</v>
      </c>
      <c r="B26">
        <v>10.430351445618273</v>
      </c>
      <c r="C26">
        <v>44.148965209766487</v>
      </c>
      <c r="D26">
        <v>284.89379125859892</v>
      </c>
      <c r="E26">
        <v>100</v>
      </c>
      <c r="F26">
        <v>460.48922309823871</v>
      </c>
      <c r="G26">
        <v>384.89379125859892</v>
      </c>
      <c r="H26">
        <v>75.595431839639787</v>
      </c>
      <c r="P26">
        <f>SMALL('SimData 2'!$H$9:$H$108,23)</f>
        <v>-29.423607988258141</v>
      </c>
      <c r="Q26">
        <f>1/(COUNT('SimData 2'!$H$9:$H$108)-1)+$Q$25</f>
        <v>0.22222222222222229</v>
      </c>
      <c r="S26">
        <v>15</v>
      </c>
      <c r="T26" s="4">
        <f t="shared" si="5"/>
        <v>-213.16792706648462</v>
      </c>
      <c r="U26" s="4">
        <f>_xll.PDENSITY($T$26,'SimData 2'!$H$9:$H$108,$T$6,$T$7,0)</f>
        <v>5.0286289839525551E-4</v>
      </c>
    </row>
    <row r="27" spans="1:21" x14ac:dyDescent="0.2">
      <c r="A27">
        <v>19</v>
      </c>
      <c r="B27">
        <v>12.278914748342844</v>
      </c>
      <c r="C27">
        <v>34.87884299809707</v>
      </c>
      <c r="D27">
        <v>229.27305798858242</v>
      </c>
      <c r="E27">
        <v>100</v>
      </c>
      <c r="F27">
        <v>428.27433969446867</v>
      </c>
      <c r="G27">
        <v>329.27305798858242</v>
      </c>
      <c r="H27">
        <v>99.001281705886242</v>
      </c>
      <c r="P27">
        <f>SMALL('SimData 2'!$H$9:$H$108,24)</f>
        <v>-27.570070541192706</v>
      </c>
      <c r="Q27">
        <f>1/(COUNT('SimData 2'!$H$9:$H$108)-1)+$Q$26</f>
        <v>0.2323232323232324</v>
      </c>
      <c r="S27">
        <v>16</v>
      </c>
      <c r="T27" s="4">
        <f t="shared" si="5"/>
        <v>-204.20574353389668</v>
      </c>
      <c r="U27" s="4">
        <f>_xll.PDENSITY($T$27,'SimData 2'!$H$9:$H$108,$T$6,$T$7,0)</f>
        <v>5.5495820678312462E-4</v>
      </c>
    </row>
    <row r="28" spans="1:21" x14ac:dyDescent="0.2">
      <c r="A28">
        <v>20</v>
      </c>
      <c r="B28">
        <v>10.93129947023335</v>
      </c>
      <c r="C28">
        <v>57.869475936732243</v>
      </c>
      <c r="D28">
        <v>367.21685562039346</v>
      </c>
      <c r="E28">
        <v>100</v>
      </c>
      <c r="F28">
        <v>632.58857164988274</v>
      </c>
      <c r="G28">
        <v>467.21685562039346</v>
      </c>
      <c r="H28">
        <v>165.37171602948928</v>
      </c>
      <c r="P28">
        <f>SMALL('SimData 2'!$H$9:$H$108,25)</f>
        <v>-26.207078911665064</v>
      </c>
      <c r="Q28">
        <f>1/(COUNT('SimData 2'!$H$9:$H$108)-1)+$Q$27</f>
        <v>0.24242424242424251</v>
      </c>
      <c r="S28">
        <v>17</v>
      </c>
      <c r="T28" s="4">
        <f t="shared" si="5"/>
        <v>-195.24356000130874</v>
      </c>
      <c r="U28" s="4">
        <f>_xll.PDENSITY($T$28,'SimData 2'!$H$9:$H$108,$T$6,$T$7,0)</f>
        <v>6.1083305690306751E-4</v>
      </c>
    </row>
    <row r="29" spans="1:21" x14ac:dyDescent="0.2">
      <c r="A29">
        <v>21</v>
      </c>
      <c r="B29">
        <v>3.1319507482244724</v>
      </c>
      <c r="C29">
        <v>37.310107368749321</v>
      </c>
      <c r="D29">
        <v>243.86064421249591</v>
      </c>
      <c r="E29">
        <v>100</v>
      </c>
      <c r="F29">
        <v>116.85341868988984</v>
      </c>
      <c r="G29">
        <v>343.86064421249591</v>
      </c>
      <c r="H29">
        <v>-227.00722552260606</v>
      </c>
      <c r="P29">
        <f>SMALL('SimData 2'!$H$9:$H$108,26)</f>
        <v>-21.450455565103482</v>
      </c>
      <c r="Q29">
        <f>1/(COUNT('SimData 2'!$H$9:$H$108)-1)+$Q$28</f>
        <v>0.2525252525252526</v>
      </c>
      <c r="S29">
        <v>18</v>
      </c>
      <c r="T29" s="4">
        <f t="shared" si="5"/>
        <v>-186.28137646872079</v>
      </c>
      <c r="U29" s="4">
        <f>_xll.PDENSITY($T$29,'SimData 2'!$H$9:$H$108,$T$6,$T$7,0)</f>
        <v>6.7043288636403576E-4</v>
      </c>
    </row>
    <row r="30" spans="1:21" x14ac:dyDescent="0.2">
      <c r="A30">
        <v>22</v>
      </c>
      <c r="B30">
        <v>7.2663059300468422</v>
      </c>
      <c r="C30">
        <v>50.691159756372173</v>
      </c>
      <c r="D30">
        <v>324.14695853823304</v>
      </c>
      <c r="E30">
        <v>100</v>
      </c>
      <c r="F30">
        <v>368.33747473867896</v>
      </c>
      <c r="G30">
        <v>424.14695853823304</v>
      </c>
      <c r="H30">
        <v>-55.809483799554073</v>
      </c>
      <c r="P30">
        <f>SMALL('SimData 2'!$H$9:$H$108,27)</f>
        <v>-21.262470596038611</v>
      </c>
      <c r="Q30">
        <f>1/(COUNT('SimData 2'!$H$9:$H$108)-1)+$Q$29</f>
        <v>0.26262626262626271</v>
      </c>
      <c r="S30">
        <v>19</v>
      </c>
      <c r="T30" s="4">
        <f t="shared" si="5"/>
        <v>-177.31919293613285</v>
      </c>
      <c r="U30" s="4">
        <f>_xll.PDENSITY($T$30,'SimData 2'!$H$9:$H$108,$T$6,$T$7,0)</f>
        <v>7.3364848071747943E-4</v>
      </c>
    </row>
    <row r="31" spans="1:21" x14ac:dyDescent="0.2">
      <c r="A31">
        <v>23</v>
      </c>
      <c r="B31">
        <v>11.055081916586765</v>
      </c>
      <c r="C31">
        <v>46.349979588199474</v>
      </c>
      <c r="D31">
        <v>298.09987752919687</v>
      </c>
      <c r="E31">
        <v>100</v>
      </c>
      <c r="F31">
        <v>512.40282117966967</v>
      </c>
      <c r="G31">
        <v>398.09987752919687</v>
      </c>
      <c r="H31">
        <v>114.3029436504728</v>
      </c>
      <c r="P31">
        <f>SMALL('SimData 2'!$H$9:$H$108,28)</f>
        <v>-19.442540146447868</v>
      </c>
      <c r="Q31">
        <f>1/(COUNT('SimData 2'!$H$9:$H$108)-1)+$Q$30</f>
        <v>0.27272727272727282</v>
      </c>
      <c r="S31">
        <v>20</v>
      </c>
      <c r="T31" s="4">
        <f t="shared" si="5"/>
        <v>-168.35700940354491</v>
      </c>
      <c r="U31" s="4">
        <f>_xll.PDENSITY($T$31,'SimData 2'!$H$9:$H$108,$T$6,$T$7,0)</f>
        <v>8.0031925896544573E-4</v>
      </c>
    </row>
    <row r="32" spans="1:21" x14ac:dyDescent="0.2">
      <c r="A32">
        <v>24</v>
      </c>
      <c r="B32">
        <v>6.6718623953071177</v>
      </c>
      <c r="C32">
        <v>49.414433941552353</v>
      </c>
      <c r="D32">
        <v>316.48660364931413</v>
      </c>
      <c r="E32">
        <v>100</v>
      </c>
      <c r="F32">
        <v>329.68630360003084</v>
      </c>
      <c r="G32">
        <v>416.48660364931413</v>
      </c>
      <c r="H32">
        <v>-86.800300049283294</v>
      </c>
      <c r="P32">
        <f>SMALL('SimData 2'!$H$9:$H$108,29)</f>
        <v>-11.125873537023153</v>
      </c>
      <c r="Q32">
        <f>1/(COUNT('SimData 2'!$H$9:$H$108)-1)+$Q$31</f>
        <v>0.28282828282828293</v>
      </c>
      <c r="S32">
        <v>21</v>
      </c>
      <c r="T32" s="4">
        <f t="shared" si="5"/>
        <v>-159.39482587095696</v>
      </c>
      <c r="U32" s="4">
        <f>_xll.PDENSITY($T$32,'SimData 2'!$H$9:$H$108,$T$6,$T$7,0)</f>
        <v>8.7024167534418889E-4</v>
      </c>
    </row>
    <row r="33" spans="1:21" x14ac:dyDescent="0.2">
      <c r="A33">
        <v>25</v>
      </c>
      <c r="B33">
        <v>13.40885255641683</v>
      </c>
      <c r="C33">
        <v>48.620084776869234</v>
      </c>
      <c r="D33">
        <v>311.72050866121538</v>
      </c>
      <c r="E33">
        <v>100</v>
      </c>
      <c r="F33">
        <v>651.9395480535261</v>
      </c>
      <c r="G33">
        <v>411.72050866121538</v>
      </c>
      <c r="H33">
        <v>240.21903939231072</v>
      </c>
      <c r="P33">
        <f>SMALL('SimData 2'!$H$9:$H$108,30)</f>
        <v>-6.9736384571878602</v>
      </c>
      <c r="Q33">
        <f>1/(COUNT('SimData 2'!$H$9:$H$108)-1)+$Q$32</f>
        <v>0.29292929292929304</v>
      </c>
      <c r="S33">
        <v>22</v>
      </c>
      <c r="T33" s="4">
        <f t="shared" si="5"/>
        <v>-150.43264233836902</v>
      </c>
      <c r="U33" s="4">
        <f>_xll.PDENSITY($T$33,'SimData 2'!$H$9:$H$108,$T$6,$T$7,0)</f>
        <v>9.4318153283575227E-4</v>
      </c>
    </row>
    <row r="34" spans="1:21" x14ac:dyDescent="0.2">
      <c r="A34">
        <v>26</v>
      </c>
      <c r="B34">
        <v>9.3074910807205171</v>
      </c>
      <c r="C34">
        <v>50.132966192788516</v>
      </c>
      <c r="D34">
        <v>320.79779715673112</v>
      </c>
      <c r="E34">
        <v>100</v>
      </c>
      <c r="F34">
        <v>466.61213568944231</v>
      </c>
      <c r="G34">
        <v>420.79779715673112</v>
      </c>
      <c r="H34">
        <v>45.81433853271119</v>
      </c>
      <c r="P34">
        <f>SMALL('SimData 2'!$H$9:$H$108,31)</f>
        <v>2.0025355474425055</v>
      </c>
      <c r="Q34">
        <f>1/(COUNT('SimData 2'!$H$9:$H$108)-1)+$Q$33</f>
        <v>0.30303030303030315</v>
      </c>
      <c r="S34">
        <v>23</v>
      </c>
      <c r="T34" s="4">
        <f t="shared" si="5"/>
        <v>-141.47045880578108</v>
      </c>
      <c r="U34" s="4">
        <f>_xll.PDENSITY($T$34,'SimData 2'!$H$9:$H$108,$T$6,$T$7,0)</f>
        <v>1.0188877540422169E-3</v>
      </c>
    </row>
    <row r="35" spans="1:21" x14ac:dyDescent="0.2">
      <c r="A35">
        <v>27</v>
      </c>
      <c r="B35">
        <v>10.062946406387519</v>
      </c>
      <c r="C35">
        <v>30.028093738976587</v>
      </c>
      <c r="D35">
        <v>200.16856243385951</v>
      </c>
      <c r="E35">
        <v>100</v>
      </c>
      <c r="F35">
        <v>302.17109798130201</v>
      </c>
      <c r="G35">
        <v>300.16856243385951</v>
      </c>
      <c r="H35">
        <v>2.0025355474425055</v>
      </c>
      <c r="P35">
        <f>SMALL('SimData 2'!$H$9:$H$108,32)</f>
        <v>4.285800879557371</v>
      </c>
      <c r="Q35">
        <f>1/(COUNT('SimData 2'!$H$9:$H$108)-1)+$Q$34</f>
        <v>0.31313131313131326</v>
      </c>
      <c r="S35">
        <v>24</v>
      </c>
      <c r="T35" s="4">
        <f t="shared" si="5"/>
        <v>-132.50827527319314</v>
      </c>
      <c r="U35" s="4">
        <f>_xll.PDENSITY($T$35,'SimData 2'!$H$9:$H$108,$T$6,$T$7,0)</f>
        <v>1.0971042721964262E-3</v>
      </c>
    </row>
    <row r="36" spans="1:21" x14ac:dyDescent="0.2">
      <c r="A36">
        <v>28</v>
      </c>
      <c r="B36">
        <v>8.1224263935422361</v>
      </c>
      <c r="C36">
        <v>46.521061792476502</v>
      </c>
      <c r="D36">
        <v>299.12637075485901</v>
      </c>
      <c r="E36">
        <v>100</v>
      </c>
      <c r="F36">
        <v>377.8639001588204</v>
      </c>
      <c r="G36">
        <v>399.12637075485901</v>
      </c>
      <c r="H36">
        <v>-21.262470596038611</v>
      </c>
      <c r="P36">
        <f>SMALL('SimData 2'!$H$9:$H$108,33)</f>
        <v>6.4330057327316013</v>
      </c>
      <c r="Q36">
        <f>1/(COUNT('SimData 2'!$H$9:$H$108)-1)+$Q$35</f>
        <v>0.32323232323232337</v>
      </c>
      <c r="S36">
        <v>25</v>
      </c>
      <c r="T36" s="4">
        <f t="shared" si="5"/>
        <v>-123.54609174060519</v>
      </c>
      <c r="U36" s="4">
        <f>_xll.PDENSITY($T$36,'SimData 2'!$H$9:$H$108,$T$6,$T$7,0)</f>
        <v>1.1775764467206167E-3</v>
      </c>
    </row>
    <row r="37" spans="1:21" x14ac:dyDescent="0.2">
      <c r="A37">
        <v>29</v>
      </c>
      <c r="B37">
        <v>12.962202705958839</v>
      </c>
      <c r="C37">
        <v>47.734957101118034</v>
      </c>
      <c r="D37">
        <v>306.40974260670822</v>
      </c>
      <c r="E37">
        <v>100</v>
      </c>
      <c r="F37">
        <v>618.75019010494134</v>
      </c>
      <c r="G37">
        <v>406.40974260670822</v>
      </c>
      <c r="H37">
        <v>212.34044749823312</v>
      </c>
      <c r="P37">
        <f>SMALL('SimData 2'!$H$9:$H$108,34)</f>
        <v>6.6607956366310077</v>
      </c>
      <c r="Q37">
        <f>1/(COUNT('SimData 2'!$H$9:$H$108)-1)+$Q$36</f>
        <v>0.33333333333333348</v>
      </c>
      <c r="S37">
        <v>26</v>
      </c>
      <c r="T37" s="4">
        <f t="shared" si="5"/>
        <v>-114.58390820801725</v>
      </c>
      <c r="U37" s="4">
        <f>_xll.PDENSITY($T$37,'SimData 2'!$H$9:$H$108,$T$6,$T$7,0)</f>
        <v>1.2600489164499564E-3</v>
      </c>
    </row>
    <row r="38" spans="1:21" x14ac:dyDescent="0.2">
      <c r="A38">
        <v>30</v>
      </c>
      <c r="B38">
        <v>10.566370468241132</v>
      </c>
      <c r="C38">
        <v>54.143771965085861</v>
      </c>
      <c r="D38">
        <v>344.86263179051514</v>
      </c>
      <c r="E38">
        <v>100</v>
      </c>
      <c r="F38">
        <v>572.10315313106537</v>
      </c>
      <c r="G38">
        <v>444.86263179051514</v>
      </c>
      <c r="H38">
        <v>127.24052134055023</v>
      </c>
      <c r="P38">
        <f>SMALL('SimData 2'!$H$9:$H$108,35)</f>
        <v>14.308239415763353</v>
      </c>
      <c r="Q38">
        <f>1/(COUNT('SimData 2'!$H$9:$H$108)-1)+$Q$37</f>
        <v>0.34343434343434359</v>
      </c>
      <c r="S38">
        <v>27</v>
      </c>
      <c r="T38" s="4">
        <f t="shared" si="5"/>
        <v>-105.62172467542931</v>
      </c>
      <c r="U38" s="4">
        <f>_xll.PDENSITY($T$38,'SimData 2'!$H$9:$H$108,$T$6,$T$7,0)</f>
        <v>1.3442530672911188E-3</v>
      </c>
    </row>
    <row r="39" spans="1:21" x14ac:dyDescent="0.2">
      <c r="A39">
        <v>31</v>
      </c>
      <c r="B39">
        <v>9.8676847934715362</v>
      </c>
      <c r="C39">
        <v>45.375690652485218</v>
      </c>
      <c r="D39">
        <v>292.25414391491131</v>
      </c>
      <c r="E39">
        <v>100</v>
      </c>
      <c r="F39">
        <v>447.75301264479691</v>
      </c>
      <c r="G39">
        <v>392.25414391491131</v>
      </c>
      <c r="H39">
        <v>55.498868729885601</v>
      </c>
      <c r="P39">
        <f>SMALL('SimData 2'!$H$9:$H$108,36)</f>
        <v>16.998458689980339</v>
      </c>
      <c r="Q39">
        <f>1/(COUNT('SimData 2'!$H$9:$H$108)-1)+$Q$38</f>
        <v>0.3535353535353537</v>
      </c>
      <c r="S39">
        <v>28</v>
      </c>
      <c r="T39" s="4">
        <f t="shared" si="5"/>
        <v>-96.659541142841363</v>
      </c>
      <c r="U39" s="4">
        <f>_xll.PDENSITY($T$39,'SimData 2'!$H$9:$H$108,$T$6,$T$7,0)</f>
        <v>1.4298841360429534E-3</v>
      </c>
    </row>
    <row r="40" spans="1:21" x14ac:dyDescent="0.2">
      <c r="A40">
        <v>32</v>
      </c>
      <c r="B40">
        <v>9.736932586763146</v>
      </c>
      <c r="C40">
        <v>38.275241958919565</v>
      </c>
      <c r="D40">
        <v>249.65145175351739</v>
      </c>
      <c r="E40">
        <v>100</v>
      </c>
      <c r="F40">
        <v>372.683450696048</v>
      </c>
      <c r="G40">
        <v>349.65145175351739</v>
      </c>
      <c r="H40">
        <v>23.031998942530606</v>
      </c>
      <c r="P40">
        <f>SMALL('SimData 2'!$H$9:$H$108,37)</f>
        <v>18.089822029994309</v>
      </c>
      <c r="Q40">
        <f>1/(COUNT('SimData 2'!$H$9:$H$108)-1)+$Q$39</f>
        <v>0.36363636363636381</v>
      </c>
      <c r="S40">
        <v>29</v>
      </c>
      <c r="T40" s="4">
        <f t="shared" si="5"/>
        <v>-87.69735761025342</v>
      </c>
      <c r="U40" s="4">
        <f>_xll.PDENSITY($T$40,'SimData 2'!$H$9:$H$108,$T$6,$T$7,0)</f>
        <v>1.5165700913899642E-3</v>
      </c>
    </row>
    <row r="41" spans="1:21" x14ac:dyDescent="0.2">
      <c r="A41">
        <v>33</v>
      </c>
      <c r="B41">
        <v>9.6437725713945976</v>
      </c>
      <c r="C41">
        <v>27.597073605245704</v>
      </c>
      <c r="D41">
        <v>185.58244163147424</v>
      </c>
      <c r="E41">
        <v>100</v>
      </c>
      <c r="F41">
        <v>266.13990148502637</v>
      </c>
      <c r="G41">
        <v>285.58244163147424</v>
      </c>
      <c r="H41">
        <v>-19.442540146447868</v>
      </c>
      <c r="P41">
        <f>SMALL('SimData 2'!$H$9:$H$108,38)</f>
        <v>19.764742247565493</v>
      </c>
      <c r="Q41">
        <f>1/(COUNT('SimData 2'!$H$9:$H$108)-1)+$Q$40</f>
        <v>0.37373737373737392</v>
      </c>
      <c r="S41">
        <v>30</v>
      </c>
      <c r="T41" s="4">
        <f t="shared" si="5"/>
        <v>-78.735174077665476</v>
      </c>
      <c r="U41" s="4">
        <f>_xll.PDENSITY($T$41,'SimData 2'!$H$9:$H$108,$T$6,$T$7,0)</f>
        <v>1.603836443619924E-3</v>
      </c>
    </row>
    <row r="42" spans="1:21" x14ac:dyDescent="0.2">
      <c r="A42">
        <v>34</v>
      </c>
      <c r="B42">
        <v>15.398748416081522</v>
      </c>
      <c r="C42">
        <v>47.267388501304069</v>
      </c>
      <c r="D42">
        <v>303.60433100782438</v>
      </c>
      <c r="E42">
        <v>100</v>
      </c>
      <c r="F42">
        <v>727.858623816766</v>
      </c>
      <c r="G42">
        <v>403.60433100782438</v>
      </c>
      <c r="H42">
        <v>324.25429280894161</v>
      </c>
      <c r="P42">
        <f>SMALL('SimData 2'!$H$9:$H$108,39)</f>
        <v>23.031998942530606</v>
      </c>
      <c r="Q42">
        <f>1/(COUNT('SimData 2'!$H$9:$H$108)-1)+$Q$41</f>
        <v>0.38383838383838403</v>
      </c>
      <c r="S42">
        <v>31</v>
      </c>
      <c r="T42" s="4">
        <f t="shared" si="5"/>
        <v>-69.772990545077533</v>
      </c>
      <c r="U42" s="4">
        <f>_xll.PDENSITY($T$42,'SimData 2'!$H$9:$H$108,$T$6,$T$7,0)</f>
        <v>1.6910726510134342E-3</v>
      </c>
    </row>
    <row r="43" spans="1:21" x14ac:dyDescent="0.2">
      <c r="A43">
        <v>35</v>
      </c>
      <c r="B43">
        <v>12.581260047357439</v>
      </c>
      <c r="C43">
        <v>59.058733494206514</v>
      </c>
      <c r="D43">
        <v>374.3524009652391</v>
      </c>
      <c r="E43">
        <v>100</v>
      </c>
      <c r="F43">
        <v>743.03328415819101</v>
      </c>
      <c r="G43">
        <v>474.3524009652391</v>
      </c>
      <c r="H43">
        <v>268.68088319295191</v>
      </c>
      <c r="P43">
        <f>SMALL('SimData 2'!$H$9:$H$108,40)</f>
        <v>30.504745796924738</v>
      </c>
      <c r="Q43">
        <f>1/(COUNT('SimData 2'!$H$9:$H$108)-1)+$Q$42</f>
        <v>0.39393939393939414</v>
      </c>
      <c r="S43">
        <v>32</v>
      </c>
      <c r="T43" s="4">
        <f t="shared" si="5"/>
        <v>-60.81080701248959</v>
      </c>
      <c r="U43" s="4">
        <f>_xll.PDENSITY($T$43,'SimData 2'!$H$9:$H$108,$T$6,$T$7,0)</f>
        <v>1.7775064997234613E-3</v>
      </c>
    </row>
    <row r="44" spans="1:21" x14ac:dyDescent="0.2">
      <c r="A44">
        <v>36</v>
      </c>
      <c r="B44">
        <v>7.2292967791040095</v>
      </c>
      <c r="C44">
        <v>41.3530096035377</v>
      </c>
      <c r="D44">
        <v>268.11805762122617</v>
      </c>
      <c r="E44">
        <v>100</v>
      </c>
      <c r="F44">
        <v>298.95317913311226</v>
      </c>
      <c r="G44">
        <v>368.11805762122617</v>
      </c>
      <c r="H44">
        <v>-69.164878488113914</v>
      </c>
      <c r="P44">
        <f>SMALL('SimData 2'!$H$9:$H$108,41)</f>
        <v>38.503830246713619</v>
      </c>
      <c r="Q44">
        <f>1/(COUNT('SimData 2'!$H$9:$H$108)-1)+$Q$43</f>
        <v>0.40404040404040426</v>
      </c>
      <c r="S44">
        <v>33</v>
      </c>
      <c r="T44" s="4">
        <f t="shared" si="5"/>
        <v>-51.848623479901647</v>
      </c>
      <c r="U44" s="4">
        <f>_xll.PDENSITY($T$44,'SimData 2'!$H$9:$H$108,$T$6,$T$7,0)</f>
        <v>1.8621925534388494E-3</v>
      </c>
    </row>
    <row r="45" spans="1:21" x14ac:dyDescent="0.2">
      <c r="A45">
        <v>37</v>
      </c>
      <c r="B45">
        <v>14.070443004483563</v>
      </c>
      <c r="C45">
        <v>54.618039670859737</v>
      </c>
      <c r="D45">
        <v>347.70823802515844</v>
      </c>
      <c r="E45">
        <v>100</v>
      </c>
      <c r="F45">
        <v>768.50001420545414</v>
      </c>
      <c r="G45">
        <v>447.70823802515844</v>
      </c>
      <c r="H45">
        <v>320.7917761802957</v>
      </c>
      <c r="P45">
        <f>SMALL('SimData 2'!$H$9:$H$108,42)</f>
        <v>39.936648210035059</v>
      </c>
      <c r="Q45">
        <f>1/(COUNT('SimData 2'!$H$9:$H$108)-1)+$Q$44</f>
        <v>0.41414141414141437</v>
      </c>
      <c r="S45">
        <v>34</v>
      </c>
      <c r="T45" s="4">
        <f t="shared" ref="T45:T76" si="6">1/99*($T$5-$T$4)+T44</f>
        <v>-42.886439947313704</v>
      </c>
      <c r="U45" s="4">
        <f>_xll.PDENSITY($T$45,'SimData 2'!$H$9:$H$108,$T$6,$T$7,0)</f>
        <v>1.9440194820905337E-3</v>
      </c>
    </row>
    <row r="46" spans="1:21" x14ac:dyDescent="0.2">
      <c r="A46">
        <v>38</v>
      </c>
      <c r="B46">
        <v>13.02683008423762</v>
      </c>
      <c r="C46">
        <v>60.55490012643115</v>
      </c>
      <c r="D46">
        <v>383.32940075858687</v>
      </c>
      <c r="E46">
        <v>100</v>
      </c>
      <c r="F46">
        <v>788.83839471499778</v>
      </c>
      <c r="G46">
        <v>483.32940075858687</v>
      </c>
      <c r="H46">
        <v>305.5089939564109</v>
      </c>
      <c r="P46">
        <f>SMALL('SimData 2'!$H$9:$H$108,43)</f>
        <v>42.811853101060706</v>
      </c>
      <c r="Q46">
        <f>1/(COUNT('SimData 2'!$H$9:$H$108)-1)+$Q$45</f>
        <v>0.42424242424242448</v>
      </c>
      <c r="S46">
        <v>35</v>
      </c>
      <c r="T46" s="4">
        <f t="shared" si="6"/>
        <v>-33.924256414725761</v>
      </c>
      <c r="U46" s="4">
        <f>_xll.PDENSITY($T$46,'SimData 2'!$H$9:$H$108,$T$6,$T$7,0)</f>
        <v>2.0217389348944027E-3</v>
      </c>
    </row>
    <row r="47" spans="1:21" x14ac:dyDescent="0.2">
      <c r="A47">
        <v>39</v>
      </c>
      <c r="B47">
        <v>10.476854255465636</v>
      </c>
      <c r="C47">
        <v>57.481811916649093</v>
      </c>
      <c r="D47">
        <v>364.89087149989456</v>
      </c>
      <c r="E47">
        <v>100</v>
      </c>
      <c r="F47">
        <v>602.22856579082031</v>
      </c>
      <c r="G47">
        <v>464.89087149989456</v>
      </c>
      <c r="H47">
        <v>137.33769429092575</v>
      </c>
      <c r="P47">
        <f>SMALL('SimData 2'!$H$9:$H$108,44)</f>
        <v>44.254336531871104</v>
      </c>
      <c r="Q47">
        <f>1/(COUNT('SimData 2'!$H$9:$H$108)-1)+$Q$46</f>
        <v>0.43434343434343459</v>
      </c>
      <c r="S47">
        <v>36</v>
      </c>
      <c r="T47" s="4">
        <f t="shared" si="6"/>
        <v>-24.962072882137814</v>
      </c>
      <c r="U47" s="4">
        <f>_xll.PDENSITY($T$47,'SimData 2'!$H$9:$H$108,$T$6,$T$7,0)</f>
        <v>2.0940159109467879E-3</v>
      </c>
    </row>
    <row r="48" spans="1:21" x14ac:dyDescent="0.2">
      <c r="A48">
        <v>40</v>
      </c>
      <c r="B48">
        <v>9.4915608650152201</v>
      </c>
      <c r="C48">
        <v>36.276267415455429</v>
      </c>
      <c r="D48">
        <v>237.65760449273256</v>
      </c>
      <c r="E48">
        <v>100</v>
      </c>
      <c r="F48">
        <v>344.31840012936357</v>
      </c>
      <c r="G48">
        <v>337.65760449273256</v>
      </c>
      <c r="H48">
        <v>6.6607956366310077</v>
      </c>
      <c r="P48">
        <f>SMALL('SimData 2'!$H$9:$H$108,45)</f>
        <v>45.81433853271119</v>
      </c>
      <c r="Q48">
        <f>1/(COUNT('SimData 2'!$H$9:$H$108)-1)+$Q$47</f>
        <v>0.4444444444444447</v>
      </c>
      <c r="S48">
        <v>37</v>
      </c>
      <c r="T48" s="4">
        <f t="shared" si="6"/>
        <v>-15.999889349549868</v>
      </c>
      <c r="U48" s="4">
        <f>_xll.PDENSITY($T$48,'SimData 2'!$H$9:$H$108,$T$6,$T$7,0)</f>
        <v>2.1594976791466103E-3</v>
      </c>
    </row>
    <row r="49" spans="1:21" x14ac:dyDescent="0.2">
      <c r="A49">
        <v>41</v>
      </c>
      <c r="B49">
        <v>18.651958461556411</v>
      </c>
      <c r="C49">
        <v>52.846970311759861</v>
      </c>
      <c r="D49">
        <v>337.08182187055917</v>
      </c>
      <c r="E49">
        <v>100</v>
      </c>
      <c r="F49">
        <v>985.69949507404976</v>
      </c>
      <c r="G49">
        <v>437.08182187055917</v>
      </c>
      <c r="H49">
        <v>548.61767320349054</v>
      </c>
      <c r="P49">
        <f>SMALL('SimData 2'!$H$9:$H$108,46)</f>
        <v>47.868535931505278</v>
      </c>
      <c r="Q49">
        <f>1/(COUNT('SimData 2'!$H$9:$H$108)-1)+$Q$48</f>
        <v>0.45454545454545481</v>
      </c>
      <c r="S49">
        <v>38</v>
      </c>
      <c r="T49" s="4">
        <f t="shared" si="6"/>
        <v>-7.0377058169619211</v>
      </c>
      <c r="U49" s="4">
        <f>_xll.PDENSITY($T$49,'SimData 2'!$H$9:$H$108,$T$6,$T$7,0)</f>
        <v>2.2168956167509537E-3</v>
      </c>
    </row>
    <row r="50" spans="1:21" x14ac:dyDescent="0.2">
      <c r="A50">
        <v>42</v>
      </c>
      <c r="B50">
        <v>11.430282816740629</v>
      </c>
      <c r="C50">
        <v>54.038243186548748</v>
      </c>
      <c r="D50">
        <v>344.22945911929247</v>
      </c>
      <c r="E50">
        <v>100</v>
      </c>
      <c r="F50">
        <v>617.67240254205956</v>
      </c>
      <c r="G50">
        <v>444.22945911929247</v>
      </c>
      <c r="H50">
        <v>173.44294342276709</v>
      </c>
      <c r="P50">
        <f>SMALL('SimData 2'!$H$9:$H$108,47)</f>
        <v>49.261520964609474</v>
      </c>
      <c r="Q50">
        <f>1/(COUNT('SimData 2'!$H$9:$H$108)-1)+$Q$49</f>
        <v>0.46464646464646492</v>
      </c>
      <c r="S50">
        <v>39</v>
      </c>
      <c r="T50" s="4">
        <f t="shared" si="6"/>
        <v>1.9244777156260255</v>
      </c>
      <c r="U50" s="4">
        <f>_xll.PDENSITY($T$50,'SimData 2'!$H$9:$H$108,$T$6,$T$7,0)</f>
        <v>2.2650722500697283E-3</v>
      </c>
    </row>
    <row r="51" spans="1:21" x14ac:dyDescent="0.2">
      <c r="A51">
        <v>43</v>
      </c>
      <c r="B51">
        <v>11.740482865717347</v>
      </c>
      <c r="C51">
        <v>55.131586476468968</v>
      </c>
      <c r="D51">
        <v>350.78951885881384</v>
      </c>
      <c r="E51">
        <v>100</v>
      </c>
      <c r="F51">
        <v>647.27144638679806</v>
      </c>
      <c r="G51">
        <v>450.78951885881384</v>
      </c>
      <c r="H51">
        <v>196.48192752798423</v>
      </c>
      <c r="P51">
        <f>SMALL('SimData 2'!$H$9:$H$108,48)</f>
        <v>55.498868729885601</v>
      </c>
      <c r="Q51">
        <f>1/(COUNT('SimData 2'!$H$9:$H$108)-1)+$Q$50</f>
        <v>0.47474747474747503</v>
      </c>
      <c r="S51">
        <v>40</v>
      </c>
      <c r="T51" s="4">
        <f t="shared" si="6"/>
        <v>10.886661248213972</v>
      </c>
      <c r="U51" s="4">
        <f>_xll.PDENSITY($T$51,'SimData 2'!$H$9:$H$108,$T$6,$T$7,0)</f>
        <v>2.3031245876644355E-3</v>
      </c>
    </row>
    <row r="52" spans="1:21" x14ac:dyDescent="0.2">
      <c r="A52">
        <v>44</v>
      </c>
      <c r="B52">
        <v>7.4792004196549424</v>
      </c>
      <c r="C52">
        <v>63.407851865140977</v>
      </c>
      <c r="D52">
        <v>400.44711119084587</v>
      </c>
      <c r="E52">
        <v>100</v>
      </c>
      <c r="F52">
        <v>474.24003227918081</v>
      </c>
      <c r="G52">
        <v>500.44711119084587</v>
      </c>
      <c r="H52">
        <v>-26.207078911665064</v>
      </c>
      <c r="P52">
        <f>SMALL('SimData 2'!$H$9:$H$108,49)</f>
        <v>56.670290815640385</v>
      </c>
      <c r="Q52">
        <f>1/(COUNT('SimData 2'!$H$9:$H$108)-1)+$Q$51</f>
        <v>0.48484848484848514</v>
      </c>
      <c r="S52">
        <v>41</v>
      </c>
      <c r="T52" s="4">
        <f t="shared" si="6"/>
        <v>19.848844780801919</v>
      </c>
      <c r="U52" s="4">
        <f>_xll.PDENSITY($T$52,'SimData 2'!$H$9:$H$108,$T$6,$T$7,0)</f>
        <v>2.3304547140527241E-3</v>
      </c>
    </row>
    <row r="53" spans="1:21" x14ac:dyDescent="0.2">
      <c r="A53">
        <v>45</v>
      </c>
      <c r="B53">
        <v>7.4411282001667107</v>
      </c>
      <c r="C53">
        <v>62.851030186810497</v>
      </c>
      <c r="D53">
        <v>397.10618112086297</v>
      </c>
      <c r="E53">
        <v>100</v>
      </c>
      <c r="F53">
        <v>467.68257313260483</v>
      </c>
      <c r="G53">
        <v>497.10618112086297</v>
      </c>
      <c r="H53">
        <v>-29.423607988258141</v>
      </c>
      <c r="P53">
        <f>SMALL('SimData 2'!$H$9:$H$108,50)</f>
        <v>58.054446307621618</v>
      </c>
      <c r="Q53">
        <f>1/(COUNT('SimData 2'!$H$9:$H$108)-1)+$Q$52</f>
        <v>0.49494949494949525</v>
      </c>
      <c r="S53">
        <v>42</v>
      </c>
      <c r="T53" s="4">
        <f t="shared" si="6"/>
        <v>28.811028313389865</v>
      </c>
      <c r="U53" s="4">
        <f>_xll.PDENSITY($T$53,'SimData 2'!$H$9:$H$108,$T$6,$T$7,0)</f>
        <v>2.3468196014596989E-3</v>
      </c>
    </row>
    <row r="54" spans="1:21" x14ac:dyDescent="0.2">
      <c r="A54">
        <v>46</v>
      </c>
      <c r="B54">
        <v>8.5072851766303597</v>
      </c>
      <c r="C54">
        <v>63.788774288922447</v>
      </c>
      <c r="D54">
        <v>402.7326457335347</v>
      </c>
      <c r="E54">
        <v>100</v>
      </c>
      <c r="F54">
        <v>542.66929394356976</v>
      </c>
      <c r="G54">
        <v>502.7326457335347</v>
      </c>
      <c r="H54">
        <v>39.936648210035059</v>
      </c>
      <c r="P54">
        <f>SMALL('SimData 2'!$H$9:$H$108,51)</f>
        <v>59.219771755478803</v>
      </c>
      <c r="Q54">
        <f>1/(COUNT('SimData 2'!$H$9:$H$108)-1)+$Q$53</f>
        <v>0.50505050505050531</v>
      </c>
      <c r="S54">
        <v>43</v>
      </c>
      <c r="T54" s="4">
        <f t="shared" si="6"/>
        <v>37.773211845977812</v>
      </c>
      <c r="U54" s="4">
        <f>_xll.PDENSITY($T$54,'SimData 2'!$H$9:$H$108,$T$6,$T$7,0)</f>
        <v>2.3523541002819916E-3</v>
      </c>
    </row>
    <row r="55" spans="1:21" x14ac:dyDescent="0.2">
      <c r="A55">
        <v>47</v>
      </c>
      <c r="B55">
        <v>13.970347905771497</v>
      </c>
      <c r="C55">
        <v>56.244109886237403</v>
      </c>
      <c r="D55">
        <v>357.46465931742443</v>
      </c>
      <c r="E55">
        <v>100</v>
      </c>
      <c r="F55">
        <v>785.74978276117872</v>
      </c>
      <c r="G55">
        <v>457.46465931742443</v>
      </c>
      <c r="H55">
        <v>328.28512344375429</v>
      </c>
      <c r="P55">
        <f>SMALL('SimData 2'!$H$9:$H$108,52)</f>
        <v>68.770626718305607</v>
      </c>
      <c r="Q55">
        <f>1/(COUNT('SimData 2'!$H$9:$H$108)-1)+$Q$54</f>
        <v>0.51515151515151536</v>
      </c>
      <c r="S55">
        <v>44</v>
      </c>
      <c r="T55" s="4">
        <f t="shared" si="6"/>
        <v>46.735395378565755</v>
      </c>
      <c r="U55" s="4">
        <f>_xll.PDENSITY($T$55,'SimData 2'!$H$9:$H$108,$T$6,$T$7,0)</f>
        <v>2.3475638603720661E-3</v>
      </c>
    </row>
    <row r="56" spans="1:21" x14ac:dyDescent="0.2">
      <c r="A56">
        <v>48</v>
      </c>
      <c r="B56">
        <v>13.170331157774378</v>
      </c>
      <c r="C56">
        <v>48.930497139384684</v>
      </c>
      <c r="D56">
        <v>313.58298283630813</v>
      </c>
      <c r="E56">
        <v>100</v>
      </c>
      <c r="F56">
        <v>644.43085104022816</v>
      </c>
      <c r="G56">
        <v>413.58298283630813</v>
      </c>
      <c r="H56">
        <v>230.84786820392003</v>
      </c>
      <c r="P56">
        <f>SMALL('SimData 2'!$H$9:$H$108,53)</f>
        <v>75.595431839639787</v>
      </c>
      <c r="Q56">
        <f>1/(COUNT('SimData 2'!$H$9:$H$108)-1)+$Q$55</f>
        <v>0.52525252525252542</v>
      </c>
      <c r="S56">
        <v>45</v>
      </c>
      <c r="T56" s="4">
        <f t="shared" si="6"/>
        <v>55.697578911153698</v>
      </c>
      <c r="U56" s="4">
        <f>_xll.PDENSITY($T$56,'SimData 2'!$H$9:$H$108,$T$6,$T$7,0)</f>
        <v>2.3332881881945799E-3</v>
      </c>
    </row>
    <row r="57" spans="1:21" x14ac:dyDescent="0.2">
      <c r="A57">
        <v>49</v>
      </c>
      <c r="B57">
        <v>6.1735912564505657</v>
      </c>
      <c r="C57">
        <v>32.01128880522441</v>
      </c>
      <c r="D57">
        <v>212.06773283134646</v>
      </c>
      <c r="E57">
        <v>100</v>
      </c>
      <c r="F57">
        <v>197.62461267564728</v>
      </c>
      <c r="G57">
        <v>312.06773283134646</v>
      </c>
      <c r="H57">
        <v>-114.44312015569918</v>
      </c>
      <c r="P57">
        <f>SMALL('SimData 2'!$H$9:$H$108,54)</f>
        <v>75.92594485091206</v>
      </c>
      <c r="Q57">
        <f>1/(COUNT('SimData 2'!$H$9:$H$108)-1)+$Q$56</f>
        <v>0.53535353535353547</v>
      </c>
      <c r="S57">
        <v>46</v>
      </c>
      <c r="T57" s="4">
        <f t="shared" si="6"/>
        <v>64.659762443741641</v>
      </c>
      <c r="U57" s="4">
        <f>_xll.PDENSITY($T$57,'SimData 2'!$H$9:$H$108,$T$6,$T$7,0)</f>
        <v>2.3106361673803895E-3</v>
      </c>
    </row>
    <row r="58" spans="1:21" x14ac:dyDescent="0.2">
      <c r="A58">
        <v>50</v>
      </c>
      <c r="B58">
        <v>7.7216177608983259</v>
      </c>
      <c r="C58">
        <v>53.68783452290716</v>
      </c>
      <c r="D58">
        <v>342.12700713744294</v>
      </c>
      <c r="E58">
        <v>100</v>
      </c>
      <c r="F58">
        <v>414.55693659625024</v>
      </c>
      <c r="G58">
        <v>442.12700713744294</v>
      </c>
      <c r="H58">
        <v>-27.570070541192706</v>
      </c>
      <c r="P58">
        <f>SMALL('SimData 2'!$H$9:$H$108,55)</f>
        <v>85.822355820348946</v>
      </c>
      <c r="Q58">
        <f>1/(COUNT('SimData 2'!$H$9:$H$108)-1)+$Q$57</f>
        <v>0.54545454545454553</v>
      </c>
      <c r="S58">
        <v>47</v>
      </c>
      <c r="T58" s="4">
        <f t="shared" si="6"/>
        <v>73.621945976329584</v>
      </c>
      <c r="U58" s="4">
        <f>_xll.PDENSITY($T$58,'SimData 2'!$H$9:$H$108,$T$6,$T$7,0)</f>
        <v>2.2809023502108569E-3</v>
      </c>
    </row>
    <row r="59" spans="1:21" x14ac:dyDescent="0.2">
      <c r="A59">
        <v>51</v>
      </c>
      <c r="B59">
        <v>13.573227544535854</v>
      </c>
      <c r="C59">
        <v>53.027911491772052</v>
      </c>
      <c r="D59">
        <v>338.16746895063233</v>
      </c>
      <c r="E59">
        <v>100</v>
      </c>
      <c r="F59">
        <v>719.75990888932972</v>
      </c>
      <c r="G59">
        <v>438.16746895063233</v>
      </c>
      <c r="H59">
        <v>281.5924399386974</v>
      </c>
      <c r="P59">
        <f>SMALL('SimData 2'!$H$9:$H$108,56)</f>
        <v>91.876719669480565</v>
      </c>
      <c r="Q59">
        <f>1/(COUNT('SimData 2'!$H$9:$H$108)-1)+$Q$58</f>
        <v>0.55555555555555558</v>
      </c>
      <c r="S59">
        <v>48</v>
      </c>
      <c r="T59" s="4">
        <f t="shared" si="6"/>
        <v>82.584129508917528</v>
      </c>
      <c r="U59" s="4">
        <f>_xll.PDENSITY($T$59,'SimData 2'!$H$9:$H$108,$T$6,$T$7,0)</f>
        <v>2.2454705837202074E-3</v>
      </c>
    </row>
    <row r="60" spans="1:21" x14ac:dyDescent="0.2">
      <c r="A60">
        <v>52</v>
      </c>
      <c r="B60">
        <v>11.542416453386794</v>
      </c>
      <c r="C60">
        <v>56.351468568714715</v>
      </c>
      <c r="D60">
        <v>358.10881141228828</v>
      </c>
      <c r="E60">
        <v>100</v>
      </c>
      <c r="F60">
        <v>650.43211798004154</v>
      </c>
      <c r="G60">
        <v>458.10881141228828</v>
      </c>
      <c r="H60">
        <v>192.32330656775326</v>
      </c>
      <c r="P60">
        <f>SMALL('SimData 2'!$H$9:$H$108,57)</f>
        <v>97.725741897266573</v>
      </c>
      <c r="Q60">
        <f>1/(COUNT('SimData 2'!$H$9:$H$108)-1)+$Q$59</f>
        <v>0.56565656565656564</v>
      </c>
      <c r="S60">
        <v>49</v>
      </c>
      <c r="T60" s="4">
        <f t="shared" si="6"/>
        <v>91.546313041505471</v>
      </c>
      <c r="U60" s="4">
        <f>_xll.PDENSITY($T$60,'SimData 2'!$H$9:$H$108,$T$6,$T$7,0)</f>
        <v>2.205715766804645E-3</v>
      </c>
    </row>
    <row r="61" spans="1:21" x14ac:dyDescent="0.2">
      <c r="A61">
        <v>53</v>
      </c>
      <c r="B61">
        <v>11.619048438504086</v>
      </c>
      <c r="C61">
        <v>60.293298250437829</v>
      </c>
      <c r="D61">
        <v>381.75978950262697</v>
      </c>
      <c r="E61">
        <v>100</v>
      </c>
      <c r="F61">
        <v>700.55075288901082</v>
      </c>
      <c r="G61">
        <v>481.75978950262697</v>
      </c>
      <c r="H61">
        <v>218.79096338638385</v>
      </c>
      <c r="P61">
        <f>SMALL('SimData 2'!$H$9:$H$108,58)</f>
        <v>99.001281705886242</v>
      </c>
      <c r="Q61">
        <f>1/(COUNT('SimData 2'!$H$9:$H$108)-1)+$Q$60</f>
        <v>0.57575757575757569</v>
      </c>
      <c r="S61">
        <v>50</v>
      </c>
      <c r="T61" s="4">
        <f t="shared" si="6"/>
        <v>100.50849657409341</v>
      </c>
      <c r="U61" s="4">
        <f>_xll.PDENSITY($T$61,'SimData 2'!$H$9:$H$108,$T$6,$T$7,0)</f>
        <v>2.1629133711625744E-3</v>
      </c>
    </row>
    <row r="62" spans="1:21" x14ac:dyDescent="0.2">
      <c r="A62">
        <v>54</v>
      </c>
      <c r="B62">
        <v>10.802458515517987</v>
      </c>
      <c r="C62">
        <v>42.857706142652475</v>
      </c>
      <c r="D62">
        <v>277.14623685591482</v>
      </c>
      <c r="E62">
        <v>100</v>
      </c>
      <c r="F62">
        <v>462.96859267626377</v>
      </c>
      <c r="G62">
        <v>377.14623685591482</v>
      </c>
      <c r="H62">
        <v>85.822355820348946</v>
      </c>
      <c r="P62">
        <f>SMALL('SimData 2'!$H$9:$H$108,59)</f>
        <v>104.35572317674144</v>
      </c>
      <c r="Q62">
        <f>1/(COUNT('SimData 2'!$H$9:$H$108)-1)+$Q$61</f>
        <v>0.58585858585858575</v>
      </c>
      <c r="S62">
        <v>51</v>
      </c>
      <c r="T62" s="4">
        <f t="shared" si="6"/>
        <v>109.47068010668136</v>
      </c>
      <c r="U62" s="4">
        <f>_xll.PDENSITY($T$62,'SimData 2'!$H$9:$H$108,$T$6,$T$7,0)</f>
        <v>2.1181653842270989E-3</v>
      </c>
    </row>
    <row r="63" spans="1:21" x14ac:dyDescent="0.2">
      <c r="A63">
        <v>55</v>
      </c>
      <c r="B63">
        <v>10.907463509170858</v>
      </c>
      <c r="C63">
        <v>49.243563353748328</v>
      </c>
      <c r="D63">
        <v>315.46138012248997</v>
      </c>
      <c r="E63">
        <v>100</v>
      </c>
      <c r="F63">
        <v>537.12237034255327</v>
      </c>
      <c r="G63">
        <v>415.46138012248997</v>
      </c>
      <c r="H63">
        <v>121.6609902200633</v>
      </c>
      <c r="P63">
        <f>SMALL('SimData 2'!$H$9:$H$108,60)</f>
        <v>113.65665771320101</v>
      </c>
      <c r="Q63">
        <f>1/(COUNT('SimData 2'!$H$9:$H$108)-1)+$Q$62</f>
        <v>0.5959595959595958</v>
      </c>
      <c r="S63">
        <v>52</v>
      </c>
      <c r="T63" s="4">
        <f t="shared" si="6"/>
        <v>118.4328636392693</v>
      </c>
      <c r="U63" s="4">
        <f>_xll.PDENSITY($T$63,'SimData 2'!$H$9:$H$108,$T$6,$T$7,0)</f>
        <v>2.0723490999614738E-3</v>
      </c>
    </row>
    <row r="64" spans="1:21" x14ac:dyDescent="0.2">
      <c r="A64">
        <v>56</v>
      </c>
      <c r="B64">
        <v>6.5013242255193013</v>
      </c>
      <c r="C64">
        <v>38.782159248636447</v>
      </c>
      <c r="D64">
        <v>252.69295549181868</v>
      </c>
      <c r="E64">
        <v>100</v>
      </c>
      <c r="F64">
        <v>252.13539144110754</v>
      </c>
      <c r="G64">
        <v>352.69295549181868</v>
      </c>
      <c r="H64">
        <v>-100.55756405071114</v>
      </c>
      <c r="P64">
        <f>SMALL('SimData 2'!$H$9:$H$108,61)</f>
        <v>114.3029436504728</v>
      </c>
      <c r="Q64">
        <f>1/(COUNT('SimData 2'!$H$9:$H$108)-1)+$Q$63</f>
        <v>0.60606060606060586</v>
      </c>
      <c r="S64">
        <v>53</v>
      </c>
      <c r="T64" s="4">
        <f t="shared" si="6"/>
        <v>127.39504717185724</v>
      </c>
      <c r="U64" s="4">
        <f>_xll.PDENSITY($T$64,'SimData 2'!$H$9:$H$108,$T$6,$T$7,0)</f>
        <v>2.0260922002076961E-3</v>
      </c>
    </row>
    <row r="65" spans="1:21" x14ac:dyDescent="0.2">
      <c r="A65">
        <v>57</v>
      </c>
      <c r="B65">
        <v>14.651045549352133</v>
      </c>
      <c r="C65">
        <v>59.357138466878837</v>
      </c>
      <c r="D65">
        <v>376.14283080127302</v>
      </c>
      <c r="E65">
        <v>100</v>
      </c>
      <c r="F65">
        <v>869.64413935744346</v>
      </c>
      <c r="G65">
        <v>476.14283080127302</v>
      </c>
      <c r="H65">
        <v>393.50130855617044</v>
      </c>
      <c r="P65">
        <f>SMALL('SimData 2'!$H$9:$H$108,62)</f>
        <v>121.6609902200633</v>
      </c>
      <c r="Q65">
        <f>1/(COUNT('SimData 2'!$H$9:$H$108)-1)+$Q$64</f>
        <v>0.61616161616161591</v>
      </c>
      <c r="S65">
        <v>54</v>
      </c>
      <c r="T65" s="4">
        <f t="shared" si="6"/>
        <v>136.35723070444519</v>
      </c>
      <c r="U65" s="4">
        <f>_xll.PDENSITY($T$65,'SimData 2'!$H$9:$H$108,$T$6,$T$7,0)</f>
        <v>1.9797742544792503E-3</v>
      </c>
    </row>
    <row r="66" spans="1:21" x14ac:dyDescent="0.2">
      <c r="A66">
        <v>58</v>
      </c>
      <c r="B66">
        <v>6.8989687920548022</v>
      </c>
      <c r="C66">
        <v>28.163256570154388</v>
      </c>
      <c r="D66">
        <v>188.97953942092633</v>
      </c>
      <c r="E66">
        <v>100</v>
      </c>
      <c r="F66">
        <v>194.29742816012748</v>
      </c>
      <c r="G66">
        <v>288.97953942092636</v>
      </c>
      <c r="H66">
        <v>-94.682111260798877</v>
      </c>
      <c r="P66">
        <f>SMALL('SimData 2'!$H$9:$H$108,63)</f>
        <v>127.24052134055023</v>
      </c>
      <c r="Q66">
        <f>1/(COUNT('SimData 2'!$H$9:$H$108)-1)+$Q$65</f>
        <v>0.62626262626262597</v>
      </c>
      <c r="S66">
        <v>55</v>
      </c>
      <c r="T66" s="4">
        <f t="shared" si="6"/>
        <v>145.31941423703313</v>
      </c>
      <c r="U66" s="4">
        <f>_xll.PDENSITY($T$66,'SimData 2'!$H$9:$H$108,$T$6,$T$7,0)</f>
        <v>1.9335515897572419E-3</v>
      </c>
    </row>
    <row r="67" spans="1:21" x14ac:dyDescent="0.2">
      <c r="A67">
        <v>59</v>
      </c>
      <c r="B67">
        <v>8.9821936693026405</v>
      </c>
      <c r="C67">
        <v>42.395974156264913</v>
      </c>
      <c r="D67">
        <v>274.37584493758948</v>
      </c>
      <c r="E67">
        <v>100</v>
      </c>
      <c r="F67">
        <v>380.80885067032108</v>
      </c>
      <c r="G67">
        <v>374.37584493758948</v>
      </c>
      <c r="H67">
        <v>6.4330057327316013</v>
      </c>
      <c r="P67">
        <f>SMALL('SimData 2'!$H$9:$H$108,64)</f>
        <v>137.26565877527059</v>
      </c>
      <c r="Q67">
        <f>1/(COUNT('SimData 2'!$H$9:$H$108)-1)+$Q$66</f>
        <v>0.63636363636363602</v>
      </c>
      <c r="S67">
        <v>56</v>
      </c>
      <c r="T67" s="4">
        <f t="shared" si="6"/>
        <v>154.28159776962107</v>
      </c>
      <c r="U67" s="4">
        <f>_xll.PDENSITY($T$67,'SimData 2'!$H$9:$H$108,$T$6,$T$7,0)</f>
        <v>1.8873998915671702E-3</v>
      </c>
    </row>
    <row r="68" spans="1:21" x14ac:dyDescent="0.2">
      <c r="A68">
        <v>60</v>
      </c>
      <c r="B68">
        <v>11.767891762840064</v>
      </c>
      <c r="C68">
        <v>64.827320592289865</v>
      </c>
      <c r="D68">
        <v>408.96392355373916</v>
      </c>
      <c r="E68">
        <v>100</v>
      </c>
      <c r="F68">
        <v>762.88089200499996</v>
      </c>
      <c r="G68">
        <v>508.96392355373916</v>
      </c>
      <c r="H68">
        <v>253.9169684512608</v>
      </c>
      <c r="P68">
        <f>SMALL('SimData 2'!$H$9:$H$108,65)</f>
        <v>137.33769429092575</v>
      </c>
      <c r="Q68">
        <f>1/(COUNT('SimData 2'!$H$9:$H$108)-1)+$Q$67</f>
        <v>0.64646464646464608</v>
      </c>
      <c r="S68">
        <v>57</v>
      </c>
      <c r="T68" s="4">
        <f t="shared" si="6"/>
        <v>163.24378130220902</v>
      </c>
      <c r="U68" s="4">
        <f>_xll.PDENSITY($T$68,'SimData 2'!$H$9:$H$108,$T$6,$T$7,0)</f>
        <v>1.841167246095667E-3</v>
      </c>
    </row>
    <row r="69" spans="1:21" x14ac:dyDescent="0.2">
      <c r="A69">
        <v>61</v>
      </c>
      <c r="B69">
        <v>12.819605226357323</v>
      </c>
      <c r="C69">
        <v>37.724421023808802</v>
      </c>
      <c r="D69">
        <v>246.34652614285281</v>
      </c>
      <c r="E69">
        <v>100</v>
      </c>
      <c r="F69">
        <v>483.61218491812338</v>
      </c>
      <c r="G69">
        <v>346.34652614285278</v>
      </c>
      <c r="H69">
        <v>137.26565877527059</v>
      </c>
      <c r="P69">
        <f>SMALL('SimData 2'!$H$9:$H$108,66)</f>
        <v>146.58709429701935</v>
      </c>
      <c r="Q69">
        <f>1/(COUNT('SimData 2'!$H$9:$H$108)-1)+$Q$68</f>
        <v>0.65656565656565613</v>
      </c>
      <c r="S69">
        <v>58</v>
      </c>
      <c r="T69" s="4">
        <f t="shared" si="6"/>
        <v>172.20596483479696</v>
      </c>
      <c r="U69" s="4">
        <f>_xll.PDENSITY($T$69,'SimData 2'!$H$9:$H$108,$T$6,$T$7,0)</f>
        <v>1.7946298200870866E-3</v>
      </c>
    </row>
    <row r="70" spans="1:21" x14ac:dyDescent="0.2">
      <c r="A70">
        <v>62</v>
      </c>
      <c r="B70">
        <v>7.6003925550069429</v>
      </c>
      <c r="C70">
        <v>53.426891418724566</v>
      </c>
      <c r="D70">
        <v>340.56134851234742</v>
      </c>
      <c r="E70">
        <v>100</v>
      </c>
      <c r="F70">
        <v>406.06534777603849</v>
      </c>
      <c r="G70">
        <v>440.56134851234742</v>
      </c>
      <c r="H70">
        <v>-34.496000736308929</v>
      </c>
      <c r="P70">
        <f>SMALL('SimData 2'!$H$9:$H$108,67)</f>
        <v>155.64602958959279</v>
      </c>
      <c r="Q70">
        <f>1/(COUNT('SimData 2'!$H$9:$H$108)-1)+$Q$69</f>
        <v>0.66666666666666619</v>
      </c>
      <c r="S70">
        <v>59</v>
      </c>
      <c r="T70" s="4">
        <f t="shared" si="6"/>
        <v>181.1681483673849</v>
      </c>
      <c r="U70" s="4">
        <f>_xll.PDENSITY($T$70,'SimData 2'!$H$9:$H$108,$T$6,$T$7,0)</f>
        <v>1.7475430149125292E-3</v>
      </c>
    </row>
    <row r="71" spans="1:21" x14ac:dyDescent="0.2">
      <c r="A71">
        <v>63</v>
      </c>
      <c r="B71">
        <v>11.920228364822394</v>
      </c>
      <c r="C71">
        <v>66.461634827534326</v>
      </c>
      <c r="D71">
        <v>418.76980896520593</v>
      </c>
      <c r="E71">
        <v>100</v>
      </c>
      <c r="F71">
        <v>792.23786464364264</v>
      </c>
      <c r="G71">
        <v>518.76980896520593</v>
      </c>
      <c r="H71">
        <v>273.46805567843671</v>
      </c>
      <c r="P71">
        <f>SMALL('SimData 2'!$H$9:$H$108,68)</f>
        <v>158.38591442524432</v>
      </c>
      <c r="Q71">
        <f>1/(COUNT('SimData 2'!$H$9:$H$108)-1)+$Q$70</f>
        <v>0.67676767676767624</v>
      </c>
      <c r="S71">
        <v>60</v>
      </c>
      <c r="T71" s="4">
        <f t="shared" si="6"/>
        <v>190.13033189997284</v>
      </c>
      <c r="U71" s="4">
        <f>_xll.PDENSITY($T$71,'SimData 2'!$H$9:$H$108,$T$6,$T$7,0)</f>
        <v>1.6996825518944877E-3</v>
      </c>
    </row>
    <row r="72" spans="1:21" x14ac:dyDescent="0.2">
      <c r="A72">
        <v>64</v>
      </c>
      <c r="B72">
        <v>8.7425545948661849</v>
      </c>
      <c r="C72">
        <v>54.877575118707227</v>
      </c>
      <c r="D72">
        <v>349.26545071224336</v>
      </c>
      <c r="E72">
        <v>100</v>
      </c>
      <c r="F72">
        <v>479.7701965091681</v>
      </c>
      <c r="G72">
        <v>449.26545071224336</v>
      </c>
      <c r="H72">
        <v>30.504745796924738</v>
      </c>
      <c r="P72">
        <f>SMALL('SimData 2'!$H$9:$H$108,69)</f>
        <v>160.49839741302958</v>
      </c>
      <c r="Q72">
        <f>1/(COUNT('SimData 2'!$H$9:$H$108)-1)+$Q$71</f>
        <v>0.6868686868686863</v>
      </c>
      <c r="S72">
        <v>61</v>
      </c>
      <c r="T72" s="4">
        <f t="shared" si="6"/>
        <v>199.09251543256079</v>
      </c>
      <c r="U72" s="4">
        <f>_xll.PDENSITY($T$72,'SimData 2'!$H$9:$H$108,$T$6,$T$7,0)</f>
        <v>1.6508722230494884E-3</v>
      </c>
    </row>
    <row r="73" spans="1:21" x14ac:dyDescent="0.2">
      <c r="A73">
        <v>65</v>
      </c>
      <c r="B73">
        <v>7.989559215670468</v>
      </c>
      <c r="C73">
        <v>56.809749944900737</v>
      </c>
      <c r="D73">
        <v>360.85849966940441</v>
      </c>
      <c r="E73">
        <v>100</v>
      </c>
      <c r="F73">
        <v>453.88486121221655</v>
      </c>
      <c r="G73">
        <v>460.85849966940441</v>
      </c>
      <c r="H73">
        <v>-6.9736384571878602</v>
      </c>
      <c r="P73">
        <f>SMALL('SimData 2'!$H$9:$H$108,70)</f>
        <v>161.96431047447197</v>
      </c>
      <c r="Q73">
        <f>1/(COUNT('SimData 2'!$H$9:$H$108)-1)+$Q$72</f>
        <v>0.69696969696969635</v>
      </c>
      <c r="S73">
        <v>62</v>
      </c>
      <c r="T73" s="4">
        <f t="shared" si="6"/>
        <v>208.05469896514873</v>
      </c>
      <c r="U73" s="4">
        <f>_xll.PDENSITY($T$73,'SimData 2'!$H$9:$H$108,$T$6,$T$7,0)</f>
        <v>1.6009975573106543E-3</v>
      </c>
    </row>
    <row r="74" spans="1:21" x14ac:dyDescent="0.2">
      <c r="A74">
        <v>66</v>
      </c>
      <c r="B74">
        <v>9.0853511211731437</v>
      </c>
      <c r="C74">
        <v>40.282546782649547</v>
      </c>
      <c r="D74">
        <v>261.69528069589728</v>
      </c>
      <c r="E74">
        <v>100</v>
      </c>
      <c r="F74">
        <v>365.98108157545465</v>
      </c>
      <c r="G74">
        <v>361.69528069589728</v>
      </c>
      <c r="H74">
        <v>4.285800879557371</v>
      </c>
      <c r="P74">
        <f>SMALL('SimData 2'!$H$9:$H$108,71)</f>
        <v>165.37171602948928</v>
      </c>
      <c r="Q74">
        <f>1/(COUNT('SimData 2'!$H$9:$H$108)-1)+$Q$73</f>
        <v>0.70707070707070641</v>
      </c>
      <c r="S74">
        <v>63</v>
      </c>
      <c r="T74" s="4">
        <f t="shared" si="6"/>
        <v>217.01688249773667</v>
      </c>
      <c r="U74" s="4">
        <f>_xll.PDENSITY($T$74,'SimData 2'!$H$9:$H$108,$T$6,$T$7,0)</f>
        <v>1.5500069727286227E-3</v>
      </c>
    </row>
    <row r="75" spans="1:21" x14ac:dyDescent="0.2">
      <c r="A75">
        <v>67</v>
      </c>
      <c r="B75">
        <v>4.2296316620611005</v>
      </c>
      <c r="C75">
        <v>67.933170656770358</v>
      </c>
      <c r="D75">
        <v>427.59902394062215</v>
      </c>
      <c r="E75">
        <v>100</v>
      </c>
      <c r="F75">
        <v>287.33228951407597</v>
      </c>
      <c r="G75">
        <v>527.59902394062215</v>
      </c>
      <c r="H75">
        <v>-240.26673442654618</v>
      </c>
      <c r="P75">
        <f>SMALL('SimData 2'!$H$9:$H$108,72)</f>
        <v>173.44294342276709</v>
      </c>
      <c r="Q75">
        <f>1/(COUNT('SimData 2'!$H$9:$H$108)-1)+$Q$74</f>
        <v>0.71717171717171646</v>
      </c>
      <c r="S75">
        <v>64</v>
      </c>
      <c r="T75" s="4">
        <f t="shared" si="6"/>
        <v>225.97906603032462</v>
      </c>
      <c r="U75" s="4">
        <f>_xll.PDENSITY($T$75,'SimData 2'!$H$9:$H$108,$T$6,$T$7,0)</f>
        <v>1.4979037369409691E-3</v>
      </c>
    </row>
    <row r="76" spans="1:21" x14ac:dyDescent="0.2">
      <c r="A76">
        <v>68</v>
      </c>
      <c r="B76">
        <v>6.4023239078445293</v>
      </c>
      <c r="C76">
        <v>26.310464117454075</v>
      </c>
      <c r="D76">
        <v>177.86278470472445</v>
      </c>
      <c r="E76">
        <v>100</v>
      </c>
      <c r="F76">
        <v>168.44811344566185</v>
      </c>
      <c r="G76">
        <v>277.86278470472445</v>
      </c>
      <c r="H76">
        <v>-109.4146712590626</v>
      </c>
      <c r="P76">
        <f>SMALL('SimData 2'!$H$9:$H$108,73)</f>
        <v>177.63990779949336</v>
      </c>
      <c r="Q76">
        <f>1/(COUNT('SimData 2'!$H$9:$H$108)-1)+$Q$75</f>
        <v>0.72727272727272652</v>
      </c>
      <c r="S76">
        <v>65</v>
      </c>
      <c r="T76" s="4">
        <f t="shared" si="6"/>
        <v>234.94124956291256</v>
      </c>
      <c r="U76" s="4">
        <f>_xll.PDENSITY($T$76,'SimData 2'!$H$9:$H$108,$T$6,$T$7,0)</f>
        <v>1.4447329938157359E-3</v>
      </c>
    </row>
    <row r="77" spans="1:21" x14ac:dyDescent="0.2">
      <c r="A77">
        <v>69</v>
      </c>
      <c r="B77">
        <v>5.9072242192972135</v>
      </c>
      <c r="C77">
        <v>64.316387956784226</v>
      </c>
      <c r="D77">
        <v>405.89832774070533</v>
      </c>
      <c r="E77">
        <v>100</v>
      </c>
      <c r="F77">
        <v>379.93132463603138</v>
      </c>
      <c r="G77">
        <v>505.89832774070533</v>
      </c>
      <c r="H77">
        <v>-125.96700310467395</v>
      </c>
      <c r="P77">
        <f>SMALL('SimData 2'!$H$9:$H$108,74)</f>
        <v>184.97277582470389</v>
      </c>
      <c r="Q77">
        <f>1/(COUNT('SimData 2'!$H$9:$H$108)-1)+$Q$76</f>
        <v>0.73737373737373657</v>
      </c>
      <c r="S77">
        <v>66</v>
      </c>
      <c r="T77" s="4">
        <f t="shared" ref="T77:T111" si="7">1/99*($T$5-$T$4)+T76</f>
        <v>243.9034330955005</v>
      </c>
      <c r="U77" s="4">
        <f>_xll.PDENSITY($T$77,'SimData 2'!$H$9:$H$108,$T$6,$T$7,0)</f>
        <v>1.3905681507601875E-3</v>
      </c>
    </row>
    <row r="78" spans="1:21" x14ac:dyDescent="0.2">
      <c r="A78">
        <v>70</v>
      </c>
      <c r="B78">
        <v>8.6640305481239093</v>
      </c>
      <c r="C78">
        <v>61.656326218760498</v>
      </c>
      <c r="D78">
        <v>389.93795731256296</v>
      </c>
      <c r="E78">
        <v>100</v>
      </c>
      <c r="F78">
        <v>534.19229384443406</v>
      </c>
      <c r="G78">
        <v>489.93795731256296</v>
      </c>
      <c r="H78">
        <v>44.254336531871104</v>
      </c>
      <c r="P78">
        <f>SMALL('SimData 2'!$H$9:$H$108,75)</f>
        <v>192.32330656775326</v>
      </c>
      <c r="Q78">
        <f>1/(COUNT('SimData 2'!$H$9:$H$108)-1)+$Q$77</f>
        <v>0.74747474747474663</v>
      </c>
      <c r="S78">
        <v>67</v>
      </c>
      <c r="T78" s="4">
        <f t="shared" si="7"/>
        <v>252.86561662808845</v>
      </c>
      <c r="U78" s="4">
        <f>_xll.PDENSITY($T$78,'SimData 2'!$H$9:$H$108,$T$6,$T$7,0)</f>
        <v>1.335500146994647E-3</v>
      </c>
    </row>
    <row r="79" spans="1:21" x14ac:dyDescent="0.2">
      <c r="A79">
        <v>71</v>
      </c>
      <c r="B79">
        <v>12.124051401140129</v>
      </c>
      <c r="C79">
        <v>62.100916538623338</v>
      </c>
      <c r="D79">
        <v>392.60549923174005</v>
      </c>
      <c r="E79">
        <v>100</v>
      </c>
      <c r="F79">
        <v>752.9147041721825</v>
      </c>
      <c r="G79">
        <v>492.60549923174005</v>
      </c>
      <c r="H79">
        <v>260.30920494044244</v>
      </c>
      <c r="P79">
        <f>SMALL('SimData 2'!$H$9:$H$108,76)</f>
        <v>193.06674371872583</v>
      </c>
      <c r="Q79">
        <f>1/(COUNT('SimData 2'!$H$9:$H$108)-1)+$Q$78</f>
        <v>0.75757575757575668</v>
      </c>
      <c r="S79">
        <v>68</v>
      </c>
      <c r="T79" s="4">
        <f t="shared" si="7"/>
        <v>261.82780016067642</v>
      </c>
      <c r="U79" s="4">
        <f>_xll.PDENSITY($T$79,'SimData 2'!$H$9:$H$108,$T$6,$T$7,0)</f>
        <v>1.2796317708446111E-3</v>
      </c>
    </row>
    <row r="80" spans="1:21" x14ac:dyDescent="0.2">
      <c r="A80">
        <v>72</v>
      </c>
      <c r="B80">
        <v>7.023354199594678</v>
      </c>
      <c r="C80">
        <v>50.484263168883992</v>
      </c>
      <c r="D80">
        <v>322.90557901330396</v>
      </c>
      <c r="E80">
        <v>100</v>
      </c>
      <c r="F80">
        <v>354.5688617406243</v>
      </c>
      <c r="G80">
        <v>422.90557901330396</v>
      </c>
      <c r="H80">
        <v>-68.336717272679664</v>
      </c>
      <c r="P80">
        <f>SMALL('SimData 2'!$H$9:$H$108,77)</f>
        <v>196.48192752798423</v>
      </c>
      <c r="Q80">
        <f>1/(COUNT('SimData 2'!$H$9:$H$108)-1)+$Q$79</f>
        <v>0.76767676767676674</v>
      </c>
      <c r="S80">
        <v>69</v>
      </c>
      <c r="T80" s="4">
        <f t="shared" si="7"/>
        <v>270.78998369326439</v>
      </c>
      <c r="U80" s="4">
        <f>_xll.PDENSITY($T$80,'SimData 2'!$H$9:$H$108,$T$6,$T$7,0)</f>
        <v>1.2230775875162721E-3</v>
      </c>
    </row>
    <row r="81" spans="1:21" x14ac:dyDescent="0.2">
      <c r="A81">
        <v>73</v>
      </c>
      <c r="B81">
        <v>8.8037334129532301</v>
      </c>
      <c r="C81">
        <v>59.873215889910824</v>
      </c>
      <c r="D81">
        <v>379.23929533946495</v>
      </c>
      <c r="E81">
        <v>100</v>
      </c>
      <c r="F81">
        <v>527.10783127097022</v>
      </c>
      <c r="G81">
        <v>479.23929533946495</v>
      </c>
      <c r="H81">
        <v>47.868535931505278</v>
      </c>
      <c r="P81">
        <f>SMALL('SimData 2'!$H$9:$H$108,78)</f>
        <v>199.36538028500991</v>
      </c>
      <c r="Q81">
        <f>1/(COUNT('SimData 2'!$H$9:$H$108)-1)+$Q$80</f>
        <v>0.77777777777777679</v>
      </c>
      <c r="S81">
        <v>70</v>
      </c>
      <c r="T81" s="4">
        <f t="shared" si="7"/>
        <v>279.75216722585236</v>
      </c>
      <c r="U81" s="4">
        <f>_xll.PDENSITY($T$81,'SimData 2'!$H$9:$H$108,$T$6,$T$7,0)</f>
        <v>1.1659685238331642E-3</v>
      </c>
    </row>
    <row r="82" spans="1:21" x14ac:dyDescent="0.2">
      <c r="A82">
        <v>74</v>
      </c>
      <c r="B82">
        <v>2.4343532518243594</v>
      </c>
      <c r="C82">
        <v>61.318047457893073</v>
      </c>
      <c r="D82">
        <v>387.90828474735844</v>
      </c>
      <c r="E82">
        <v>100</v>
      </c>
      <c r="F82">
        <v>149.26978822464238</v>
      </c>
      <c r="G82">
        <v>487.90828474735844</v>
      </c>
      <c r="H82">
        <v>-338.63849652271608</v>
      </c>
      <c r="P82">
        <f>SMALL('SimData 2'!$H$9:$H$108,79)</f>
        <v>212.34044749823312</v>
      </c>
      <c r="Q82">
        <f>1/(COUNT('SimData 2'!$H$9:$H$108)-1)+$Q$81</f>
        <v>0.78787878787878685</v>
      </c>
      <c r="S82">
        <v>71</v>
      </c>
      <c r="T82" s="4">
        <f t="shared" si="7"/>
        <v>288.71435075844033</v>
      </c>
      <c r="U82" s="4">
        <f>_xll.PDENSITY($T$82,'SimData 2'!$H$9:$H$108,$T$6,$T$7,0)</f>
        <v>1.108459031540896E-3</v>
      </c>
    </row>
    <row r="83" spans="1:21" x14ac:dyDescent="0.2">
      <c r="A83">
        <v>75</v>
      </c>
      <c r="B83">
        <v>9.177995971827146</v>
      </c>
      <c r="C83">
        <v>34.258736457863137</v>
      </c>
      <c r="D83">
        <v>225.55241874717882</v>
      </c>
      <c r="E83">
        <v>100</v>
      </c>
      <c r="F83">
        <v>314.42654521015567</v>
      </c>
      <c r="G83">
        <v>325.55241874717882</v>
      </c>
      <c r="H83">
        <v>-11.125873537023153</v>
      </c>
      <c r="P83">
        <f>SMALL('SimData 2'!$H$9:$H$108,80)</f>
        <v>218.79096338638385</v>
      </c>
      <c r="Q83">
        <f>1/(COUNT('SimData 2'!$H$9:$H$108)-1)+$Q$82</f>
        <v>0.7979797979797969</v>
      </c>
      <c r="S83">
        <v>72</v>
      </c>
      <c r="T83" s="4">
        <f t="shared" si="7"/>
        <v>297.6765342910283</v>
      </c>
      <c r="U83" s="4">
        <f>_xll.PDENSITY($T$83,'SimData 2'!$H$9:$H$108,$T$6,$T$7,0)</f>
        <v>1.0507342107421286E-3</v>
      </c>
    </row>
    <row r="84" spans="1:21" x14ac:dyDescent="0.2">
      <c r="A84">
        <v>76</v>
      </c>
      <c r="B84">
        <v>4.8558422786280984</v>
      </c>
      <c r="C84">
        <v>43.768288613996077</v>
      </c>
      <c r="D84">
        <v>282.60973168397646</v>
      </c>
      <c r="E84">
        <v>100</v>
      </c>
      <c r="F84">
        <v>212.53190631503895</v>
      </c>
      <c r="G84">
        <v>382.60973168397646</v>
      </c>
      <c r="H84">
        <v>-170.07782536893751</v>
      </c>
      <c r="P84">
        <f>SMALL('SimData 2'!$H$9:$H$108,81)</f>
        <v>222.12745440391859</v>
      </c>
      <c r="Q84">
        <f>1/(COUNT('SimData 2'!$H$9:$H$108)-1)+$Q$83</f>
        <v>0.80808080808080696</v>
      </c>
      <c r="S84">
        <v>73</v>
      </c>
      <c r="T84" s="4">
        <f t="shared" si="7"/>
        <v>306.63871782361628</v>
      </c>
      <c r="U84" s="4">
        <f>_xll.PDENSITY($T$84,'SimData 2'!$H$9:$H$108,$T$6,$T$7,0)</f>
        <v>9.9301437856125609E-4</v>
      </c>
    </row>
    <row r="85" spans="1:21" x14ac:dyDescent="0.2">
      <c r="A85">
        <v>77</v>
      </c>
      <c r="B85">
        <v>12.320604948727464</v>
      </c>
      <c r="C85">
        <v>63.291209658970722</v>
      </c>
      <c r="D85">
        <v>399.74725795382432</v>
      </c>
      <c r="E85">
        <v>100</v>
      </c>
      <c r="F85">
        <v>779.78599093526213</v>
      </c>
      <c r="G85">
        <v>499.74725795382432</v>
      </c>
      <c r="H85">
        <v>280.03873298143782</v>
      </c>
      <c r="P85">
        <f>SMALL('SimData 2'!$H$9:$H$108,82)</f>
        <v>230.84786820392003</v>
      </c>
      <c r="Q85">
        <f>1/(COUNT('SimData 2'!$H$9:$H$108)-1)+$Q$84</f>
        <v>0.81818181818181701</v>
      </c>
      <c r="S85">
        <v>74</v>
      </c>
      <c r="T85" s="4">
        <f t="shared" si="7"/>
        <v>315.60090135620425</v>
      </c>
      <c r="U85" s="4">
        <f>_xll.PDENSITY($T$85,'SimData 2'!$H$9:$H$108,$T$6,$T$7,0)</f>
        <v>9.3555523566577631E-4</v>
      </c>
    </row>
    <row r="86" spans="1:21" x14ac:dyDescent="0.2">
      <c r="A86">
        <v>78</v>
      </c>
      <c r="B86">
        <v>5.7108907809335374</v>
      </c>
      <c r="C86">
        <v>39.53893264543855</v>
      </c>
      <c r="D86">
        <v>257.23359587263133</v>
      </c>
      <c r="E86">
        <v>100</v>
      </c>
      <c r="F86">
        <v>225.80252593278709</v>
      </c>
      <c r="G86">
        <v>357.23359587263133</v>
      </c>
      <c r="H86">
        <v>-131.43106993984424</v>
      </c>
      <c r="P86">
        <f>SMALL('SimData 2'!$H$9:$H$108,83)</f>
        <v>240.21903939231072</v>
      </c>
      <c r="Q86">
        <f>1/(COUNT('SimData 2'!$H$9:$H$108)-1)+$Q$85</f>
        <v>0.82828282828282707</v>
      </c>
      <c r="S86">
        <v>75</v>
      </c>
      <c r="T86" s="4">
        <f t="shared" si="7"/>
        <v>324.56308488879222</v>
      </c>
      <c r="U86" s="4">
        <f>_xll.PDENSITY($T$86,'SimData 2'!$H$9:$H$108,$T$6,$T$7,0)</f>
        <v>8.7864282326686582E-4</v>
      </c>
    </row>
    <row r="87" spans="1:21" x14ac:dyDescent="0.2">
      <c r="A87">
        <v>79</v>
      </c>
      <c r="B87">
        <v>10.225011573307619</v>
      </c>
      <c r="C87">
        <v>51.532578815356118</v>
      </c>
      <c r="D87">
        <v>329.19547289213671</v>
      </c>
      <c r="E87">
        <v>100</v>
      </c>
      <c r="F87">
        <v>526.92121478940328</v>
      </c>
      <c r="G87">
        <v>429.19547289213671</v>
      </c>
      <c r="H87">
        <v>97.725741897266573</v>
      </c>
      <c r="P87">
        <f>SMALL('SimData 2'!$H$9:$H$108,84)</f>
        <v>253.9169684512608</v>
      </c>
      <c r="Q87">
        <f>1/(COUNT('SimData 2'!$H$9:$H$108)-1)+$Q$86</f>
        <v>0.83838383838383712</v>
      </c>
      <c r="S87">
        <v>76</v>
      </c>
      <c r="T87" s="4">
        <f t="shared" si="7"/>
        <v>333.52526842138019</v>
      </c>
      <c r="U87" s="4">
        <f>_xll.PDENSITY($T$87,'SimData 2'!$H$9:$H$108,$T$6,$T$7,0)</f>
        <v>8.2258362046265738E-4</v>
      </c>
    </row>
    <row r="88" spans="1:21" x14ac:dyDescent="0.2">
      <c r="A88">
        <v>80</v>
      </c>
      <c r="B88">
        <v>7.7990673603290155</v>
      </c>
      <c r="C88">
        <v>42.301615033553986</v>
      </c>
      <c r="D88">
        <v>273.80969020132392</v>
      </c>
      <c r="E88">
        <v>100</v>
      </c>
      <c r="F88">
        <v>329.91314509739408</v>
      </c>
      <c r="G88">
        <v>373.80969020132392</v>
      </c>
      <c r="H88">
        <v>-43.896545103929839</v>
      </c>
      <c r="P88">
        <f>SMALL('SimData 2'!$H$9:$H$108,85)</f>
        <v>260.30920494044244</v>
      </c>
      <c r="Q88">
        <f>1/(COUNT('SimData 2'!$H$9:$H$108)-1)+$Q$87</f>
        <v>0.84848484848484718</v>
      </c>
      <c r="S88">
        <v>77</v>
      </c>
      <c r="T88" s="4">
        <f t="shared" si="7"/>
        <v>342.48745195396816</v>
      </c>
      <c r="U88" s="4">
        <f>_xll.PDENSITY($T$88,'SimData 2'!$H$9:$H$108,$T$6,$T$7,0)</f>
        <v>7.6769114603134439E-4</v>
      </c>
    </row>
    <row r="89" spans="1:21" x14ac:dyDescent="0.2">
      <c r="A89">
        <v>81</v>
      </c>
      <c r="B89">
        <v>9.560158791219262</v>
      </c>
      <c r="C89">
        <v>44.521561970113744</v>
      </c>
      <c r="D89">
        <v>287.12937182068248</v>
      </c>
      <c r="E89">
        <v>100</v>
      </c>
      <c r="F89">
        <v>425.6332020673961</v>
      </c>
      <c r="G89">
        <v>387.12937182068248</v>
      </c>
      <c r="H89">
        <v>38.503830246713619</v>
      </c>
      <c r="P89">
        <f>SMALL('SimData 2'!$H$9:$H$108,86)</f>
        <v>268.68088319295191</v>
      </c>
      <c r="Q89">
        <f>1/(COUNT('SimData 2'!$H$9:$H$108)-1)+$Q$88</f>
        <v>0.85858585858585723</v>
      </c>
      <c r="S89">
        <v>78</v>
      </c>
      <c r="T89" s="4">
        <f t="shared" si="7"/>
        <v>351.44963548655613</v>
      </c>
      <c r="U89" s="4">
        <f>_xll.PDENSITY($T$89,'SimData 2'!$H$9:$H$108,$T$6,$T$7,0)</f>
        <v>7.1427109077157054E-4</v>
      </c>
    </row>
    <row r="90" spans="1:21" x14ac:dyDescent="0.2">
      <c r="A90">
        <v>82</v>
      </c>
      <c r="B90">
        <v>9.9352830104216352</v>
      </c>
      <c r="C90">
        <v>35.515804550125807</v>
      </c>
      <c r="D90">
        <v>233.09482730075484</v>
      </c>
      <c r="E90">
        <v>100</v>
      </c>
      <c r="F90">
        <v>352.85956954832034</v>
      </c>
      <c r="G90">
        <v>333.09482730075484</v>
      </c>
      <c r="H90">
        <v>19.764742247565493</v>
      </c>
      <c r="P90">
        <f>SMALL('SimData 2'!$H$9:$H$108,87)</f>
        <v>273.46805567843671</v>
      </c>
      <c r="Q90">
        <f>1/(COUNT('SimData 2'!$H$9:$H$108)-1)+$Q$89</f>
        <v>0.86868686868686729</v>
      </c>
      <c r="S90">
        <v>79</v>
      </c>
      <c r="T90" s="4">
        <f t="shared" si="7"/>
        <v>360.4118190191441</v>
      </c>
      <c r="U90" s="4">
        <f>_xll.PDENSITY($T$90,'SimData 2'!$H$9:$H$108,$T$6,$T$7,0)</f>
        <v>6.6260719933060709E-4</v>
      </c>
    </row>
    <row r="91" spans="1:21" x14ac:dyDescent="0.2">
      <c r="A91">
        <v>83</v>
      </c>
      <c r="B91">
        <v>10.375473690420645</v>
      </c>
      <c r="C91">
        <v>60.927596223619503</v>
      </c>
      <c r="D91">
        <v>385.56557734171702</v>
      </c>
      <c r="E91">
        <v>100</v>
      </c>
      <c r="F91">
        <v>632.15267163873636</v>
      </c>
      <c r="G91">
        <v>485.56557734171702</v>
      </c>
      <c r="H91">
        <v>146.58709429701935</v>
      </c>
      <c r="P91">
        <f>SMALL('SimData 2'!$H$9:$H$108,88)</f>
        <v>280.03873298143782</v>
      </c>
      <c r="Q91">
        <f>1/(COUNT('SimData 2'!$H$9:$H$108)-1)+$Q$90</f>
        <v>0.87878787878787734</v>
      </c>
      <c r="S91">
        <v>80</v>
      </c>
      <c r="T91" s="4">
        <f t="shared" si="7"/>
        <v>369.37400255173208</v>
      </c>
      <c r="U91" s="4">
        <f>_xll.PDENSITY($T$91,'SimData 2'!$H$9:$H$108,$T$6,$T$7,0)</f>
        <v>6.1294983817363966E-4</v>
      </c>
    </row>
    <row r="92" spans="1:21" x14ac:dyDescent="0.2">
      <c r="A92">
        <v>84</v>
      </c>
      <c r="B92">
        <v>8.1919818436171425</v>
      </c>
      <c r="C92">
        <v>44.959106172281544</v>
      </c>
      <c r="D92">
        <v>289.75463703368928</v>
      </c>
      <c r="E92">
        <v>100</v>
      </c>
      <c r="F92">
        <v>368.3041814685858</v>
      </c>
      <c r="G92">
        <v>389.75463703368928</v>
      </c>
      <c r="H92">
        <v>-21.450455565103482</v>
      </c>
      <c r="P92">
        <f>SMALL('SimData 2'!$H$9:$H$108,89)</f>
        <v>281.5924399386974</v>
      </c>
      <c r="Q92">
        <f>1/(COUNT('SimData 2'!$H$9:$H$108)-1)+$Q$91</f>
        <v>0.8888888888888874</v>
      </c>
      <c r="S92">
        <v>81</v>
      </c>
      <c r="T92" s="4">
        <f t="shared" si="7"/>
        <v>378.33618608432005</v>
      </c>
      <c r="U92" s="4">
        <f>_xll.PDENSITY($T$92,'SimData 2'!$H$9:$H$108,$T$6,$T$7,0)</f>
        <v>5.6550852684773031E-4</v>
      </c>
    </row>
    <row r="93" spans="1:21" x14ac:dyDescent="0.2">
      <c r="A93">
        <v>85</v>
      </c>
      <c r="B93">
        <v>9.4609145799601215</v>
      </c>
      <c r="C93">
        <v>51.047284390843316</v>
      </c>
      <c r="D93">
        <v>326.2837063450599</v>
      </c>
      <c r="E93">
        <v>100</v>
      </c>
      <c r="F93">
        <v>482.95399716070028</v>
      </c>
      <c r="G93">
        <v>426.2837063450599</v>
      </c>
      <c r="H93">
        <v>56.670290815640385</v>
      </c>
      <c r="P93">
        <f>SMALL('SimData 2'!$H$9:$H$108,90)</f>
        <v>287.9140647089306</v>
      </c>
      <c r="Q93">
        <f>1/(COUNT('SimData 2'!$H$9:$H$108)-1)+$Q$92</f>
        <v>0.89898989898989745</v>
      </c>
      <c r="S93">
        <v>82</v>
      </c>
      <c r="T93" s="4">
        <f t="shared" si="7"/>
        <v>387.29836961690802</v>
      </c>
      <c r="U93" s="4">
        <f>_xll.PDENSITY($T$93,'SimData 2'!$H$9:$H$108,$T$6,$T$7,0)</f>
        <v>5.2044884537259513E-4</v>
      </c>
    </row>
    <row r="94" spans="1:21" x14ac:dyDescent="0.2">
      <c r="A94">
        <v>86</v>
      </c>
      <c r="B94">
        <v>11.20786429780626</v>
      </c>
      <c r="C94">
        <v>58.560046572866618</v>
      </c>
      <c r="D94">
        <v>371.36027943719972</v>
      </c>
      <c r="E94">
        <v>100</v>
      </c>
      <c r="F94">
        <v>656.33305526190361</v>
      </c>
      <c r="G94">
        <v>471.36027943719972</v>
      </c>
      <c r="H94">
        <v>184.97277582470389</v>
      </c>
      <c r="P94">
        <f>SMALL('SimData 2'!$H$9:$H$108,91)</f>
        <v>305.5089939564109</v>
      </c>
      <c r="Q94">
        <f>1/(COUNT('SimData 2'!$H$9:$H$108)-1)+$Q$93</f>
        <v>0.90909090909090751</v>
      </c>
      <c r="S94">
        <v>83</v>
      </c>
      <c r="T94" s="4">
        <f t="shared" si="7"/>
        <v>396.26055314949599</v>
      </c>
      <c r="U94" s="4">
        <f>_xll.PDENSITY($T$94,'SimData 2'!$H$9:$H$108,$T$6,$T$7,0)</f>
        <v>4.7789326453052922E-4</v>
      </c>
    </row>
    <row r="95" spans="1:21" x14ac:dyDescent="0.2">
      <c r="A95">
        <v>87</v>
      </c>
      <c r="B95">
        <v>10.242286957000116</v>
      </c>
      <c r="C95">
        <v>49.943985830535773</v>
      </c>
      <c r="D95">
        <v>319.66391498321462</v>
      </c>
      <c r="E95">
        <v>100</v>
      </c>
      <c r="F95">
        <v>511.54063465269519</v>
      </c>
      <c r="G95">
        <v>419.66391498321462</v>
      </c>
      <c r="H95">
        <v>91.876719669480565</v>
      </c>
      <c r="P95">
        <f>SMALL('SimData 2'!$H$9:$H$108,92)</f>
        <v>320.7917761802957</v>
      </c>
      <c r="Q95">
        <f>1/(COUNT('SimData 2'!$H$9:$H$108)-1)+$Q$94</f>
        <v>0.91919191919191756</v>
      </c>
      <c r="S95">
        <v>84</v>
      </c>
      <c r="T95" s="4">
        <f t="shared" si="7"/>
        <v>405.22273668208396</v>
      </c>
      <c r="U95" s="4">
        <f>_xll.PDENSITY($T$95,'SimData 2'!$H$9:$H$108,$T$6,$T$7,0)</f>
        <v>4.3792476455684775E-4</v>
      </c>
    </row>
    <row r="96" spans="1:21" x14ac:dyDescent="0.2">
      <c r="A96">
        <v>88</v>
      </c>
      <c r="B96">
        <v>13.304709973405453</v>
      </c>
      <c r="C96">
        <v>55.842609247189749</v>
      </c>
      <c r="D96">
        <v>355.05565548313848</v>
      </c>
      <c r="E96">
        <v>100</v>
      </c>
      <c r="F96">
        <v>742.96972019206908</v>
      </c>
      <c r="G96">
        <v>455.05565548313848</v>
      </c>
      <c r="H96">
        <v>287.9140647089306</v>
      </c>
      <c r="P96">
        <f>SMALL('SimData 2'!$H$9:$H$108,93)</f>
        <v>324.25429280894161</v>
      </c>
      <c r="Q96">
        <f>1/(COUNT('SimData 2'!$H$9:$H$108)-1)+$Q$95</f>
        <v>0.92929292929292762</v>
      </c>
      <c r="S96">
        <v>85</v>
      </c>
      <c r="T96" s="4">
        <f t="shared" si="7"/>
        <v>414.18492021467193</v>
      </c>
      <c r="U96" s="4">
        <f>_xll.PDENSITY($T$96,'SimData 2'!$H$9:$H$108,$T$6,$T$7,0)</f>
        <v>4.0059174150406144E-4</v>
      </c>
    </row>
    <row r="97" spans="1:21" x14ac:dyDescent="0.2">
      <c r="A97">
        <v>89</v>
      </c>
      <c r="B97">
        <v>10.705112918346002</v>
      </c>
      <c r="C97">
        <v>59.615656899395674</v>
      </c>
      <c r="D97">
        <v>377.69394139637404</v>
      </c>
      <c r="E97">
        <v>100</v>
      </c>
      <c r="F97">
        <v>638.19233880940362</v>
      </c>
      <c r="G97">
        <v>477.69394139637404</v>
      </c>
      <c r="H97">
        <v>160.49839741302958</v>
      </c>
      <c r="P97">
        <f>SMALL('SimData 2'!$H$9:$H$108,94)</f>
        <v>328.28512344375429</v>
      </c>
      <c r="Q97">
        <f>1/(COUNT('SimData 2'!$H$9:$H$108)-1)+$Q$96</f>
        <v>0.93939393939393767</v>
      </c>
      <c r="S97">
        <v>86</v>
      </c>
      <c r="T97" s="4">
        <f t="shared" si="7"/>
        <v>423.14710374725991</v>
      </c>
      <c r="U97" s="4">
        <f>_xll.PDENSITY($T$97,'SimData 2'!$H$9:$H$108,$T$6,$T$7,0)</f>
        <v>3.6591269962856946E-4</v>
      </c>
    </row>
    <row r="98" spans="1:21" x14ac:dyDescent="0.2">
      <c r="A98">
        <v>90</v>
      </c>
      <c r="B98">
        <v>11.112926104610636</v>
      </c>
      <c r="C98">
        <v>62.462350081104979</v>
      </c>
      <c r="D98">
        <v>394.77410048662989</v>
      </c>
      <c r="E98">
        <v>100</v>
      </c>
      <c r="F98">
        <v>694.1394807716398</v>
      </c>
      <c r="G98">
        <v>494.77410048662989</v>
      </c>
      <c r="H98">
        <v>199.36538028500991</v>
      </c>
      <c r="P98">
        <f>SMALL('SimData 2'!$H$9:$H$108,95)</f>
        <v>345.50866413809962</v>
      </c>
      <c r="Q98">
        <f>1/(COUNT('SimData 2'!$H$9:$H$108)-1)+$Q$97</f>
        <v>0.94949494949494773</v>
      </c>
      <c r="S98">
        <v>87</v>
      </c>
      <c r="T98" s="4">
        <f t="shared" si="7"/>
        <v>432.10928727984788</v>
      </c>
      <c r="U98" s="4">
        <f>_xll.PDENSITY($T$98,'SimData 2'!$H$9:$H$108,$T$6,$T$7,0)</f>
        <v>3.3387955911307954E-4</v>
      </c>
    </row>
    <row r="99" spans="1:21" x14ac:dyDescent="0.2">
      <c r="A99">
        <v>91</v>
      </c>
      <c r="B99">
        <v>16.361526528172824</v>
      </c>
      <c r="C99">
        <v>33.019020264405981</v>
      </c>
      <c r="D99">
        <v>218.11412158643589</v>
      </c>
      <c r="E99">
        <v>100</v>
      </c>
      <c r="F99">
        <v>540.24157599035448</v>
      </c>
      <c r="G99">
        <v>318.11412158643589</v>
      </c>
      <c r="H99">
        <v>222.12745440391859</v>
      </c>
      <c r="P99">
        <f>SMALL('SimData 2'!$H$9:$H$108,96)</f>
        <v>393.50130855617044</v>
      </c>
      <c r="Q99">
        <f>1/(COUNT('SimData 2'!$H$9:$H$108)-1)+$Q$98</f>
        <v>0.95959595959595778</v>
      </c>
      <c r="S99">
        <v>88</v>
      </c>
      <c r="T99" s="4">
        <f t="shared" si="7"/>
        <v>441.07147081243585</v>
      </c>
      <c r="U99" s="4">
        <f>_xll.PDENSITY($T$99,'SimData 2'!$H$9:$H$108,$T$6,$T$7,0)</f>
        <v>3.0445896950085776E-4</v>
      </c>
    </row>
    <row r="100" spans="1:21" x14ac:dyDescent="0.2">
      <c r="A100">
        <v>92</v>
      </c>
      <c r="B100">
        <v>5.3568711403652376</v>
      </c>
      <c r="C100">
        <v>46.87125345196155</v>
      </c>
      <c r="D100">
        <v>301.22752071176933</v>
      </c>
      <c r="E100">
        <v>100</v>
      </c>
      <c r="F100">
        <v>251.08326492955734</v>
      </c>
      <c r="G100">
        <v>401.22752071176933</v>
      </c>
      <c r="H100">
        <v>-150.14425578221199</v>
      </c>
      <c r="P100">
        <f>SMALL('SimData 2'!$H$9:$H$108,97)</f>
        <v>398.24118772094943</v>
      </c>
      <c r="Q100">
        <f>1/(COUNT('SimData 2'!$H$9:$H$108)-1)+$Q$99</f>
        <v>0.96969696969696784</v>
      </c>
      <c r="S100">
        <v>89</v>
      </c>
      <c r="T100" s="4">
        <f t="shared" si="7"/>
        <v>450.03365434502382</v>
      </c>
      <c r="U100" s="4">
        <f>_xll.PDENSITY($T$100,'SimData 2'!$H$9:$H$108,$T$6,$T$7,0)</f>
        <v>2.7759166903459719E-4</v>
      </c>
    </row>
    <row r="101" spans="1:21" x14ac:dyDescent="0.2">
      <c r="A101">
        <v>93</v>
      </c>
      <c r="B101">
        <v>9.0533488589182873</v>
      </c>
      <c r="C101">
        <v>55.434714074753302</v>
      </c>
      <c r="D101">
        <v>352.60828444851984</v>
      </c>
      <c r="E101">
        <v>100</v>
      </c>
      <c r="F101">
        <v>501.86980541312931</v>
      </c>
      <c r="G101">
        <v>452.60828444851984</v>
      </c>
      <c r="H101">
        <v>49.261520964609474</v>
      </c>
      <c r="P101">
        <f>SMALL('SimData 2'!$H$9:$H$108,98)</f>
        <v>400.7867038285824</v>
      </c>
      <c r="Q101">
        <f>1/(COUNT('SimData 2'!$H$9:$H$108)-1)+$Q$100</f>
        <v>0.97979797979797789</v>
      </c>
      <c r="S101">
        <v>90</v>
      </c>
      <c r="T101" s="4">
        <f t="shared" si="7"/>
        <v>458.99583787761179</v>
      </c>
      <c r="U101" s="4">
        <f>_xll.PDENSITY($T$101,'SimData 2'!$H$9:$H$108,$T$6,$T$7,0)</f>
        <v>2.5319052202523297E-4</v>
      </c>
    </row>
    <row r="102" spans="1:21" x14ac:dyDescent="0.2">
      <c r="A102">
        <v>94</v>
      </c>
      <c r="B102">
        <v>5.2993944929486609</v>
      </c>
      <c r="C102">
        <v>43.564990341321369</v>
      </c>
      <c r="D102">
        <v>281.38994204792823</v>
      </c>
      <c r="E102">
        <v>100</v>
      </c>
      <c r="F102">
        <v>230.86806990016007</v>
      </c>
      <c r="G102">
        <v>381.38994204792823</v>
      </c>
      <c r="H102">
        <v>-150.52187214776816</v>
      </c>
      <c r="P102">
        <f>SMALL('SimData 2'!$H$9:$H$108,99)</f>
        <v>472.78098906322731</v>
      </c>
      <c r="Q102">
        <f>1/(COUNT('SimData 2'!$H$9:$H$108)-1)+$Q$101</f>
        <v>0.98989898989898795</v>
      </c>
      <c r="S102">
        <v>91</v>
      </c>
      <c r="T102" s="4">
        <f t="shared" si="7"/>
        <v>467.95802141019976</v>
      </c>
      <c r="U102" s="4">
        <f>_xll.PDENSITY($T$102,'SimData 2'!$H$9:$H$108,$T$6,$T$7,0)</f>
        <v>2.3113827980178949E-4</v>
      </c>
    </row>
    <row r="103" spans="1:21" x14ac:dyDescent="0.2">
      <c r="A103">
        <v>95</v>
      </c>
      <c r="B103">
        <v>16.148883848631538</v>
      </c>
      <c r="C103">
        <v>58.408490815781391</v>
      </c>
      <c r="D103">
        <v>370.45094489468835</v>
      </c>
      <c r="E103">
        <v>100</v>
      </c>
      <c r="F103">
        <v>943.23193395791566</v>
      </c>
      <c r="G103">
        <v>470.45094489468835</v>
      </c>
      <c r="H103">
        <v>472.78098906322731</v>
      </c>
      <c r="P103">
        <f>SMALL('SimData 2'!$H$9:$H$108,100)</f>
        <v>548.61767320349054</v>
      </c>
      <c r="Q103">
        <f>1/(COUNT('SimData 2'!$H$9:$H$108)-1)+$Q$102</f>
        <v>0.999999999999998</v>
      </c>
      <c r="S103">
        <v>92</v>
      </c>
      <c r="T103" s="4">
        <f t="shared" si="7"/>
        <v>476.92020494278773</v>
      </c>
      <c r="U103" s="4">
        <f>_xll.PDENSITY($T$103,'SimData 2'!$H$9:$H$108,$T$6,$T$7,0)</f>
        <v>2.1128627290045417E-4</v>
      </c>
    </row>
    <row r="104" spans="1:21" x14ac:dyDescent="0.2">
      <c r="A104">
        <v>96</v>
      </c>
      <c r="B104">
        <v>9.3712087045668664</v>
      </c>
      <c r="C104">
        <v>58.117417822722629</v>
      </c>
      <c r="D104">
        <v>368.70450693633575</v>
      </c>
      <c r="E104">
        <v>100</v>
      </c>
      <c r="F104">
        <v>544.63045178724781</v>
      </c>
      <c r="G104">
        <v>468.70450693633575</v>
      </c>
      <c r="H104">
        <v>75.92594485091206</v>
      </c>
      <c r="S104">
        <v>93</v>
      </c>
      <c r="T104" s="4">
        <f t="shared" si="7"/>
        <v>485.88238847537571</v>
      </c>
      <c r="U104" s="4">
        <f>_xll.PDENSITY($T$104,'SimData 2'!$H$9:$H$108,$T$6,$T$7,0)</f>
        <v>1.9345513686823494E-4</v>
      </c>
    </row>
    <row r="105" spans="1:21" x14ac:dyDescent="0.2">
      <c r="A105">
        <v>97</v>
      </c>
      <c r="B105">
        <v>13.776738822069321</v>
      </c>
      <c r="C105">
        <v>22.895772943065467</v>
      </c>
      <c r="D105">
        <v>157.3746376583928</v>
      </c>
      <c r="E105">
        <v>100</v>
      </c>
      <c r="F105">
        <v>315.42908396601439</v>
      </c>
      <c r="G105">
        <v>257.37463765839277</v>
      </c>
      <c r="H105">
        <v>58.054446307621618</v>
      </c>
      <c r="S105">
        <v>94</v>
      </c>
      <c r="T105" s="4">
        <f t="shared" si="7"/>
        <v>494.84457200796368</v>
      </c>
      <c r="U105" s="4">
        <f>_xll.PDENSITY($T$105,'SimData 2'!$H$9:$H$108,$T$6,$T$7,0)</f>
        <v>1.7743833828270651E-4</v>
      </c>
    </row>
    <row r="106" spans="1:21" x14ac:dyDescent="0.2">
      <c r="A106">
        <v>98</v>
      </c>
      <c r="B106">
        <v>12.023900443536064</v>
      </c>
      <c r="C106">
        <v>29.751449818163952</v>
      </c>
      <c r="D106">
        <v>198.50869890898372</v>
      </c>
      <c r="E106">
        <v>100</v>
      </c>
      <c r="F106">
        <v>357.72847066446252</v>
      </c>
      <c r="G106">
        <v>298.50869890898372</v>
      </c>
      <c r="H106">
        <v>59.219771755478803</v>
      </c>
      <c r="S106">
        <v>95</v>
      </c>
      <c r="T106" s="4">
        <f t="shared" si="7"/>
        <v>503.80675554055165</v>
      </c>
      <c r="U106" s="4">
        <f>_xll.PDENSITY($T$106,'SimData 2'!$H$9:$H$108,$T$6,$T$7,0)</f>
        <v>1.6300877771401471E-4</v>
      </c>
    </row>
    <row r="107" spans="1:21" x14ac:dyDescent="0.2">
      <c r="A107">
        <v>99</v>
      </c>
      <c r="B107">
        <v>4.6355412548022858</v>
      </c>
      <c r="C107">
        <v>65.774863478315382</v>
      </c>
      <c r="D107">
        <v>414.64918086989229</v>
      </c>
      <c r="E107">
        <v>100</v>
      </c>
      <c r="F107">
        <v>304.90209318271911</v>
      </c>
      <c r="G107">
        <v>514.64918086989223</v>
      </c>
      <c r="H107">
        <v>-209.74708768717312</v>
      </c>
      <c r="S107">
        <v>96</v>
      </c>
      <c r="T107" s="4">
        <f t="shared" si="7"/>
        <v>512.76893907313956</v>
      </c>
      <c r="U107" s="4">
        <f>_xll.PDENSITY($T$107,'SimData 2'!$H$9:$H$108,$T$6,$T$7,0)</f>
        <v>1.499281995635979E-4</v>
      </c>
    </row>
    <row r="108" spans="1:21" x14ac:dyDescent="0.2">
      <c r="A108">
        <v>100</v>
      </c>
      <c r="B108">
        <v>8.8890803145872539</v>
      </c>
      <c r="C108">
        <v>65.339348915010746</v>
      </c>
      <c r="D108">
        <v>412.03609349006445</v>
      </c>
      <c r="E108">
        <v>100</v>
      </c>
      <c r="F108">
        <v>580.80672020837005</v>
      </c>
      <c r="G108">
        <v>512.03609349006445</v>
      </c>
      <c r="H108">
        <v>68.770626718305607</v>
      </c>
      <c r="S108">
        <v>97</v>
      </c>
      <c r="T108" s="4">
        <f t="shared" si="7"/>
        <v>521.73112260572748</v>
      </c>
      <c r="U108" s="4">
        <f>_xll.PDENSITY($T$108,'SimData 2'!$H$9:$H$108,$T$6,$T$7,0)</f>
        <v>1.3795863363809624E-4</v>
      </c>
    </row>
    <row r="109" spans="1:21" x14ac:dyDescent="0.2">
      <c r="S109">
        <v>98</v>
      </c>
      <c r="T109" s="4">
        <f t="shared" si="7"/>
        <v>530.69330613831539</v>
      </c>
      <c r="U109" s="4">
        <f>_xll.PDENSITY($T$109,'SimData 2'!$H$9:$H$108,$T$6,$T$7,0)</f>
        <v>1.268747135800092E-4</v>
      </c>
    </row>
    <row r="110" spans="1:21" x14ac:dyDescent="0.2">
      <c r="A110" t="s">
        <v>33</v>
      </c>
      <c r="S110">
        <v>99</v>
      </c>
      <c r="T110" s="4">
        <f t="shared" si="7"/>
        <v>539.65548967090331</v>
      </c>
      <c r="U110" s="4">
        <f>_xll.PDENSITY($T$110,'SimData 2'!$H$9:$H$108,$T$6,$T$7,0)</f>
        <v>1.1647551997429172E-4</v>
      </c>
    </row>
    <row r="111" spans="1:21" x14ac:dyDescent="0.2">
      <c r="A111" t="s">
        <v>34</v>
      </c>
      <c r="B111" t="str">
        <f>IF(ISBLANK($B110)=TRUE,"",_xll.EDF(B9:B108,$B110))</f>
        <v/>
      </c>
      <c r="C111" t="str">
        <f>IF(ISBLANK($C110)=TRUE,"",_xll.EDF(C9:C108,$C110))</f>
        <v/>
      </c>
      <c r="D111" t="str">
        <f>IF(ISBLANK($D110)=TRUE,"",_xll.EDF(D9:D108,$D110))</f>
        <v/>
      </c>
      <c r="E111" t="str">
        <f>IF(ISBLANK($E110)=TRUE,"",_xll.EDF(E9:E108,$E110))</f>
        <v/>
      </c>
      <c r="F111" t="str">
        <f>IF(ISBLANK($F110)=TRUE,"",_xll.EDF(F9:F108,$F110))</f>
        <v/>
      </c>
      <c r="G111" t="str">
        <f>IF(ISBLANK($G110)=TRUE,"",_xll.EDF(G9:G108,$G110))</f>
        <v/>
      </c>
      <c r="H111" t="str">
        <f>IF(ISBLANK($H110)=TRUE,"",_xll.EDF(H9:H108,$H110))</f>
        <v/>
      </c>
      <c r="S111">
        <v>100</v>
      </c>
      <c r="T111" s="4">
        <f t="shared" si="7"/>
        <v>548.61767320349122</v>
      </c>
      <c r="U111" s="4">
        <f>_xll.PDENSITY($T$111,'SimData 2'!$H$9:$H$108,$T$6,$T$7,0)</f>
        <v>1.0659460570197099E-4</v>
      </c>
    </row>
    <row r="112" spans="1:21" x14ac:dyDescent="0.2">
      <c r="A112" t="s">
        <v>35</v>
      </c>
    </row>
    <row r="113" spans="1:8" x14ac:dyDescent="0.2">
      <c r="A113" t="s">
        <v>36</v>
      </c>
      <c r="B113" t="str">
        <f>IF(ISBLANK($B112)=TRUE,"",_xll.EDF(B9:B108,$B112))</f>
        <v/>
      </c>
      <c r="C113" t="str">
        <f>IF(ISBLANK($C112)=TRUE,"",_xll.EDF(C9:C108,$C112))</f>
        <v/>
      </c>
      <c r="D113" t="str">
        <f>IF(ISBLANK($D112)=TRUE,"",_xll.EDF(D9:D108,$D112))</f>
        <v/>
      </c>
      <c r="E113" t="str">
        <f>IF(ISBLANK($E112)=TRUE,"",_xll.EDF(E9:E108,$E112))</f>
        <v/>
      </c>
      <c r="F113" t="str">
        <f>IF(ISBLANK($F112)=TRUE,"",_xll.EDF(F9:F108,$F112))</f>
        <v/>
      </c>
      <c r="G113" t="str">
        <f>IF(ISBLANK($G112)=TRUE,"",_xll.EDF(G9:G108,$G112))</f>
        <v/>
      </c>
      <c r="H113" t="str">
        <f>IF(ISBLANK($H112)=TRUE,"",_xll.EDF(H9:H108,$H112))</f>
        <v/>
      </c>
    </row>
    <row r="114" spans="1:8" x14ac:dyDescent="0.2">
      <c r="A114" t="s">
        <v>37</v>
      </c>
    </row>
    <row r="115" spans="1:8" x14ac:dyDescent="0.2">
      <c r="A115" t="s">
        <v>38</v>
      </c>
      <c r="B115" t="str">
        <f>IF(ISBLANK($B114)=TRUE,"",_xll.EDF(B9:B108,$B114))</f>
        <v/>
      </c>
      <c r="C115" t="str">
        <f>IF(ISBLANK($C114)=TRUE,"",_xll.EDF(C9:C108,$C114))</f>
        <v/>
      </c>
      <c r="D115" t="str">
        <f>IF(ISBLANK($D114)=TRUE,"",_xll.EDF(D9:D108,$D114))</f>
        <v/>
      </c>
      <c r="E115" t="str">
        <f>IF(ISBLANK($E114)=TRUE,"",_xll.EDF(E9:E108,$E114))</f>
        <v/>
      </c>
      <c r="F115" t="str">
        <f>IF(ISBLANK($F114)=TRUE,"",_xll.EDF(F9:F108,$F114))</f>
        <v/>
      </c>
      <c r="G115" t="str">
        <f>IF(ISBLANK($G114)=TRUE,"",_xll.EDF(G9:G108,$G114))</f>
        <v/>
      </c>
      <c r="H115" t="str">
        <f>IF(ISBLANK($H114)=TRUE,"",_xll.EDF(H9:H108,$H114))</f>
        <v/>
      </c>
    </row>
    <row r="116" spans="1:8" x14ac:dyDescent="0.2">
      <c r="A116" t="s">
        <v>39</v>
      </c>
    </row>
    <row r="117" spans="1:8" x14ac:dyDescent="0.2">
      <c r="A117" t="s">
        <v>40</v>
      </c>
      <c r="B117" t="str">
        <f>IF(ISBLANK($B116)=TRUE,"",_xll.EDF(B9:B108,$B116))</f>
        <v/>
      </c>
      <c r="C117" t="str">
        <f>IF(ISBLANK($C116)=TRUE,"",_xll.EDF(C9:C108,$C116))</f>
        <v/>
      </c>
      <c r="D117" t="str">
        <f>IF(ISBLANK($D116)=TRUE,"",_xll.EDF(D9:D108,$D116))</f>
        <v/>
      </c>
      <c r="E117" t="str">
        <f>IF(ISBLANK($E116)=TRUE,"",_xll.EDF(E9:E108,$E116))</f>
        <v/>
      </c>
      <c r="F117" t="str">
        <f>IF(ISBLANK($F116)=TRUE,"",_xll.EDF(F9:F108,$F116))</f>
        <v/>
      </c>
      <c r="G117" t="str">
        <f>IF(ISBLANK($G116)=TRUE,"",_xll.EDF(G9:G108,$G116))</f>
        <v/>
      </c>
      <c r="H117" t="str">
        <f>IF(ISBLANK($H116)=TRUE,"",_xll.EDF(H9:H108,$H116))</f>
        <v/>
      </c>
    </row>
    <row r="118" spans="1:8" x14ac:dyDescent="0.2">
      <c r="A118" t="s">
        <v>41</v>
      </c>
    </row>
    <row r="119" spans="1:8" x14ac:dyDescent="0.2">
      <c r="A119" t="s">
        <v>42</v>
      </c>
      <c r="B119" t="str">
        <f>IF(ISBLANK($B118)=TRUE,"",_xll.EDF(B9:B108,$B118))</f>
        <v/>
      </c>
      <c r="C119" t="str">
        <f>IF(ISBLANK($C118)=TRUE,"",_xll.EDF(C9:C108,$C118))</f>
        <v/>
      </c>
      <c r="D119" t="str">
        <f>IF(ISBLANK($D118)=TRUE,"",_xll.EDF(D9:D108,$D118))</f>
        <v/>
      </c>
      <c r="E119" t="str">
        <f>IF(ISBLANK($E118)=TRUE,"",_xll.EDF(E9:E108,$E118))</f>
        <v/>
      </c>
      <c r="F119" t="str">
        <f>IF(ISBLANK($F118)=TRUE,"",_xll.EDF(F9:F108,$F118))</f>
        <v/>
      </c>
      <c r="G119" t="str">
        <f>IF(ISBLANK($G118)=TRUE,"",_xll.EDF(G9:G108,$G118))</f>
        <v/>
      </c>
      <c r="H119" t="str">
        <f>IF(ISBLANK($H118)=TRUE,"",_xll.EDF(H9:H108,$H118))</f>
        <v/>
      </c>
    </row>
  </sheetData>
  <phoneticPr fontId="2" type="noConversion"/>
  <dataValidations count="1">
    <dataValidation type="list" allowBlank="1" showInputMessage="1" showErrorMessage="1" sqref="T7">
      <formula1>"Cauchy,Cosinus,Double Exp,Epanechnikov,Gaussian,Histogram,Parzen,Quartic,Triangle,Triweight,Uniform"</formula1>
    </dataValidation>
  </dataValidations>
  <printOptions headings="1" gridLines="1"/>
  <pageMargins left="0.75" right="0.75" top="1" bottom="1" header="0.5" footer="0.5"/>
  <pageSetup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Gen 1</vt:lpstr>
      <vt:lpstr>Gen 2</vt:lpstr>
      <vt:lpstr>SimData 2</vt:lpstr>
      <vt:lpstr>'Gen 1'!Print_Area</vt:lpstr>
      <vt:lpstr>'Gen 2'!Print_Area</vt:lpstr>
      <vt:lpstr>'SimData 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W. Richardson</dc:creator>
  <cp:lastModifiedBy>James W. Richardson</cp:lastModifiedBy>
  <cp:lastPrinted>2006-11-19T20:47:41Z</cp:lastPrinted>
  <dcterms:created xsi:type="dcterms:W3CDTF">2006-11-19T14:17:40Z</dcterms:created>
  <dcterms:modified xsi:type="dcterms:W3CDTF">2014-11-26T02:06:46Z</dcterms:modified>
</cp:coreProperties>
</file>