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240" yWindow="90" windowWidth="21075" windowHeight="9780"/>
  </bookViews>
  <sheets>
    <sheet name="Sheet1" sheetId="1" r:id="rId1"/>
    <sheet name="SERFTbl1" sheetId="5" r:id="rId2"/>
    <sheet name="Sheet2" sheetId="2" r:id="rId3"/>
    <sheet name="Sheet3" sheetId="3" r:id="rId4"/>
  </sheets>
  <definedNames>
    <definedName name="_xlnm.Print_Area" localSheetId="0">Sheet1!$A$1:$N$28</definedName>
  </definedNames>
  <calcPr calcId="162913"/>
</workbook>
</file>

<file path=xl/calcChain.xml><?xml version="1.0" encoding="utf-8"?>
<calcChain xmlns="http://schemas.openxmlformats.org/spreadsheetml/2006/main">
  <c r="K4" i="1" l="1"/>
  <c r="E4" i="1"/>
  <c r="B4" i="5" s="1"/>
  <c r="B17" i="1"/>
  <c r="J16" i="1"/>
  <c r="I16" i="1"/>
  <c r="J15" i="1"/>
  <c r="K15" i="1" s="1"/>
  <c r="I15" i="1"/>
  <c r="J14" i="1"/>
  <c r="I14" i="1"/>
  <c r="J13" i="1"/>
  <c r="I13" i="1"/>
  <c r="C14" i="1"/>
  <c r="D14" i="1"/>
  <c r="E14" i="1" s="1"/>
  <c r="C15" i="1"/>
  <c r="D15" i="1"/>
  <c r="E15" i="1" s="1"/>
  <c r="C16" i="1"/>
  <c r="D16" i="1"/>
  <c r="D13" i="1"/>
  <c r="E13" i="1" s="1"/>
  <c r="C13" i="1"/>
  <c r="K8" i="1"/>
  <c r="L8" i="1"/>
  <c r="K9" i="1"/>
  <c r="L9" i="1"/>
  <c r="L7" i="1"/>
  <c r="K7" i="1"/>
  <c r="D11" i="5"/>
  <c r="H11" i="5" s="1"/>
  <c r="B11" i="5"/>
  <c r="F11" i="5" s="1"/>
  <c r="B12" i="5"/>
  <c r="C11" i="5"/>
  <c r="F3" i="5" s="1"/>
  <c r="F1" i="5" s="1"/>
  <c r="D5" i="5"/>
  <c r="D3" i="5"/>
  <c r="A1" i="5"/>
  <c r="U17" i="1"/>
  <c r="S17" i="1"/>
  <c r="R7" i="1"/>
  <c r="R8" i="1"/>
  <c r="R9" i="1"/>
  <c r="R6" i="1"/>
  <c r="Q7" i="1"/>
  <c r="Q8" i="1"/>
  <c r="Q9" i="1"/>
  <c r="Q6" i="1"/>
  <c r="I10" i="1"/>
  <c r="C10" i="1"/>
  <c r="L6" i="1"/>
  <c r="K6" i="1"/>
  <c r="F9" i="1"/>
  <c r="E9" i="1"/>
  <c r="F8" i="1"/>
  <c r="E8" i="1"/>
  <c r="F7" i="1"/>
  <c r="E7" i="1"/>
  <c r="F6" i="1"/>
  <c r="E6" i="1"/>
  <c r="A1" i="1"/>
  <c r="J18" i="1"/>
  <c r="D18" i="1"/>
  <c r="C12" i="5"/>
  <c r="D12" i="5"/>
  <c r="S21" i="1" l="1"/>
  <c r="K14" i="1"/>
  <c r="G7" i="1"/>
  <c r="K13" i="1"/>
  <c r="K16" i="1"/>
  <c r="S20" i="1"/>
  <c r="S19" i="1"/>
  <c r="U18" i="1"/>
  <c r="T19" i="1"/>
  <c r="B13" i="5"/>
  <c r="B14" i="5" s="1"/>
  <c r="M6" i="1"/>
  <c r="S18" i="1"/>
  <c r="E16" i="1"/>
  <c r="D17" i="1" s="1"/>
  <c r="G11" i="5"/>
  <c r="M9" i="1"/>
  <c r="M8" i="1"/>
  <c r="J17" i="1"/>
  <c r="M7" i="1"/>
  <c r="G9" i="1"/>
  <c r="F12" i="5"/>
  <c r="V19" i="1"/>
  <c r="V20" i="1" s="1"/>
  <c r="E9" i="5"/>
  <c r="U21" i="1"/>
  <c r="E8" i="5"/>
  <c r="U19" i="1"/>
  <c r="U20" i="1"/>
  <c r="G12" i="5"/>
  <c r="H12" i="5"/>
  <c r="T20" i="1"/>
  <c r="T21" i="1" s="1"/>
  <c r="G6" i="1"/>
  <c r="G8" i="1"/>
  <c r="D13" i="5"/>
  <c r="D14" i="5"/>
  <c r="C13" i="5"/>
  <c r="C14" i="5"/>
  <c r="G13" i="5" l="1"/>
  <c r="H13" i="5"/>
  <c r="C11" i="1"/>
  <c r="F13" i="5"/>
  <c r="I11" i="1"/>
  <c r="V21" i="1"/>
  <c r="G14" i="5"/>
  <c r="H14" i="5"/>
  <c r="F14" i="5"/>
  <c r="B15" i="5"/>
  <c r="C15" i="5"/>
  <c r="D15" i="5"/>
  <c r="H15" i="5" l="1"/>
  <c r="G15" i="5"/>
  <c r="F15" i="5"/>
  <c r="B16" i="5"/>
  <c r="C16" i="5"/>
  <c r="D16" i="5"/>
  <c r="H16" i="5" l="1"/>
  <c r="G16" i="5"/>
  <c r="F16" i="5"/>
  <c r="B17" i="5"/>
  <c r="C17" i="5"/>
  <c r="D17" i="5"/>
  <c r="G17" i="5" l="1"/>
  <c r="H17" i="5"/>
  <c r="F17" i="5"/>
  <c r="B18" i="5"/>
  <c r="C18" i="5"/>
  <c r="D18" i="5"/>
  <c r="G18" i="5" l="1"/>
  <c r="H18" i="5"/>
  <c r="B19" i="5"/>
  <c r="F18" i="5"/>
  <c r="D19" i="5"/>
  <c r="C19" i="5"/>
  <c r="H19" i="5" l="1"/>
  <c r="G19" i="5"/>
  <c r="F19" i="5"/>
  <c r="B20" i="5"/>
  <c r="C20" i="5"/>
  <c r="D20" i="5"/>
  <c r="H20" i="5" l="1"/>
  <c r="G20" i="5"/>
  <c r="F20" i="5"/>
  <c r="B21" i="5"/>
  <c r="C21" i="5"/>
  <c r="D21" i="5"/>
  <c r="G21" i="5" l="1"/>
  <c r="H21" i="5"/>
  <c r="F21" i="5"/>
  <c r="B22" i="5"/>
  <c r="C22" i="5"/>
  <c r="D22" i="5"/>
  <c r="G22" i="5" l="1"/>
  <c r="H22" i="5"/>
  <c r="B23" i="5"/>
  <c r="F22" i="5"/>
  <c r="C23" i="5"/>
  <c r="D23" i="5"/>
  <c r="H23" i="5" l="1"/>
  <c r="G23" i="5"/>
  <c r="F23" i="5"/>
  <c r="B24" i="5"/>
  <c r="D24" i="5"/>
  <c r="C24" i="5"/>
  <c r="H24" i="5" l="1"/>
  <c r="G24" i="5"/>
  <c r="F24" i="5"/>
  <c r="B25" i="5"/>
  <c r="D25" i="5"/>
  <c r="C25" i="5"/>
  <c r="G25" i="5" l="1"/>
  <c r="H25" i="5"/>
  <c r="F25" i="5"/>
  <c r="B26" i="5"/>
  <c r="C26" i="5"/>
  <c r="D26" i="5"/>
  <c r="G26" i="5" l="1"/>
  <c r="H26" i="5"/>
  <c r="F26" i="5"/>
  <c r="B27" i="5"/>
  <c r="C27" i="5"/>
  <c r="D27" i="5"/>
  <c r="H27" i="5" l="1"/>
  <c r="G27" i="5"/>
  <c r="F27" i="5"/>
  <c r="B28" i="5"/>
  <c r="C28" i="5"/>
  <c r="D28" i="5"/>
  <c r="G28" i="5" l="1"/>
  <c r="H28" i="5"/>
  <c r="B29" i="5"/>
  <c r="F28" i="5"/>
  <c r="D29" i="5"/>
  <c r="C29" i="5"/>
  <c r="G29" i="5" l="1"/>
  <c r="H29" i="5"/>
  <c r="F29" i="5"/>
  <c r="B30" i="5"/>
  <c r="D30" i="5"/>
  <c r="C30" i="5"/>
  <c r="G30" i="5" l="1"/>
  <c r="H30" i="5"/>
  <c r="F30" i="5"/>
  <c r="B31" i="5"/>
  <c r="D31" i="5"/>
  <c r="C31" i="5"/>
  <c r="H31" i="5" l="1"/>
  <c r="G31" i="5"/>
  <c r="F31" i="5"/>
  <c r="B32" i="5"/>
  <c r="C32" i="5"/>
  <c r="D32" i="5"/>
  <c r="H32" i="5" l="1"/>
  <c r="G32" i="5"/>
  <c r="B33" i="5"/>
  <c r="F32" i="5"/>
  <c r="D33" i="5"/>
  <c r="C33" i="5"/>
  <c r="G33" i="5" l="1"/>
  <c r="H33" i="5"/>
  <c r="F33" i="5"/>
  <c r="B34" i="5"/>
  <c r="C34" i="5"/>
  <c r="D34" i="5"/>
  <c r="G34" i="5" l="1"/>
  <c r="H34" i="5"/>
  <c r="F34" i="5"/>
  <c r="B35" i="5"/>
  <c r="C35" i="5"/>
  <c r="D35" i="5"/>
  <c r="H35" i="5" l="1"/>
  <c r="G35" i="5"/>
  <c r="F35" i="5"/>
  <c r="B36" i="5"/>
  <c r="C36" i="5"/>
  <c r="D36" i="5"/>
  <c r="H36" i="5" l="1"/>
  <c r="G36" i="5"/>
  <c r="F36" i="5"/>
</calcChain>
</file>

<file path=xl/sharedStrings.xml><?xml version="1.0" encoding="utf-8"?>
<sst xmlns="http://schemas.openxmlformats.org/spreadsheetml/2006/main" count="33" uniqueCount="25">
  <si>
    <t>RRAC</t>
  </si>
  <si>
    <t>U(w)</t>
  </si>
  <si>
    <t>W</t>
  </si>
  <si>
    <t>EMV</t>
  </si>
  <si>
    <t>E(U(w))</t>
  </si>
  <si>
    <t>X</t>
  </si>
  <si>
    <t>Y</t>
  </si>
  <si>
    <t>CDFProb.</t>
  </si>
  <si>
    <t>© 2011</t>
  </si>
  <si>
    <t>Min RAC</t>
  </si>
  <si>
    <t>Max RAC</t>
  </si>
  <si>
    <t>ARAC</t>
  </si>
  <si>
    <t>Initial Wealth</t>
  </si>
  <si>
    <t>a. Parameter (Optional)</t>
  </si>
  <si>
    <t>b. Parameter (Optional)</t>
  </si>
  <si>
    <t>c. Parameter (Optional)</t>
  </si>
  <si>
    <t>Null</t>
  </si>
  <si>
    <t>Overall:</t>
  </si>
  <si>
    <t>Average</t>
  </si>
  <si>
    <t>Std. Dev.</t>
  </si>
  <si>
    <t>Base Scenario</t>
  </si>
  <si>
    <t>Base Alternative for Risk Premiums</t>
  </si>
  <si>
    <t>Power Utiltiy Function</t>
  </si>
  <si>
    <t>Negative Exponential Utility Function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</si>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</sst>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#,##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1" xfId="0" applyFont="1" applyBorder="1"/>
    <xf numFmtId="4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Sheet1!$S$17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Sheet1!$S$18:$S$21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Sheet1!$T$18:$T$21</c:f>
              <c:numCache>
                <c:formatCode>General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F9-4E4E-84F6-4C0A9471D6BE}"/>
            </c:ext>
          </c:extLst>
        </c:ser>
        <c:ser>
          <c:idx val="1"/>
          <c:order val="1"/>
          <c:tx>
            <c:strRef>
              <c:f>Sheet1!$U$17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Sheet1!$U$18:$U$21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35</c:v>
                </c:pt>
                <c:pt idx="3">
                  <c:v>40</c:v>
                </c:pt>
              </c:numCache>
            </c:numRef>
          </c:xVal>
          <c:yVal>
            <c:numRef>
              <c:f>Sheet1!$V$18:$V$21</c:f>
              <c:numCache>
                <c:formatCode>General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F9-4E4E-84F6-4C0A9471D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30272"/>
        <c:axId val="171431808"/>
      </c:scatterChart>
      <c:valAx>
        <c:axId val="1714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431808"/>
        <c:crosses val="autoZero"/>
        <c:crossBetween val="midCat"/>
      </c:valAx>
      <c:valAx>
        <c:axId val="17143180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430272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SERFTbl1!$F$1</c:f>
          <c:strCache>
            <c:ptCount val="1"/>
            <c:pt idx="0">
              <c:v>Neg. Exponential Utility Weighted Risk Premiums Relative to X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SERFTbl1!$G$11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SERFTbl1!$C$11</c:f>
                  <c:strCache>
                    <c:ptCount val="1"/>
                    <c:pt idx="0">
                      <c:v>X</c:v>
                    </c:pt>
                  </c:strCache>
                </c:strRef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{F29C15E5-3A4A-4052-9454-7DF30150339B}</c15:txfldGUID>
                      <c15:f>SERFTbl1!$C$11</c15:f>
                      <c15:dlblFieldTableCache>
                        <c:ptCount val="1"/>
                        <c:pt idx="0">
                          <c:v>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C8E-4D1A-8C1F-5B9FD757B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2.0833333333333335E-4</c:v>
                </c:pt>
                <c:pt idx="2">
                  <c:v>4.1666666666666669E-4</c:v>
                </c:pt>
                <c:pt idx="3">
                  <c:v>6.2500000000000001E-4</c:v>
                </c:pt>
                <c:pt idx="4">
                  <c:v>8.3333333333333339E-4</c:v>
                </c:pt>
                <c:pt idx="5">
                  <c:v>1.0416666666666667E-3</c:v>
                </c:pt>
                <c:pt idx="6">
                  <c:v>1.25E-3</c:v>
                </c:pt>
                <c:pt idx="7">
                  <c:v>1.4583333333333334E-3</c:v>
                </c:pt>
                <c:pt idx="8">
                  <c:v>1.6666666666666668E-3</c:v>
                </c:pt>
                <c:pt idx="9">
                  <c:v>1.8750000000000001E-3</c:v>
                </c:pt>
                <c:pt idx="10">
                  <c:v>2.0833333333333333E-3</c:v>
                </c:pt>
                <c:pt idx="11">
                  <c:v>2.2916666666666667E-3</c:v>
                </c:pt>
                <c:pt idx="12">
                  <c:v>2.5000000000000001E-3</c:v>
                </c:pt>
                <c:pt idx="13">
                  <c:v>2.7083333333333334E-3</c:v>
                </c:pt>
                <c:pt idx="14">
                  <c:v>2.9166666666666668E-3</c:v>
                </c:pt>
                <c:pt idx="15">
                  <c:v>3.1250000000000002E-3</c:v>
                </c:pt>
                <c:pt idx="16">
                  <c:v>3.3333333333333335E-3</c:v>
                </c:pt>
                <c:pt idx="17">
                  <c:v>3.5416666666666669E-3</c:v>
                </c:pt>
                <c:pt idx="18">
                  <c:v>3.7500000000000003E-3</c:v>
                </c:pt>
                <c:pt idx="19">
                  <c:v>3.9583333333333337E-3</c:v>
                </c:pt>
                <c:pt idx="20">
                  <c:v>4.1666666666666666E-3</c:v>
                </c:pt>
                <c:pt idx="21">
                  <c:v>4.3749999999999995E-3</c:v>
                </c:pt>
                <c:pt idx="22">
                  <c:v>4.5833333333333325E-3</c:v>
                </c:pt>
                <c:pt idx="23">
                  <c:v>4.7916666666666654E-3</c:v>
                </c:pt>
                <c:pt idx="24">
                  <c:v>4.9999999999999984E-3</c:v>
                </c:pt>
              </c:numCache>
            </c:numRef>
          </c:xVal>
          <c:yVal>
            <c:numRef>
              <c:f>SERFTbl1!$G$12:$G$36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8E-4D1A-8C1F-5B9FD757BAAA}"/>
            </c:ext>
          </c:extLst>
        </c:ser>
        <c:ser>
          <c:idx val="1"/>
          <c:order val="1"/>
          <c:tx>
            <c:strRef>
              <c:f>SERFTbl1!$H$11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SERFTbl1!$D$11</c:f>
                  <c:strCache>
                    <c:ptCount val="1"/>
                    <c:pt idx="0">
                      <c:v>Y</c:v>
                    </c:pt>
                  </c:strCache>
                </c:strRef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{0A477894-3C0B-479D-A36B-85B19802CFC1}</c15:txfldGUID>
                      <c15:f>SERFTbl1!$D$11</c15:f>
                      <c15:dlblFieldTableCache>
                        <c:ptCount val="1"/>
                        <c:pt idx="0">
                          <c:v>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C8E-4D1A-8C1F-5B9FD757B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2.0833333333333335E-4</c:v>
                </c:pt>
                <c:pt idx="2">
                  <c:v>4.1666666666666669E-4</c:v>
                </c:pt>
                <c:pt idx="3">
                  <c:v>6.2500000000000001E-4</c:v>
                </c:pt>
                <c:pt idx="4">
                  <c:v>8.3333333333333339E-4</c:v>
                </c:pt>
                <c:pt idx="5">
                  <c:v>1.0416666666666667E-3</c:v>
                </c:pt>
                <c:pt idx="6">
                  <c:v>1.25E-3</c:v>
                </c:pt>
                <c:pt idx="7">
                  <c:v>1.4583333333333334E-3</c:v>
                </c:pt>
                <c:pt idx="8">
                  <c:v>1.6666666666666668E-3</c:v>
                </c:pt>
                <c:pt idx="9">
                  <c:v>1.8750000000000001E-3</c:v>
                </c:pt>
                <c:pt idx="10">
                  <c:v>2.0833333333333333E-3</c:v>
                </c:pt>
                <c:pt idx="11">
                  <c:v>2.2916666666666667E-3</c:v>
                </c:pt>
                <c:pt idx="12">
                  <c:v>2.5000000000000001E-3</c:v>
                </c:pt>
                <c:pt idx="13">
                  <c:v>2.7083333333333334E-3</c:v>
                </c:pt>
                <c:pt idx="14">
                  <c:v>2.9166666666666668E-3</c:v>
                </c:pt>
                <c:pt idx="15">
                  <c:v>3.1250000000000002E-3</c:v>
                </c:pt>
                <c:pt idx="16">
                  <c:v>3.3333333333333335E-3</c:v>
                </c:pt>
                <c:pt idx="17">
                  <c:v>3.5416666666666669E-3</c:v>
                </c:pt>
                <c:pt idx="18">
                  <c:v>3.7500000000000003E-3</c:v>
                </c:pt>
                <c:pt idx="19">
                  <c:v>3.9583333333333337E-3</c:v>
                </c:pt>
                <c:pt idx="20">
                  <c:v>4.1666666666666666E-3</c:v>
                </c:pt>
                <c:pt idx="21">
                  <c:v>4.3749999999999995E-3</c:v>
                </c:pt>
                <c:pt idx="22">
                  <c:v>4.5833333333333325E-3</c:v>
                </c:pt>
                <c:pt idx="23">
                  <c:v>4.7916666666666654E-3</c:v>
                </c:pt>
                <c:pt idx="24">
                  <c:v>4.9999999999999984E-3</c:v>
                </c:pt>
              </c:numCache>
            </c:numRef>
          </c:xVal>
          <c:yVal>
            <c:numRef>
              <c:f>SERFTbl1!$H$12:$H$36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-1.5625000022012614E-4</c:v>
                </c:pt>
                <c:pt idx="2">
                  <c:v>-3.1249999831217679E-4</c:v>
                </c:pt>
                <c:pt idx="3">
                  <c:v>-4.6874997813972641E-4</c:v>
                </c:pt>
                <c:pt idx="4">
                  <c:v>-6.2499996133880131E-4</c:v>
                </c:pt>
                <c:pt idx="5">
                  <c:v>-7.8124991621564277E-4</c:v>
                </c:pt>
                <c:pt idx="6">
                  <c:v>-9.3749985555646731E-4</c:v>
                </c:pt>
                <c:pt idx="7">
                  <c:v>-1.0937497743270796E-3</c:v>
                </c:pt>
                <c:pt idx="8">
                  <c:v>-1.2499996608816843E-3</c:v>
                </c:pt>
                <c:pt idx="9">
                  <c:v>-1.4062495124278485E-3</c:v>
                </c:pt>
                <c:pt idx="10">
                  <c:v>-1.5624993333354098E-3</c:v>
                </c:pt>
                <c:pt idx="11">
                  <c:v>-1.7187491124239784E-3</c:v>
                </c:pt>
                <c:pt idx="12">
                  <c:v>-1.8749988472599455E-3</c:v>
                </c:pt>
                <c:pt idx="13">
                  <c:v>-2.0312485346458686E-3</c:v>
                </c:pt>
                <c:pt idx="14">
                  <c:v>-2.1874981708727148E-3</c:v>
                </c:pt>
                <c:pt idx="15">
                  <c:v>-2.3437477501317971E-3</c:v>
                </c:pt>
                <c:pt idx="16">
                  <c:v>-2.4999972684902616E-3</c:v>
                </c:pt>
                <c:pt idx="17">
                  <c:v>-2.6562467241468823E-3</c:v>
                </c:pt>
                <c:pt idx="18">
                  <c:v>-2.8124961108950686E-3</c:v>
                </c:pt>
                <c:pt idx="19">
                  <c:v>-2.968745425611985E-3</c:v>
                </c:pt>
                <c:pt idx="20">
                  <c:v>-3.1249946654909877E-3</c:v>
                </c:pt>
                <c:pt idx="21">
                  <c:v>-3.2812438241407449E-3</c:v>
                </c:pt>
                <c:pt idx="22">
                  <c:v>-3.4374928996960818E-3</c:v>
                </c:pt>
                <c:pt idx="23">
                  <c:v>-3.5937418857088232E-3</c:v>
                </c:pt>
                <c:pt idx="24">
                  <c:v>-3.7499907815536915E-3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8E-4D1A-8C1F-5B9FD757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65600"/>
        <c:axId val="171867520"/>
      </c:scatterChart>
      <c:valAx>
        <c:axId val="171865600"/>
        <c:scaling>
          <c:orientation val="minMax"/>
        </c:scaling>
        <c:delete val="0"/>
        <c:axPos val="b"/>
        <c:title>
          <c:tx>
            <c:strRef>
              <c:f>SERFTbl1!$B$11</c:f>
              <c:strCache>
                <c:ptCount val="1"/>
                <c:pt idx="0">
                  <c:v>RRAC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171867520"/>
        <c:crosses val="autoZero"/>
        <c:crossBetween val="midCat"/>
      </c:valAx>
      <c:valAx>
        <c:axId val="17186752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171865600"/>
        <c:crosses val="autoZero"/>
        <c:crossBetween val="midCat"/>
      </c:valAx>
      <c:spPr>
        <a:noFill/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SERFTbl1!$A$1</c:f>
          <c:strCache>
            <c:ptCount val="1"/>
            <c:pt idx="0">
              <c:v>Stochastic Efficiency with Respect to A Function (SERF) Under a Neg. Exponential Utility Function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SERFTbl1!$C$11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SERFTbl1!$C$11</c:f>
                  <c:strCache>
                    <c:ptCount val="1"/>
                    <c:pt idx="0">
                      <c:v>X</c:v>
                    </c:pt>
                  </c:strCache>
                </c:strRef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{8034AAF6-2570-4FB1-9029-186233046378}</c15:txfldGUID>
                      <c15:f>SERFTbl1!$C$11</c15:f>
                      <c15:dlblFieldTableCache>
                        <c:ptCount val="1"/>
                        <c:pt idx="0">
                          <c:v>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CFC-4F50-86C9-B3F95E3C0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2.0833333333333335E-4</c:v>
                </c:pt>
                <c:pt idx="2">
                  <c:v>4.1666666666666669E-4</c:v>
                </c:pt>
                <c:pt idx="3">
                  <c:v>6.2500000000000001E-4</c:v>
                </c:pt>
                <c:pt idx="4">
                  <c:v>8.3333333333333339E-4</c:v>
                </c:pt>
                <c:pt idx="5">
                  <c:v>1.0416666666666667E-3</c:v>
                </c:pt>
                <c:pt idx="6">
                  <c:v>1.25E-3</c:v>
                </c:pt>
                <c:pt idx="7">
                  <c:v>1.4583333333333334E-3</c:v>
                </c:pt>
                <c:pt idx="8">
                  <c:v>1.6666666666666668E-3</c:v>
                </c:pt>
                <c:pt idx="9">
                  <c:v>1.8750000000000001E-3</c:v>
                </c:pt>
                <c:pt idx="10">
                  <c:v>2.0833333333333333E-3</c:v>
                </c:pt>
                <c:pt idx="11">
                  <c:v>2.2916666666666667E-3</c:v>
                </c:pt>
                <c:pt idx="12">
                  <c:v>2.5000000000000001E-3</c:v>
                </c:pt>
                <c:pt idx="13">
                  <c:v>2.7083333333333334E-3</c:v>
                </c:pt>
                <c:pt idx="14">
                  <c:v>2.9166666666666668E-3</c:v>
                </c:pt>
                <c:pt idx="15">
                  <c:v>3.1250000000000002E-3</c:v>
                </c:pt>
                <c:pt idx="16">
                  <c:v>3.3333333333333335E-3</c:v>
                </c:pt>
                <c:pt idx="17">
                  <c:v>3.5416666666666669E-3</c:v>
                </c:pt>
                <c:pt idx="18">
                  <c:v>3.7500000000000003E-3</c:v>
                </c:pt>
                <c:pt idx="19">
                  <c:v>3.9583333333333337E-3</c:v>
                </c:pt>
                <c:pt idx="20">
                  <c:v>4.1666666666666666E-3</c:v>
                </c:pt>
                <c:pt idx="21">
                  <c:v>4.3749999999999995E-3</c:v>
                </c:pt>
                <c:pt idx="22">
                  <c:v>4.5833333333333325E-3</c:v>
                </c:pt>
                <c:pt idx="23">
                  <c:v>4.7916666666666654E-3</c:v>
                </c:pt>
                <c:pt idx="24">
                  <c:v>4.9999999999999984E-3</c:v>
                </c:pt>
              </c:numCache>
            </c:numRef>
          </c:xVal>
          <c:yVal>
            <c:numRef>
              <c:f>SERFTbl1!$C$12:$C$36</c:f>
              <c:numCache>
                <c:formatCode>#,##0.0000</c:formatCode>
                <c:ptCount val="25"/>
                <c:pt idx="0">
                  <c:v>25</c:v>
                </c:pt>
                <c:pt idx="1">
                  <c:v>24.999479166663701</c:v>
                </c:pt>
                <c:pt idx="2">
                  <c:v>24.99895833333473</c:v>
                </c:pt>
                <c:pt idx="3">
                  <c:v>24.998437500012621</c:v>
                </c:pt>
                <c:pt idx="4">
                  <c:v>24.997916666701837</c:v>
                </c:pt>
                <c:pt idx="5">
                  <c:v>24.997395833396151</c:v>
                </c:pt>
                <c:pt idx="6">
                  <c:v>24.996875000109753</c:v>
                </c:pt>
                <c:pt idx="7">
                  <c:v>24.996354166843581</c:v>
                </c:pt>
                <c:pt idx="8">
                  <c:v>24.995833333596941</c:v>
                </c:pt>
                <c:pt idx="9">
                  <c:v>24.995312500372812</c:v>
                </c:pt>
                <c:pt idx="10">
                  <c:v>24.994791667178703</c:v>
                </c:pt>
                <c:pt idx="11">
                  <c:v>24.994270834016035</c:v>
                </c:pt>
                <c:pt idx="12">
                  <c:v>24.99375000088494</c:v>
                </c:pt>
                <c:pt idx="13">
                  <c:v>24.993229167791903</c:v>
                </c:pt>
                <c:pt idx="14">
                  <c:v>24.992708334739863</c:v>
                </c:pt>
                <c:pt idx="15">
                  <c:v>24.992187501729379</c:v>
                </c:pt>
                <c:pt idx="16">
                  <c:v>24.991666668766047</c:v>
                </c:pt>
                <c:pt idx="17">
                  <c:v>24.991145835850364</c:v>
                </c:pt>
                <c:pt idx="18">
                  <c:v>24.99062500298804</c:v>
                </c:pt>
                <c:pt idx="19">
                  <c:v>24.990104170180885</c:v>
                </c:pt>
                <c:pt idx="20">
                  <c:v>24.98958333743246</c:v>
                </c:pt>
                <c:pt idx="21">
                  <c:v>24.989062504745092</c:v>
                </c:pt>
                <c:pt idx="22">
                  <c:v>24.988541672122576</c:v>
                </c:pt>
                <c:pt idx="23">
                  <c:v>24.988020839567557</c:v>
                </c:pt>
                <c:pt idx="24">
                  <c:v>24.987500007083394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FC-4F50-86C9-B3F95E3C091F}"/>
            </c:ext>
          </c:extLst>
        </c:ser>
        <c:ser>
          <c:idx val="1"/>
          <c:order val="1"/>
          <c:tx>
            <c:strRef>
              <c:f>SERFTbl1!$D$11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SERFTbl1!$D$11</c:f>
                  <c:strCache>
                    <c:ptCount val="1"/>
                    <c:pt idx="0">
                      <c:v>Y</c:v>
                    </c:pt>
                  </c:strCache>
                </c:strRef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{F5246B48-F894-42D1-858C-6B0AF5E5FEA5}</c15:txfldGUID>
                      <c15:f>SERFTbl1!$D$11</c15:f>
                      <c15:dlblFieldTableCache>
                        <c:ptCount val="1"/>
                        <c:pt idx="0">
                          <c:v>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CFC-4F50-86C9-B3F95E3C0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2.0833333333333335E-4</c:v>
                </c:pt>
                <c:pt idx="2">
                  <c:v>4.1666666666666669E-4</c:v>
                </c:pt>
                <c:pt idx="3">
                  <c:v>6.2500000000000001E-4</c:v>
                </c:pt>
                <c:pt idx="4">
                  <c:v>8.3333333333333339E-4</c:v>
                </c:pt>
                <c:pt idx="5">
                  <c:v>1.0416666666666667E-3</c:v>
                </c:pt>
                <c:pt idx="6">
                  <c:v>1.25E-3</c:v>
                </c:pt>
                <c:pt idx="7">
                  <c:v>1.4583333333333334E-3</c:v>
                </c:pt>
                <c:pt idx="8">
                  <c:v>1.6666666666666668E-3</c:v>
                </c:pt>
                <c:pt idx="9">
                  <c:v>1.8750000000000001E-3</c:v>
                </c:pt>
                <c:pt idx="10">
                  <c:v>2.0833333333333333E-3</c:v>
                </c:pt>
                <c:pt idx="11">
                  <c:v>2.2916666666666667E-3</c:v>
                </c:pt>
                <c:pt idx="12">
                  <c:v>2.5000000000000001E-3</c:v>
                </c:pt>
                <c:pt idx="13">
                  <c:v>2.7083333333333334E-3</c:v>
                </c:pt>
                <c:pt idx="14">
                  <c:v>2.9166666666666668E-3</c:v>
                </c:pt>
                <c:pt idx="15">
                  <c:v>3.1250000000000002E-3</c:v>
                </c:pt>
                <c:pt idx="16">
                  <c:v>3.3333333333333335E-3</c:v>
                </c:pt>
                <c:pt idx="17">
                  <c:v>3.5416666666666669E-3</c:v>
                </c:pt>
                <c:pt idx="18">
                  <c:v>3.7500000000000003E-3</c:v>
                </c:pt>
                <c:pt idx="19">
                  <c:v>3.9583333333333337E-3</c:v>
                </c:pt>
                <c:pt idx="20">
                  <c:v>4.1666666666666666E-3</c:v>
                </c:pt>
                <c:pt idx="21">
                  <c:v>4.3749999999999995E-3</c:v>
                </c:pt>
                <c:pt idx="22">
                  <c:v>4.5833333333333325E-3</c:v>
                </c:pt>
                <c:pt idx="23">
                  <c:v>4.7916666666666654E-3</c:v>
                </c:pt>
                <c:pt idx="24">
                  <c:v>4.9999999999999984E-3</c:v>
                </c:pt>
              </c:numCache>
            </c:numRef>
          </c:xVal>
          <c:yVal>
            <c:numRef>
              <c:f>SERFTbl1!$D$12:$D$36</c:f>
              <c:numCache>
                <c:formatCode>#,##0.0000</c:formatCode>
                <c:ptCount val="25"/>
                <c:pt idx="0">
                  <c:v>25</c:v>
                </c:pt>
                <c:pt idx="1">
                  <c:v>24.99932291666348</c:v>
                </c:pt>
                <c:pt idx="2">
                  <c:v>24.998645833336418</c:v>
                </c:pt>
                <c:pt idx="3">
                  <c:v>24.997968750034481</c:v>
                </c:pt>
                <c:pt idx="4">
                  <c:v>24.997291666740498</c:v>
                </c:pt>
                <c:pt idx="5">
                  <c:v>24.996614583479936</c:v>
                </c:pt>
                <c:pt idx="6">
                  <c:v>24.995937500254197</c:v>
                </c:pt>
                <c:pt idx="7">
                  <c:v>24.995260417069254</c:v>
                </c:pt>
                <c:pt idx="8">
                  <c:v>24.99458333393606</c:v>
                </c:pt>
                <c:pt idx="9">
                  <c:v>24.993906250860384</c:v>
                </c:pt>
                <c:pt idx="10">
                  <c:v>24.993229167845367</c:v>
                </c:pt>
                <c:pt idx="11">
                  <c:v>24.992552084903611</c:v>
                </c:pt>
                <c:pt idx="12">
                  <c:v>24.991875002037681</c:v>
                </c:pt>
                <c:pt idx="13">
                  <c:v>24.991197919257257</c:v>
                </c:pt>
                <c:pt idx="14">
                  <c:v>24.99052083656899</c:v>
                </c:pt>
                <c:pt idx="15">
                  <c:v>24.989843753979248</c:v>
                </c:pt>
                <c:pt idx="16">
                  <c:v>24.989166671497557</c:v>
                </c:pt>
                <c:pt idx="17">
                  <c:v>24.988489589126218</c:v>
                </c:pt>
                <c:pt idx="18">
                  <c:v>24.987812506877145</c:v>
                </c:pt>
                <c:pt idx="19">
                  <c:v>24.987135424755273</c:v>
                </c:pt>
                <c:pt idx="20">
                  <c:v>24.986458342766969</c:v>
                </c:pt>
                <c:pt idx="21">
                  <c:v>24.985781260920952</c:v>
                </c:pt>
                <c:pt idx="22">
                  <c:v>24.98510417922288</c:v>
                </c:pt>
                <c:pt idx="23">
                  <c:v>24.984427097681849</c:v>
                </c:pt>
                <c:pt idx="24">
                  <c:v>24.98375001630184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C-4F50-86C9-B3F95E3C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35872"/>
        <c:axId val="172337792"/>
      </c:scatterChart>
      <c:valAx>
        <c:axId val="172335872"/>
        <c:scaling>
          <c:orientation val="minMax"/>
        </c:scaling>
        <c:delete val="0"/>
        <c:axPos val="b"/>
        <c:title>
          <c:tx>
            <c:strRef>
              <c:f>SERFTbl1!$B$11</c:f>
              <c:strCache>
                <c:ptCount val="1"/>
                <c:pt idx="0">
                  <c:v>RRAC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172337792"/>
        <c:crosses val="autoZero"/>
        <c:crossBetween val="midCat"/>
      </c:valAx>
      <c:valAx>
        <c:axId val="172337792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Certainty Equivalent</a:t>
                </a:r>
                <a:endParaRPr/>
              </a:p>
            </c:rich>
          </c:tx>
          <c:overlay val="0"/>
        </c:title>
        <c:numFmt formatCode="#,##0.0000" sourceLinked="1"/>
        <c:majorTickMark val="out"/>
        <c:minorTickMark val="none"/>
        <c:tickLblPos val="nextTo"/>
        <c:crossAx val="172335872"/>
        <c:crosses val="autoZero"/>
        <c:crossBetween val="midCat"/>
      </c:valAx>
      <c:spPr>
        <a:noFill/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595312</xdr:colOff>
      <xdr:row>18</xdr:row>
      <xdr:rowOff>7144</xdr:rowOff>
    </xdr:from>
    <xdr:to>
      <xdr:col>10</xdr:col>
      <xdr:colOff>290512</xdr:colOff>
      <xdr:row>32</xdr:row>
      <xdr:rowOff>83344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20</xdr:row>
      <xdr:rowOff>123825</xdr:rowOff>
    </xdr:from>
    <xdr:to>
      <xdr:col>19</xdr:col>
      <xdr:colOff>79375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0</xdr:row>
      <xdr:rowOff>9525</xdr:rowOff>
    </xdr:from>
    <xdr:to>
      <xdr:col>19</xdr:col>
      <xdr:colOff>165100</xdr:colOff>
      <xdr:row>19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="80" zoomScaleNormal="80" workbookViewId="0">
      <selection activeCell="T31" sqref="T31"/>
    </sheetView>
  </sheetViews>
  <sheetFormatPr defaultRowHeight="15" x14ac:dyDescent="0.25"/>
  <sheetData>
    <row r="1" spans="1:18" x14ac:dyDescent="0.25">
      <c r="A1" s="1" t="str">
        <f>_xll.WBNAME()</f>
        <v>L_12_Experiment_with_Utility_Functions.xlsx</v>
      </c>
    </row>
    <row r="3" spans="1:18" x14ac:dyDescent="0.25">
      <c r="D3" t="s">
        <v>0</v>
      </c>
      <c r="E3">
        <v>0.5</v>
      </c>
      <c r="J3" t="s">
        <v>0</v>
      </c>
      <c r="K3">
        <v>0.5</v>
      </c>
    </row>
    <row r="4" spans="1:18" x14ac:dyDescent="0.25">
      <c r="D4" t="s">
        <v>11</v>
      </c>
      <c r="E4">
        <f>E3/100</f>
        <v>5.0000000000000001E-3</v>
      </c>
      <c r="J4" t="s">
        <v>11</v>
      </c>
      <c r="K4">
        <f>K3/100</f>
        <v>5.0000000000000001E-3</v>
      </c>
    </row>
    <row r="5" spans="1:18" x14ac:dyDescent="0.25">
      <c r="A5" s="1" t="s">
        <v>22</v>
      </c>
      <c r="D5" t="s">
        <v>2</v>
      </c>
      <c r="G5" t="s">
        <v>1</v>
      </c>
      <c r="J5" t="s">
        <v>2</v>
      </c>
      <c r="M5" t="s">
        <v>1</v>
      </c>
      <c r="Q5" t="s">
        <v>5</v>
      </c>
      <c r="R5" t="s">
        <v>6</v>
      </c>
    </row>
    <row r="6" spans="1:18" x14ac:dyDescent="0.25">
      <c r="C6">
        <v>0.25</v>
      </c>
      <c r="D6">
        <v>10</v>
      </c>
      <c r="E6">
        <f>(1/(1-E3))</f>
        <v>2</v>
      </c>
      <c r="F6">
        <f>D6^(1-E3)</f>
        <v>3.1622776601683795</v>
      </c>
      <c r="G6">
        <f>F6*E6</f>
        <v>6.324555320336759</v>
      </c>
      <c r="I6">
        <v>0.25</v>
      </c>
      <c r="J6">
        <v>10</v>
      </c>
      <c r="K6">
        <f>(1/(1-K3))</f>
        <v>2</v>
      </c>
      <c r="L6">
        <f>J6^(1-K3)</f>
        <v>3.1622776601683795</v>
      </c>
      <c r="M6">
        <f>L6*K6</f>
        <v>6.324555320336759</v>
      </c>
      <c r="Q6">
        <f>D6</f>
        <v>10</v>
      </c>
      <c r="R6">
        <f>J6</f>
        <v>10</v>
      </c>
    </row>
    <row r="7" spans="1:18" x14ac:dyDescent="0.25">
      <c r="C7">
        <v>0.25</v>
      </c>
      <c r="D7">
        <v>20</v>
      </c>
      <c r="E7">
        <f>(1/(1-E3))</f>
        <v>2</v>
      </c>
      <c r="F7">
        <f>D7^(1-E3)</f>
        <v>4.4721359549995796</v>
      </c>
      <c r="G7">
        <f t="shared" ref="G7:G9" si="0">F7*E7</f>
        <v>8.9442719099991592</v>
      </c>
      <c r="I7">
        <v>0.25</v>
      </c>
      <c r="J7">
        <v>15</v>
      </c>
      <c r="K7">
        <f>(1/(1-$K$3))</f>
        <v>2</v>
      </c>
      <c r="L7">
        <f>J7^(1-$K$3)</f>
        <v>3.872983346207417</v>
      </c>
      <c r="M7">
        <f t="shared" ref="M7" si="1">L7*K7</f>
        <v>7.745966692414834</v>
      </c>
      <c r="Q7">
        <f t="shared" ref="Q7:Q9" si="2">D7</f>
        <v>20</v>
      </c>
      <c r="R7">
        <f t="shared" ref="R7:R9" si="3">J7</f>
        <v>15</v>
      </c>
    </row>
    <row r="8" spans="1:18" x14ac:dyDescent="0.25">
      <c r="C8">
        <v>0.25</v>
      </c>
      <c r="D8">
        <v>30</v>
      </c>
      <c r="E8">
        <f>(1/(1-E3))</f>
        <v>2</v>
      </c>
      <c r="F8">
        <f>D8^(1-E3)</f>
        <v>5.4772255750516612</v>
      </c>
      <c r="G8">
        <f t="shared" si="0"/>
        <v>10.954451150103322</v>
      </c>
      <c r="I8">
        <v>0.25</v>
      </c>
      <c r="J8">
        <v>35</v>
      </c>
      <c r="K8">
        <f t="shared" ref="K8:K9" si="4">(1/(1-$K$3))</f>
        <v>2</v>
      </c>
      <c r="L8">
        <f t="shared" ref="L8:L9" si="5">J8^(1-$K$3)</f>
        <v>5.9160797830996161</v>
      </c>
      <c r="M8">
        <f t="shared" ref="M8:M9" si="6">L8*K8</f>
        <v>11.832159566199232</v>
      </c>
      <c r="Q8">
        <f t="shared" si="2"/>
        <v>30</v>
      </c>
      <c r="R8">
        <f t="shared" si="3"/>
        <v>35</v>
      </c>
    </row>
    <row r="9" spans="1:18" x14ac:dyDescent="0.25">
      <c r="C9">
        <v>0.25</v>
      </c>
      <c r="D9">
        <v>40</v>
      </c>
      <c r="E9">
        <f>(1/(1-E3))</f>
        <v>2</v>
      </c>
      <c r="F9">
        <f>D9^(1-E3)</f>
        <v>6.324555320336759</v>
      </c>
      <c r="G9">
        <f t="shared" si="0"/>
        <v>12.649110640673518</v>
      </c>
      <c r="I9">
        <v>0.25</v>
      </c>
      <c r="J9">
        <v>40</v>
      </c>
      <c r="K9">
        <f t="shared" si="4"/>
        <v>2</v>
      </c>
      <c r="L9">
        <f t="shared" si="5"/>
        <v>6.324555320336759</v>
      </c>
      <c r="M9">
        <f t="shared" si="6"/>
        <v>12.649110640673518</v>
      </c>
      <c r="Q9">
        <f t="shared" si="2"/>
        <v>40</v>
      </c>
      <c r="R9">
        <f t="shared" si="3"/>
        <v>40</v>
      </c>
    </row>
    <row r="10" spans="1:18" x14ac:dyDescent="0.25">
      <c r="B10" t="s">
        <v>3</v>
      </c>
      <c r="C10">
        <f>SUMPRODUCT(C6:C9,D6:D9)</f>
        <v>25</v>
      </c>
      <c r="I10">
        <f>SUMPRODUCT(I6:I9,J6:J9)</f>
        <v>25</v>
      </c>
    </row>
    <row r="11" spans="1:18" x14ac:dyDescent="0.25">
      <c r="B11" t="s">
        <v>4</v>
      </c>
      <c r="C11">
        <f>SUMPRODUCT(C6:C9,G6:G9)</f>
        <v>9.7180972552781899</v>
      </c>
      <c r="I11">
        <f>SUMPRODUCT(I6:I9,M6:M9)</f>
        <v>9.6379480549060865</v>
      </c>
    </row>
    <row r="12" spans="1:18" x14ac:dyDescent="0.25">
      <c r="A12" s="1" t="s">
        <v>23</v>
      </c>
    </row>
    <row r="13" spans="1:18" x14ac:dyDescent="0.25">
      <c r="C13">
        <f>C6</f>
        <v>0.25</v>
      </c>
      <c r="D13">
        <f>D6</f>
        <v>10</v>
      </c>
      <c r="E13">
        <f>1-EXP(-$E$4*D13)</f>
        <v>4.8770575499285984E-2</v>
      </c>
      <c r="I13">
        <f>I6</f>
        <v>0.25</v>
      </c>
      <c r="J13">
        <f>J6</f>
        <v>10</v>
      </c>
      <c r="K13">
        <f>1-EXP(-$K$4*J13)</f>
        <v>4.8770575499285984E-2</v>
      </c>
    </row>
    <row r="14" spans="1:18" x14ac:dyDescent="0.25">
      <c r="C14">
        <f>C7</f>
        <v>0.25</v>
      </c>
      <c r="D14">
        <f>D7</f>
        <v>20</v>
      </c>
      <c r="E14">
        <f t="shared" ref="E14:E16" si="7">1-EXP(-$E$4*D14)</f>
        <v>9.5162581964040482E-2</v>
      </c>
      <c r="I14">
        <f>I7</f>
        <v>0.25</v>
      </c>
      <c r="J14">
        <f>J7</f>
        <v>15</v>
      </c>
      <c r="K14">
        <f t="shared" ref="K14:K16" si="8">1-EXP(-$K$4*J14)</f>
        <v>7.2256513671447142E-2</v>
      </c>
    </row>
    <row r="15" spans="1:18" x14ac:dyDescent="0.25">
      <c r="C15">
        <f t="shared" ref="C15:D15" si="9">C8</f>
        <v>0.25</v>
      </c>
      <c r="D15">
        <f t="shared" si="9"/>
        <v>30</v>
      </c>
      <c r="E15">
        <f t="shared" si="7"/>
        <v>0.13929202357494219</v>
      </c>
      <c r="I15">
        <f t="shared" ref="I15:J15" si="10">I8</f>
        <v>0.25</v>
      </c>
      <c r="J15">
        <f t="shared" si="10"/>
        <v>35</v>
      </c>
      <c r="K15">
        <f t="shared" si="8"/>
        <v>0.16054297923079264</v>
      </c>
    </row>
    <row r="16" spans="1:18" x14ac:dyDescent="0.25">
      <c r="C16">
        <f t="shared" ref="C16:D16" si="11">C9</f>
        <v>0.25</v>
      </c>
      <c r="D16">
        <f t="shared" si="11"/>
        <v>40</v>
      </c>
      <c r="E16">
        <f t="shared" si="7"/>
        <v>0.18126924692201818</v>
      </c>
      <c r="I16">
        <f t="shared" ref="I16:J16" si="12">I9</f>
        <v>0.25</v>
      </c>
      <c r="J16">
        <f t="shared" si="12"/>
        <v>40</v>
      </c>
      <c r="K16">
        <f t="shared" si="8"/>
        <v>0.18126924692201818</v>
      </c>
    </row>
    <row r="17" spans="2:22" x14ac:dyDescent="0.25">
      <c r="B17" t="str">
        <f>B11</f>
        <v>E(U(w))</v>
      </c>
      <c r="D17">
        <f>SUMPRODUCT(C13:C16,E13:E16)</f>
        <v>0.11612360699007171</v>
      </c>
      <c r="J17">
        <f>SUMPRODUCT(I13:I16,K13:K16)</f>
        <v>0.11570982883088599</v>
      </c>
      <c r="S17" t="str">
        <f>Sheet1!$Q$5</f>
        <v>X</v>
      </c>
      <c r="T17" t="s">
        <v>7</v>
      </c>
      <c r="U17" t="str">
        <f>Sheet1!$R$5</f>
        <v>Y</v>
      </c>
      <c r="V17" t="s">
        <v>7</v>
      </c>
    </row>
    <row r="18" spans="2:22" x14ac:dyDescent="0.25">
      <c r="B18" t="s">
        <v>24</v>
      </c>
      <c r="D18">
        <f>_xll.CERTEQ(D13:D16,E4)</f>
        <v>24.687610606606697</v>
      </c>
      <c r="J18">
        <f>_xll.CERTEQ(J13:J16,K4)</f>
        <v>24.59400445543934</v>
      </c>
      <c r="S18">
        <f>SMALL(Sheet1!$Q$6:$Q$9,1)</f>
        <v>10</v>
      </c>
      <c r="T18">
        <v>0</v>
      </c>
      <c r="U18">
        <f>SMALL(Sheet1!$R$6:$R$9,1)</f>
        <v>10</v>
      </c>
      <c r="V18">
        <v>0</v>
      </c>
    </row>
    <row r="19" spans="2:22" x14ac:dyDescent="0.25">
      <c r="S19">
        <f>SMALL(Sheet1!$Q$6:$Q$9,2)</f>
        <v>20</v>
      </c>
      <c r="T19">
        <f>IF(COUNT(T18)&gt;=COUNT(Sheet1!$Q$6:$Q$9),NA(),1/(COUNT(Sheet1!$Q$6:$Q$9)-1)+T18)</f>
        <v>0.33333333333333331</v>
      </c>
      <c r="U19">
        <f>SMALL(Sheet1!$R$6:$R$9,2)</f>
        <v>15</v>
      </c>
      <c r="V19">
        <f>IF(COUNT(V18)&gt;=COUNT(Sheet1!$R$6:$R$9),NA(),1/(COUNT(Sheet1!$R$6:$R$9)-1)+V18)</f>
        <v>0.33333333333333331</v>
      </c>
    </row>
    <row r="20" spans="2:22" x14ac:dyDescent="0.25">
      <c r="S20">
        <f>SMALL(Sheet1!$Q$6:$Q$9,3)</f>
        <v>30</v>
      </c>
      <c r="T20">
        <f>IF(COUNT(T18:T19)&gt;=COUNT(Sheet1!$Q$6:$Q$9),NA(),1/(COUNT(Sheet1!$Q$6:$Q$9)-1)+T19)</f>
        <v>0.66666666666666663</v>
      </c>
      <c r="U20">
        <f>SMALL(Sheet1!$R$6:$R$9,3)</f>
        <v>35</v>
      </c>
      <c r="V20">
        <f>IF(COUNT(V18:V19)&gt;=COUNT(Sheet1!$R$6:$R$9),NA(),1/(COUNT(Sheet1!$R$6:$R$9)-1)+V19)</f>
        <v>0.66666666666666663</v>
      </c>
    </row>
    <row r="21" spans="2:22" x14ac:dyDescent="0.25">
      <c r="S21">
        <f>SMALL(Sheet1!$Q$6:$Q$9,4)</f>
        <v>40</v>
      </c>
      <c r="T21">
        <f>IF(COUNT(T18:T20)&gt;=COUNT(Sheet1!$Q$6:$Q$9),NA(),1/(COUNT(Sheet1!$Q$6:$Q$9)-1)+T20)</f>
        <v>1</v>
      </c>
      <c r="U21">
        <f>SMALL(Sheet1!$R$6:$R$9,4)</f>
        <v>40</v>
      </c>
      <c r="V21">
        <f>IF(COUNT(V18:V20)&gt;=COUNT(Sheet1!$R$6:$R$9),NA(),1/(COUNT(Sheet1!$R$6:$R$9)-1)+V20)</f>
        <v>1</v>
      </c>
    </row>
  </sheetData>
  <printOptions gridLines="1"/>
  <pageMargins left="0.7" right="0.7" top="0.75" bottom="0.7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8" workbookViewId="0">
      <selection activeCell="C36" sqref="C36"/>
    </sheetView>
  </sheetViews>
  <sheetFormatPr defaultRowHeight="15" x14ac:dyDescent="0.25"/>
  <sheetData>
    <row r="1" spans="1:8" x14ac:dyDescent="0.25">
      <c r="A1" t="str">
        <f>"Stochastic Efficiency with Respect to A Function (SERF) Under a"&amp;IF($D$4=1," Neg. Exponential",IF($D$4=2," Power",IF($D$4=3,"n Expo-Power",IF($D$4=4," Quadratic",IF($D$4=5," Log",IF($D$4=6,"n Exponent",IF($D$4=7," HARA","")))))))&amp;" Utility Function"</f>
        <v>Stochastic Efficiency with Respect to A Function (SERF) Under a Neg. Exponential Utility Function</v>
      </c>
      <c r="F1" t="str">
        <f>IF($D$4=1,"Neg. Exponential",IF($D$4=2,"Power",IF($D$4=3,"Expo-Power",IF($D$4=4,"Quadratic",IF($D$4=5,"Log",IF($D$4=6,"Exponent",IF($D$4=7,"HARA","")))))))&amp;" Utility Weighted Risk Premiums Relative to "&amp;$F$3</f>
        <v>Neg. Exponential Utility Weighted Risk Premiums Relative to X</v>
      </c>
    </row>
    <row r="2" spans="1:8" ht="15.75" thickBot="1" x14ac:dyDescent="0.3">
      <c r="A2" t="s">
        <v>8</v>
      </c>
      <c r="F2" t="s">
        <v>20</v>
      </c>
    </row>
    <row r="3" spans="1:8" ht="16.5" thickTop="1" thickBot="1" x14ac:dyDescent="0.3">
      <c r="A3" t="s">
        <v>9</v>
      </c>
      <c r="B3" s="2">
        <v>0</v>
      </c>
      <c r="D3" t="str">
        <f>$D$4&amp;" = "&amp;IF($D$4=1,"Neg. Exponential",IF($D$4=2,"Power",IF($D$4=3,"Expo-Power",IF($D$4=4,"Quadratic",IF($D$4=5,"Log",IF($D$4=6,"Exponent",IF($D$4=7,"HARA",""))))))&amp;" Utility Function")</f>
        <v>1 = Neg. Exponential</v>
      </c>
      <c r="F3" s="4" t="str">
        <f>$C$11</f>
        <v>X</v>
      </c>
      <c r="G3" t="s">
        <v>21</v>
      </c>
    </row>
    <row r="4" spans="1:8" ht="15.75" thickTop="1" x14ac:dyDescent="0.25">
      <c r="A4" t="s">
        <v>10</v>
      </c>
      <c r="B4" s="2">
        <f>Sheet1!E4</f>
        <v>5.0000000000000001E-3</v>
      </c>
      <c r="D4" s="1">
        <v>1</v>
      </c>
    </row>
    <row r="5" spans="1:8" x14ac:dyDescent="0.25">
      <c r="A5" t="s">
        <v>11</v>
      </c>
      <c r="B5" s="2" t="b">
        <v>0</v>
      </c>
      <c r="D5" t="str">
        <f>"U(x) = "&amp;IF($D$4=1,"-exp(-ARAC*x)",IF($D$4=2,"(1/(1-RRAC))*x^(1-RRAC)",IF($D$4=3,"-exp(-b*x^a)",IF($D$4=4,"a*x-b/2*x^2, a&gt;0",IF($D$4=5,"ln(x+a)",IF($D$4=6,"(x+a)^b",IF($D$4=7,"c/(1-c)*(a+b/c*x)^(1-c)","")))))))</f>
        <v>U(x) = -exp(-ARAC*x)</v>
      </c>
    </row>
    <row r="6" spans="1:8" x14ac:dyDescent="0.25">
      <c r="A6" t="s">
        <v>12</v>
      </c>
      <c r="B6" s="2">
        <v>100</v>
      </c>
    </row>
    <row r="7" spans="1:8" x14ac:dyDescent="0.25">
      <c r="A7" t="s">
        <v>13</v>
      </c>
      <c r="B7" s="2" t="s">
        <v>16</v>
      </c>
      <c r="D7" t="s">
        <v>17</v>
      </c>
    </row>
    <row r="8" spans="1:8" x14ac:dyDescent="0.25">
      <c r="A8" t="s">
        <v>14</v>
      </c>
      <c r="B8" s="2" t="s">
        <v>16</v>
      </c>
      <c r="D8" t="s">
        <v>18</v>
      </c>
      <c r="E8">
        <f>AVERAGE(Sheet1!$Q$6:$Q$9,Sheet1!$R$6:$R$9,)</f>
        <v>22.222222222222221</v>
      </c>
    </row>
    <row r="9" spans="1:8" x14ac:dyDescent="0.25">
      <c r="A9" t="s">
        <v>15</v>
      </c>
      <c r="B9" s="2" t="s">
        <v>16</v>
      </c>
      <c r="D9" t="s">
        <v>19</v>
      </c>
      <c r="E9">
        <f>STDEV(Sheet1!$Q$6:$Q$9,Sheet1!$R$6:$R$9,)</f>
        <v>14.601179556612694</v>
      </c>
    </row>
    <row r="11" spans="1:8" x14ac:dyDescent="0.25">
      <c r="B11" t="str">
        <f>IF(AND($B$5),"A","R")&amp;"RAC"</f>
        <v>RRAC</v>
      </c>
      <c r="C11" t="str">
        <f>Sheet1!$Q$5</f>
        <v>X</v>
      </c>
      <c r="D11" t="str">
        <f>Sheet1!$R$5</f>
        <v>Y</v>
      </c>
      <c r="F11" t="str">
        <f>$B$11</f>
        <v>RRAC</v>
      </c>
      <c r="G11" t="str">
        <f>$C$11</f>
        <v>X</v>
      </c>
      <c r="H11" t="str">
        <f>$D$11</f>
        <v>Y</v>
      </c>
    </row>
    <row r="12" spans="1:8" x14ac:dyDescent="0.25">
      <c r="A12">
        <v>1</v>
      </c>
      <c r="B12">
        <f>$B$3</f>
        <v>0</v>
      </c>
      <c r="C12" s="6">
        <f>_xll.CERTEQ(Sheet1!$Q$6:$Q$9,$B$12,$D$4,$B$6,$B$5, $B$7,$B$8,$B$9)</f>
        <v>25</v>
      </c>
      <c r="D12" s="6">
        <f>_xll.CERTEQ(Sheet1!$R$6:$R$9,$B$12,$D$4,$B$6,$B$5, $B$7,$B$8,$B$9)</f>
        <v>25</v>
      </c>
      <c r="F12">
        <f>$B$12</f>
        <v>0</v>
      </c>
      <c r="G12" s="5">
        <f>$C$12-HLOOKUP($F$3,$C$11:$D$36,$A$12+1,FALSE)</f>
        <v>0</v>
      </c>
      <c r="H12" s="5">
        <f>$D$12-HLOOKUP($F$3,$C$11:$D$36,$A$12+1,FALSE)</f>
        <v>0</v>
      </c>
    </row>
    <row r="13" spans="1:8" x14ac:dyDescent="0.25">
      <c r="A13">
        <v>2</v>
      </c>
      <c r="B13" s="3">
        <f>$B$12+($B$4-$B$3)/24</f>
        <v>2.0833333333333335E-4</v>
      </c>
      <c r="C13" s="6">
        <f>_xll.CERTEQ(Sheet1!$Q$6:$Q$9,$B$13,$D$4,$B$6,$B$5, $B$7,$B$8,$B$9)</f>
        <v>24.999479166663701</v>
      </c>
      <c r="D13" s="6">
        <f>_xll.CERTEQ(Sheet1!$R$6:$R$9,$B$13,$D$4,$B$6,$B$5, $B$7,$B$8,$B$9)</f>
        <v>24.99932291666348</v>
      </c>
      <c r="F13" s="3">
        <f>$B$13</f>
        <v>2.0833333333333335E-4</v>
      </c>
      <c r="G13" s="5">
        <f>$C$13-HLOOKUP($F$3,$C$11:$D$36,$A$13+1,FALSE)</f>
        <v>0</v>
      </c>
      <c r="H13" s="5">
        <f>$D$13-HLOOKUP($F$3,$C$11:$D$36,$A$13+1,FALSE)</f>
        <v>-1.5625000022012614E-4</v>
      </c>
    </row>
    <row r="14" spans="1:8" x14ac:dyDescent="0.25">
      <c r="A14">
        <v>3</v>
      </c>
      <c r="B14" s="3">
        <f>$B$13+($B$4-$B$3)/24</f>
        <v>4.1666666666666669E-4</v>
      </c>
      <c r="C14" s="6">
        <f>_xll.CERTEQ(Sheet1!$Q$6:$Q$9,$B$14,$D$4,$B$6,$B$5, $B$7,$B$8,$B$9)</f>
        <v>24.99895833333473</v>
      </c>
      <c r="D14" s="6">
        <f>_xll.CERTEQ(Sheet1!$R$6:$R$9,$B$14,$D$4,$B$6,$B$5, $B$7,$B$8,$B$9)</f>
        <v>24.998645833336418</v>
      </c>
      <c r="F14" s="3">
        <f>$B$14</f>
        <v>4.1666666666666669E-4</v>
      </c>
      <c r="G14" s="5">
        <f>$C$14-HLOOKUP($F$3,$C$11:$D$36,$A$14+1,FALSE)</f>
        <v>0</v>
      </c>
      <c r="H14" s="5">
        <f>$D$14-HLOOKUP($F$3,$C$11:$D$36,$A$14+1,FALSE)</f>
        <v>-3.1249999831217679E-4</v>
      </c>
    </row>
    <row r="15" spans="1:8" x14ac:dyDescent="0.25">
      <c r="A15">
        <v>4</v>
      </c>
      <c r="B15" s="3">
        <f>$B$14+($B$4-$B$3)/24</f>
        <v>6.2500000000000001E-4</v>
      </c>
      <c r="C15" s="6">
        <f>_xll.CERTEQ(Sheet1!$Q$6:$Q$9,$B$15,$D$4,$B$6,$B$5, $B$7,$B$8,$B$9)</f>
        <v>24.998437500012621</v>
      </c>
      <c r="D15" s="6">
        <f>_xll.CERTEQ(Sheet1!$R$6:$R$9,$B$15,$D$4,$B$6,$B$5, $B$7,$B$8,$B$9)</f>
        <v>24.997968750034481</v>
      </c>
      <c r="F15" s="3">
        <f>$B$15</f>
        <v>6.2500000000000001E-4</v>
      </c>
      <c r="G15" s="5">
        <f>$C$15-HLOOKUP($F$3,$C$11:$D$36,$A$15+1,FALSE)</f>
        <v>0</v>
      </c>
      <c r="H15" s="5">
        <f>$D$15-HLOOKUP($F$3,$C$11:$D$36,$A$15+1,FALSE)</f>
        <v>-4.6874997813972641E-4</v>
      </c>
    </row>
    <row r="16" spans="1:8" x14ac:dyDescent="0.25">
      <c r="A16">
        <v>5</v>
      </c>
      <c r="B16" s="3">
        <f>$B$15+($B$4-$B$3)/24</f>
        <v>8.3333333333333339E-4</v>
      </c>
      <c r="C16" s="6">
        <f>_xll.CERTEQ(Sheet1!$Q$6:$Q$9,$B$16,$D$4,$B$6,$B$5, $B$7,$B$8,$B$9)</f>
        <v>24.997916666701837</v>
      </c>
      <c r="D16" s="6">
        <f>_xll.CERTEQ(Sheet1!$R$6:$R$9,$B$16,$D$4,$B$6,$B$5, $B$7,$B$8,$B$9)</f>
        <v>24.997291666740498</v>
      </c>
      <c r="F16" s="3">
        <f>$B$16</f>
        <v>8.3333333333333339E-4</v>
      </c>
      <c r="G16" s="5">
        <f>$C$16-HLOOKUP($F$3,$C$11:$D$36,$A$16+1,FALSE)</f>
        <v>0</v>
      </c>
      <c r="H16" s="5">
        <f>$D$16-HLOOKUP($F$3,$C$11:$D$36,$A$16+1,FALSE)</f>
        <v>-6.2499996133880131E-4</v>
      </c>
    </row>
    <row r="17" spans="1:8" x14ac:dyDescent="0.25">
      <c r="A17">
        <v>6</v>
      </c>
      <c r="B17" s="3">
        <f>$B$16+($B$4-$B$3)/24</f>
        <v>1.0416666666666667E-3</v>
      </c>
      <c r="C17" s="6">
        <f>_xll.CERTEQ(Sheet1!$Q$6:$Q$9,$B$17,$D$4,$B$6,$B$5, $B$7,$B$8,$B$9)</f>
        <v>24.997395833396151</v>
      </c>
      <c r="D17" s="6">
        <f>_xll.CERTEQ(Sheet1!$R$6:$R$9,$B$17,$D$4,$B$6,$B$5, $B$7,$B$8,$B$9)</f>
        <v>24.996614583479936</v>
      </c>
      <c r="F17" s="3">
        <f>$B$17</f>
        <v>1.0416666666666667E-3</v>
      </c>
      <c r="G17" s="5">
        <f>$C$17-HLOOKUP($F$3,$C$11:$D$36,$A$17+1,FALSE)</f>
        <v>0</v>
      </c>
      <c r="H17" s="5">
        <f>$D$17-HLOOKUP($F$3,$C$11:$D$36,$A$17+1,FALSE)</f>
        <v>-7.8124991621564277E-4</v>
      </c>
    </row>
    <row r="18" spans="1:8" x14ac:dyDescent="0.25">
      <c r="A18">
        <v>7</v>
      </c>
      <c r="B18" s="3">
        <f>$B$17+($B$4-$B$3)/24</f>
        <v>1.25E-3</v>
      </c>
      <c r="C18" s="6">
        <f>_xll.CERTEQ(Sheet1!$Q$6:$Q$9,$B$18,$D$4,$B$6,$B$5, $B$7,$B$8,$B$9)</f>
        <v>24.996875000109753</v>
      </c>
      <c r="D18" s="6">
        <f>_xll.CERTEQ(Sheet1!$R$6:$R$9,$B$18,$D$4,$B$6,$B$5, $B$7,$B$8,$B$9)</f>
        <v>24.995937500254197</v>
      </c>
      <c r="F18" s="3">
        <f>$B$18</f>
        <v>1.25E-3</v>
      </c>
      <c r="G18" s="5">
        <f>$C$18-HLOOKUP($F$3,$C$11:$D$36,$A$18+1,FALSE)</f>
        <v>0</v>
      </c>
      <c r="H18" s="5">
        <f>$D$18-HLOOKUP($F$3,$C$11:$D$36,$A$18+1,FALSE)</f>
        <v>-9.3749985555646731E-4</v>
      </c>
    </row>
    <row r="19" spans="1:8" x14ac:dyDescent="0.25">
      <c r="A19">
        <v>8</v>
      </c>
      <c r="B19" s="3">
        <f>$B$18+($B$4-$B$3)/24</f>
        <v>1.4583333333333334E-3</v>
      </c>
      <c r="C19" s="6">
        <f>_xll.CERTEQ(Sheet1!$Q$6:$Q$9,$B$19,$D$4,$B$6,$B$5, $B$7,$B$8,$B$9)</f>
        <v>24.996354166843581</v>
      </c>
      <c r="D19" s="6">
        <f>_xll.CERTEQ(Sheet1!$R$6:$R$9,$B$19,$D$4,$B$6,$B$5, $B$7,$B$8,$B$9)</f>
        <v>24.995260417069254</v>
      </c>
      <c r="F19" s="3">
        <f>$B$19</f>
        <v>1.4583333333333334E-3</v>
      </c>
      <c r="G19" s="5">
        <f>$C$19-HLOOKUP($F$3,$C$11:$D$36,$A$19+1,FALSE)</f>
        <v>0</v>
      </c>
      <c r="H19" s="5">
        <f>$D$19-HLOOKUP($F$3,$C$11:$D$36,$A$19+1,FALSE)</f>
        <v>-1.0937497743270796E-3</v>
      </c>
    </row>
    <row r="20" spans="1:8" x14ac:dyDescent="0.25">
      <c r="A20">
        <v>9</v>
      </c>
      <c r="B20" s="3">
        <f>$B$19+($B$4-$B$3)/24</f>
        <v>1.6666666666666668E-3</v>
      </c>
      <c r="C20" s="6">
        <f>_xll.CERTEQ(Sheet1!$Q$6:$Q$9,$B$20,$D$4,$B$6,$B$5, $B$7,$B$8,$B$9)</f>
        <v>24.995833333596941</v>
      </c>
      <c r="D20" s="6">
        <f>_xll.CERTEQ(Sheet1!$R$6:$R$9,$B$20,$D$4,$B$6,$B$5, $B$7,$B$8,$B$9)</f>
        <v>24.99458333393606</v>
      </c>
      <c r="F20" s="3">
        <f>$B$20</f>
        <v>1.6666666666666668E-3</v>
      </c>
      <c r="G20" s="5">
        <f>$C$20-HLOOKUP($F$3,$C$11:$D$36,$A$20+1,FALSE)</f>
        <v>0</v>
      </c>
      <c r="H20" s="5">
        <f>$D$20-HLOOKUP($F$3,$C$11:$D$36,$A$20+1,FALSE)</f>
        <v>-1.2499996608816843E-3</v>
      </c>
    </row>
    <row r="21" spans="1:8" x14ac:dyDescent="0.25">
      <c r="A21">
        <v>10</v>
      </c>
      <c r="B21" s="3">
        <f>$B$20+($B$4-$B$3)/24</f>
        <v>1.8750000000000001E-3</v>
      </c>
      <c r="C21" s="6">
        <f>_xll.CERTEQ(Sheet1!$Q$6:$Q$9,$B$21,$D$4,$B$6,$B$5, $B$7,$B$8,$B$9)</f>
        <v>24.995312500372812</v>
      </c>
      <c r="D21" s="6">
        <f>_xll.CERTEQ(Sheet1!$R$6:$R$9,$B$21,$D$4,$B$6,$B$5, $B$7,$B$8,$B$9)</f>
        <v>24.993906250860384</v>
      </c>
      <c r="F21" s="3">
        <f>$B$21</f>
        <v>1.8750000000000001E-3</v>
      </c>
      <c r="G21" s="5">
        <f>$C$21-HLOOKUP($F$3,$C$11:$D$36,$A$21+1,FALSE)</f>
        <v>0</v>
      </c>
      <c r="H21" s="5">
        <f>$D$21-HLOOKUP($F$3,$C$11:$D$36,$A$21+1,FALSE)</f>
        <v>-1.4062495124278485E-3</v>
      </c>
    </row>
    <row r="22" spans="1:8" x14ac:dyDescent="0.25">
      <c r="A22">
        <v>11</v>
      </c>
      <c r="B22" s="3">
        <f>$B$21+($B$4-$B$3)/24</f>
        <v>2.0833333333333333E-3</v>
      </c>
      <c r="C22" s="6">
        <f>_xll.CERTEQ(Sheet1!$Q$6:$Q$9,$B$22,$D$4,$B$6,$B$5, $B$7,$B$8,$B$9)</f>
        <v>24.994791667178703</v>
      </c>
      <c r="D22" s="6">
        <f>_xll.CERTEQ(Sheet1!$R$6:$R$9,$B$22,$D$4,$B$6,$B$5, $B$7,$B$8,$B$9)</f>
        <v>24.993229167845367</v>
      </c>
      <c r="F22" s="3">
        <f>$B$22</f>
        <v>2.0833333333333333E-3</v>
      </c>
      <c r="G22" s="5">
        <f>$C$22-HLOOKUP($F$3,$C$11:$D$36,$A$22+1,FALSE)</f>
        <v>0</v>
      </c>
      <c r="H22" s="5">
        <f>$D$22-HLOOKUP($F$3,$C$11:$D$36,$A$22+1,FALSE)</f>
        <v>-1.5624993333354098E-3</v>
      </c>
    </row>
    <row r="23" spans="1:8" x14ac:dyDescent="0.25">
      <c r="A23">
        <v>12</v>
      </c>
      <c r="B23" s="3">
        <f>$B$22+($B$4-$B$3)/24</f>
        <v>2.2916666666666667E-3</v>
      </c>
      <c r="C23" s="6">
        <f>_xll.CERTEQ(Sheet1!$Q$6:$Q$9,$B$23,$D$4,$B$6,$B$5, $B$7,$B$8,$B$9)</f>
        <v>24.994270834016035</v>
      </c>
      <c r="D23" s="6">
        <f>_xll.CERTEQ(Sheet1!$R$6:$R$9,$B$23,$D$4,$B$6,$B$5, $B$7,$B$8,$B$9)</f>
        <v>24.992552084903611</v>
      </c>
      <c r="F23" s="3">
        <f>$B$23</f>
        <v>2.2916666666666667E-3</v>
      </c>
      <c r="G23" s="5">
        <f>$C$23-HLOOKUP($F$3,$C$11:$D$36,$A$23+1,FALSE)</f>
        <v>0</v>
      </c>
      <c r="H23" s="5">
        <f>$D$23-HLOOKUP($F$3,$C$11:$D$36,$A$23+1,FALSE)</f>
        <v>-1.7187491124239784E-3</v>
      </c>
    </row>
    <row r="24" spans="1:8" x14ac:dyDescent="0.25">
      <c r="A24">
        <v>13</v>
      </c>
      <c r="B24" s="3">
        <f>$B$23+($B$4-$B$3)/24</f>
        <v>2.5000000000000001E-3</v>
      </c>
      <c r="C24" s="6">
        <f>_xll.CERTEQ(Sheet1!$Q$6:$Q$9,$B$24,$D$4,$B$6,$B$5, $B$7,$B$8,$B$9)</f>
        <v>24.99375000088494</v>
      </c>
      <c r="D24" s="6">
        <f>_xll.CERTEQ(Sheet1!$R$6:$R$9,$B$24,$D$4,$B$6,$B$5, $B$7,$B$8,$B$9)</f>
        <v>24.991875002037681</v>
      </c>
      <c r="F24" s="3">
        <f>$B$24</f>
        <v>2.5000000000000001E-3</v>
      </c>
      <c r="G24" s="5">
        <f>$C$24-HLOOKUP($F$3,$C$11:$D$36,$A$24+1,FALSE)</f>
        <v>0</v>
      </c>
      <c r="H24" s="5">
        <f>$D$24-HLOOKUP($F$3,$C$11:$D$36,$A$24+1,FALSE)</f>
        <v>-1.8749988472599455E-3</v>
      </c>
    </row>
    <row r="25" spans="1:8" x14ac:dyDescent="0.25">
      <c r="A25">
        <v>14</v>
      </c>
      <c r="B25" s="3">
        <f>$B$24+($B$4-$B$3)/24</f>
        <v>2.7083333333333334E-3</v>
      </c>
      <c r="C25" s="6">
        <f>_xll.CERTEQ(Sheet1!$Q$6:$Q$9,$B$25,$D$4,$B$6,$B$5, $B$7,$B$8,$B$9)</f>
        <v>24.993229167791903</v>
      </c>
      <c r="D25" s="6">
        <f>_xll.CERTEQ(Sheet1!$R$6:$R$9,$B$25,$D$4,$B$6,$B$5, $B$7,$B$8,$B$9)</f>
        <v>24.991197919257257</v>
      </c>
      <c r="F25" s="3">
        <f>$B$25</f>
        <v>2.7083333333333334E-3</v>
      </c>
      <c r="G25" s="5">
        <f>$C$25-HLOOKUP($F$3,$C$11:$D$36,$A$25+1,FALSE)</f>
        <v>0</v>
      </c>
      <c r="H25" s="5">
        <f>$D$25-HLOOKUP($F$3,$C$11:$D$36,$A$25+1,FALSE)</f>
        <v>-2.0312485346458686E-3</v>
      </c>
    </row>
    <row r="26" spans="1:8" x14ac:dyDescent="0.25">
      <c r="A26">
        <v>15</v>
      </c>
      <c r="B26" s="3">
        <f>$B$25+($B$4-$B$3)/24</f>
        <v>2.9166666666666668E-3</v>
      </c>
      <c r="C26" s="6">
        <f>_xll.CERTEQ(Sheet1!$Q$6:$Q$9,$B$26,$D$4,$B$6,$B$5, $B$7,$B$8,$B$9)</f>
        <v>24.992708334739863</v>
      </c>
      <c r="D26" s="6">
        <f>_xll.CERTEQ(Sheet1!$R$6:$R$9,$B$26,$D$4,$B$6,$B$5, $B$7,$B$8,$B$9)</f>
        <v>24.99052083656899</v>
      </c>
      <c r="F26" s="3">
        <f>$B$26</f>
        <v>2.9166666666666668E-3</v>
      </c>
      <c r="G26" s="5">
        <f>$C$26-HLOOKUP($F$3,$C$11:$D$36,$A$26+1,FALSE)</f>
        <v>0</v>
      </c>
      <c r="H26" s="5">
        <f>$D$26-HLOOKUP($F$3,$C$11:$D$36,$A$26+1,FALSE)</f>
        <v>-2.1874981708727148E-3</v>
      </c>
    </row>
    <row r="27" spans="1:8" x14ac:dyDescent="0.25">
      <c r="A27">
        <v>16</v>
      </c>
      <c r="B27" s="3">
        <f>$B$26+($B$4-$B$3)/24</f>
        <v>3.1250000000000002E-3</v>
      </c>
      <c r="C27" s="6">
        <f>_xll.CERTEQ(Sheet1!$Q$6:$Q$9,$B$27,$D$4,$B$6,$B$5, $B$7,$B$8,$B$9)</f>
        <v>24.992187501729379</v>
      </c>
      <c r="D27" s="6">
        <f>_xll.CERTEQ(Sheet1!$R$6:$R$9,$B$27,$D$4,$B$6,$B$5, $B$7,$B$8,$B$9)</f>
        <v>24.989843753979248</v>
      </c>
      <c r="F27" s="3">
        <f>$B$27</f>
        <v>3.1250000000000002E-3</v>
      </c>
      <c r="G27" s="5">
        <f>$C$27-HLOOKUP($F$3,$C$11:$D$36,$A$27+1,FALSE)</f>
        <v>0</v>
      </c>
      <c r="H27" s="5">
        <f>$D$27-HLOOKUP($F$3,$C$11:$D$36,$A$27+1,FALSE)</f>
        <v>-2.3437477501317971E-3</v>
      </c>
    </row>
    <row r="28" spans="1:8" x14ac:dyDescent="0.25">
      <c r="A28">
        <v>17</v>
      </c>
      <c r="B28" s="3">
        <f>$B$27+($B$4-$B$3)/24</f>
        <v>3.3333333333333335E-3</v>
      </c>
      <c r="C28" s="6">
        <f>_xll.CERTEQ(Sheet1!$Q$6:$Q$9,$B$28,$D$4,$B$6,$B$5, $B$7,$B$8,$B$9)</f>
        <v>24.991666668766047</v>
      </c>
      <c r="D28" s="6">
        <f>_xll.CERTEQ(Sheet1!$R$6:$R$9,$B$28,$D$4,$B$6,$B$5, $B$7,$B$8,$B$9)</f>
        <v>24.989166671497557</v>
      </c>
      <c r="F28" s="3">
        <f>$B$28</f>
        <v>3.3333333333333335E-3</v>
      </c>
      <c r="G28" s="5">
        <f>$C$28-HLOOKUP($F$3,$C$11:$D$36,$A$28+1,FALSE)</f>
        <v>0</v>
      </c>
      <c r="H28" s="5">
        <f>$D$28-HLOOKUP($F$3,$C$11:$D$36,$A$28+1,FALSE)</f>
        <v>-2.4999972684902616E-3</v>
      </c>
    </row>
    <row r="29" spans="1:8" x14ac:dyDescent="0.25">
      <c r="A29">
        <v>18</v>
      </c>
      <c r="B29" s="3">
        <f>$B$28+($B$4-$B$3)/24</f>
        <v>3.5416666666666669E-3</v>
      </c>
      <c r="C29" s="6">
        <f>_xll.CERTEQ(Sheet1!$Q$6:$Q$9,$B$29,$D$4,$B$6,$B$5, $B$7,$B$8,$B$9)</f>
        <v>24.991145835850364</v>
      </c>
      <c r="D29" s="6">
        <f>_xll.CERTEQ(Sheet1!$R$6:$R$9,$B$29,$D$4,$B$6,$B$5, $B$7,$B$8,$B$9)</f>
        <v>24.988489589126218</v>
      </c>
      <c r="F29" s="3">
        <f>$B$29</f>
        <v>3.5416666666666669E-3</v>
      </c>
      <c r="G29" s="5">
        <f>$C$29-HLOOKUP($F$3,$C$11:$D$36,$A$29+1,FALSE)</f>
        <v>0</v>
      </c>
      <c r="H29" s="5">
        <f>$D$29-HLOOKUP($F$3,$C$11:$D$36,$A$29+1,FALSE)</f>
        <v>-2.6562467241468823E-3</v>
      </c>
    </row>
    <row r="30" spans="1:8" x14ac:dyDescent="0.25">
      <c r="A30">
        <v>19</v>
      </c>
      <c r="B30" s="3">
        <f>$B$29+($B$4-$B$3)/24</f>
        <v>3.7500000000000003E-3</v>
      </c>
      <c r="C30" s="6">
        <f>_xll.CERTEQ(Sheet1!$Q$6:$Q$9,$B$30,$D$4,$B$6,$B$5, $B$7,$B$8,$B$9)</f>
        <v>24.99062500298804</v>
      </c>
      <c r="D30" s="6">
        <f>_xll.CERTEQ(Sheet1!$R$6:$R$9,$B$30,$D$4,$B$6,$B$5, $B$7,$B$8,$B$9)</f>
        <v>24.987812506877145</v>
      </c>
      <c r="F30" s="3">
        <f>$B$30</f>
        <v>3.7500000000000003E-3</v>
      </c>
      <c r="G30" s="5">
        <f>$C$30-HLOOKUP($F$3,$C$11:$D$36,$A$30+1,FALSE)</f>
        <v>0</v>
      </c>
      <c r="H30" s="5">
        <f>$D$30-HLOOKUP($F$3,$C$11:$D$36,$A$30+1,FALSE)</f>
        <v>-2.8124961108950686E-3</v>
      </c>
    </row>
    <row r="31" spans="1:8" x14ac:dyDescent="0.25">
      <c r="A31">
        <v>20</v>
      </c>
      <c r="B31" s="3">
        <f>$B$30+($B$4-$B$3)/24</f>
        <v>3.9583333333333337E-3</v>
      </c>
      <c r="C31" s="6">
        <f>_xll.CERTEQ(Sheet1!$Q$6:$Q$9,$B$31,$D$4,$B$6,$B$5, $B$7,$B$8,$B$9)</f>
        <v>24.990104170180885</v>
      </c>
      <c r="D31" s="6">
        <f>_xll.CERTEQ(Sheet1!$R$6:$R$9,$B$31,$D$4,$B$6,$B$5, $B$7,$B$8,$B$9)</f>
        <v>24.987135424755273</v>
      </c>
      <c r="F31" s="3">
        <f>$B$31</f>
        <v>3.9583333333333337E-3</v>
      </c>
      <c r="G31" s="5">
        <f>$C$31-HLOOKUP($F$3,$C$11:$D$36,$A$31+1,FALSE)</f>
        <v>0</v>
      </c>
      <c r="H31" s="5">
        <f>$D$31-HLOOKUP($F$3,$C$11:$D$36,$A$31+1,FALSE)</f>
        <v>-2.968745425611985E-3</v>
      </c>
    </row>
    <row r="32" spans="1:8" x14ac:dyDescent="0.25">
      <c r="A32">
        <v>21</v>
      </c>
      <c r="B32" s="3">
        <f>$B$31+($B$4-$B$3)/24</f>
        <v>4.1666666666666666E-3</v>
      </c>
      <c r="C32" s="6">
        <f>_xll.CERTEQ(Sheet1!$Q$6:$Q$9,$B$32,$D$4,$B$6,$B$5, $B$7,$B$8,$B$9)</f>
        <v>24.98958333743246</v>
      </c>
      <c r="D32" s="6">
        <f>_xll.CERTEQ(Sheet1!$R$6:$R$9,$B$32,$D$4,$B$6,$B$5, $B$7,$B$8,$B$9)</f>
        <v>24.986458342766969</v>
      </c>
      <c r="F32" s="3">
        <f>$B$32</f>
        <v>4.1666666666666666E-3</v>
      </c>
      <c r="G32" s="5">
        <f>$C$32-HLOOKUP($F$3,$C$11:$D$36,$A$32+1,FALSE)</f>
        <v>0</v>
      </c>
      <c r="H32" s="5">
        <f>$D$32-HLOOKUP($F$3,$C$11:$D$36,$A$32+1,FALSE)</f>
        <v>-3.1249946654909877E-3</v>
      </c>
    </row>
    <row r="33" spans="1:8" x14ac:dyDescent="0.25">
      <c r="A33">
        <v>22</v>
      </c>
      <c r="B33" s="3">
        <f>$B$32+($B$4-$B$3)/24</f>
        <v>4.3749999999999995E-3</v>
      </c>
      <c r="C33" s="6">
        <f>_xll.CERTEQ(Sheet1!$Q$6:$Q$9,$B$33,$D$4,$B$6,$B$5, $B$7,$B$8,$B$9)</f>
        <v>24.989062504745092</v>
      </c>
      <c r="D33" s="6">
        <f>_xll.CERTEQ(Sheet1!$R$6:$R$9,$B$33,$D$4,$B$6,$B$5, $B$7,$B$8,$B$9)</f>
        <v>24.985781260920952</v>
      </c>
      <c r="F33" s="3">
        <f>$B$33</f>
        <v>4.3749999999999995E-3</v>
      </c>
      <c r="G33" s="5">
        <f>$C$33-HLOOKUP($F$3,$C$11:$D$36,$A$33+1,FALSE)</f>
        <v>0</v>
      </c>
      <c r="H33" s="5">
        <f>$D$33-HLOOKUP($F$3,$C$11:$D$36,$A$33+1,FALSE)</f>
        <v>-3.2812438241407449E-3</v>
      </c>
    </row>
    <row r="34" spans="1:8" x14ac:dyDescent="0.25">
      <c r="A34">
        <v>23</v>
      </c>
      <c r="B34" s="3">
        <f>$B$33+($B$4-$B$3)/24</f>
        <v>4.5833333333333325E-3</v>
      </c>
      <c r="C34" s="6">
        <f>_xll.CERTEQ(Sheet1!$Q$6:$Q$9,$B$34,$D$4,$B$6,$B$5, $B$7,$B$8,$B$9)</f>
        <v>24.988541672122576</v>
      </c>
      <c r="D34" s="6">
        <f>_xll.CERTEQ(Sheet1!$R$6:$R$9,$B$34,$D$4,$B$6,$B$5, $B$7,$B$8,$B$9)</f>
        <v>24.98510417922288</v>
      </c>
      <c r="F34" s="3">
        <f>$B$34</f>
        <v>4.5833333333333325E-3</v>
      </c>
      <c r="G34" s="5">
        <f>$C$34-HLOOKUP($F$3,$C$11:$D$36,$A$34+1,FALSE)</f>
        <v>0</v>
      </c>
      <c r="H34" s="5">
        <f>$D$34-HLOOKUP($F$3,$C$11:$D$36,$A$34+1,FALSE)</f>
        <v>-3.4374928996960818E-3</v>
      </c>
    </row>
    <row r="35" spans="1:8" x14ac:dyDescent="0.25">
      <c r="A35">
        <v>24</v>
      </c>
      <c r="B35" s="3">
        <f>$B$34+($B$4-$B$3)/24</f>
        <v>4.7916666666666654E-3</v>
      </c>
      <c r="C35" s="6">
        <f>_xll.CERTEQ(Sheet1!$Q$6:$Q$9,$B$35,$D$4,$B$6,$B$5, $B$7,$B$8,$B$9)</f>
        <v>24.988020839567557</v>
      </c>
      <c r="D35" s="6">
        <f>_xll.CERTEQ(Sheet1!$R$6:$R$9,$B$35,$D$4,$B$6,$B$5, $B$7,$B$8,$B$9)</f>
        <v>24.984427097681849</v>
      </c>
      <c r="F35" s="3">
        <f>$B$35</f>
        <v>4.7916666666666654E-3</v>
      </c>
      <c r="G35" s="5">
        <f>$C$35-HLOOKUP($F$3,$C$11:$D$36,$A$35+1,FALSE)</f>
        <v>0</v>
      </c>
      <c r="H35" s="5">
        <f>$D$35-HLOOKUP($F$3,$C$11:$D$36,$A$35+1,FALSE)</f>
        <v>-3.5937418857088232E-3</v>
      </c>
    </row>
    <row r="36" spans="1:8" x14ac:dyDescent="0.25">
      <c r="A36">
        <v>25</v>
      </c>
      <c r="B36" s="3">
        <f>$B$35+($B$4-$B$3)/24</f>
        <v>4.9999999999999984E-3</v>
      </c>
      <c r="C36" s="6">
        <f>_xll.CERTEQ(Sheet1!$Q$6:$Q$9,$B$36,$D$4,$B$6,$B$5, $B$7,$B$8,$B$9)</f>
        <v>24.987500007083394</v>
      </c>
      <c r="D36" s="6">
        <f>_xll.CERTEQ(Sheet1!$R$6:$R$9,$B$36,$D$4,$B$6,$B$5, $B$7,$B$8,$B$9)</f>
        <v>24.98375001630184</v>
      </c>
      <c r="F36" s="3">
        <f>$B$36</f>
        <v>4.9999999999999984E-3</v>
      </c>
      <c r="G36" s="5">
        <f>$C$36-HLOOKUP($F$3,$C$11:$D$36,$A$36+1,FALSE)</f>
        <v>0</v>
      </c>
      <c r="H36" s="5">
        <f>$D$36-HLOOKUP($F$3,$C$11:$D$36,$A$36+1,FALSE)</f>
        <v>-3.7499907815536915E-3</v>
      </c>
    </row>
  </sheetData>
  <conditionalFormatting sqref="A7">
    <cfRule type="expression" dxfId="1" priority="1" stopIfTrue="1">
      <formula>IF(OR($D$4=3,$D$4=4,$D$4=6,$D$4=7),TRUE,FALSE)</formula>
    </cfRule>
  </conditionalFormatting>
  <conditionalFormatting sqref="A8">
    <cfRule type="expression" dxfId="0" priority="2" stopIfTrue="1">
      <formula>IF($D$4=7,TRUE,FALSE)</formula>
    </cfRule>
  </conditionalFormatting>
  <dataValidations count="2">
    <dataValidation type="whole" allowBlank="1" showInputMessage="1" showErrorMessage="1" sqref="D4">
      <formula1>1</formula1>
      <formula2>7</formula2>
    </dataValidation>
    <dataValidation type="list" allowBlank="1" showInputMessage="1" showErrorMessage="1" sqref="F3">
      <formula1>$C$11:$D$11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SERFTbl1</vt:lpstr>
      <vt:lpstr>Sheet2</vt:lpstr>
      <vt:lpstr>Sheet3</vt:lpstr>
      <vt:lpstr>Sheet1!Print_Area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Person</cp:lastModifiedBy>
  <cp:lastPrinted>2011-12-13T01:24:18Z</cp:lastPrinted>
  <dcterms:created xsi:type="dcterms:W3CDTF">2011-12-06T23:25:12Z</dcterms:created>
  <dcterms:modified xsi:type="dcterms:W3CDTF">2017-10-04T15:49:11Z</dcterms:modified>
</cp:coreProperties>
</file>