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Classes\AGEC643\Lecture Demos\"/>
    </mc:Choice>
  </mc:AlternateContent>
  <bookViews>
    <workbookView xWindow="90" yWindow="135" windowWidth="15630" windowHeight="11205"/>
  </bookViews>
  <sheets>
    <sheet name="Sheet1" sheetId="1" r:id="rId1"/>
    <sheet name="SimDataMod" sheetId="4" r:id="rId2"/>
    <sheet name="SimData1 and 2" sheetId="5" r:id="rId3"/>
  </sheets>
  <calcPr calcId="162913"/>
</workbook>
</file>

<file path=xl/calcChain.xml><?xml version="1.0" encoding="utf-8"?>
<calcChain xmlns="http://schemas.openxmlformats.org/spreadsheetml/2006/main">
  <c r="D519" i="4" l="1"/>
  <c r="D517" i="4"/>
  <c r="D515" i="4"/>
  <c r="D513" i="4"/>
  <c r="D511" i="4"/>
  <c r="D8" i="4"/>
  <c r="D7" i="4"/>
  <c r="D6" i="4"/>
  <c r="D4" i="4"/>
  <c r="D3" i="4"/>
  <c r="C519" i="4"/>
  <c r="C517" i="4"/>
  <c r="C515" i="4"/>
  <c r="C513" i="4"/>
  <c r="C511" i="4"/>
  <c r="C7" i="4"/>
  <c r="C6" i="4"/>
  <c r="C4" i="4"/>
  <c r="C5" i="4" s="1"/>
  <c r="C3" i="4"/>
  <c r="B519" i="4"/>
  <c r="B517" i="4"/>
  <c r="B515" i="4"/>
  <c r="B513" i="4"/>
  <c r="B511" i="4"/>
  <c r="B7" i="4"/>
  <c r="B6" i="4"/>
  <c r="B4" i="4"/>
  <c r="B3" i="4"/>
  <c r="J509" i="5"/>
  <c r="J508" i="5"/>
  <c r="J507" i="5"/>
  <c r="J506" i="5"/>
  <c r="J505" i="5"/>
  <c r="J504" i="5"/>
  <c r="J503" i="5"/>
  <c r="J502" i="5"/>
  <c r="J501" i="5"/>
  <c r="J500" i="5"/>
  <c r="J499" i="5"/>
  <c r="J498" i="5"/>
  <c r="J497" i="5"/>
  <c r="J496" i="5"/>
  <c r="J495" i="5"/>
  <c r="J494" i="5"/>
  <c r="J493" i="5"/>
  <c r="J492" i="5"/>
  <c r="J491" i="5"/>
  <c r="J490" i="5"/>
  <c r="J489" i="5"/>
  <c r="J488" i="5"/>
  <c r="J487" i="5"/>
  <c r="J486" i="5"/>
  <c r="J485" i="5"/>
  <c r="J484" i="5"/>
  <c r="J483" i="5"/>
  <c r="J482" i="5"/>
  <c r="J481" i="5"/>
  <c r="J480" i="5"/>
  <c r="J479" i="5"/>
  <c r="J478" i="5"/>
  <c r="J477" i="5"/>
  <c r="J476" i="5"/>
  <c r="J475" i="5"/>
  <c r="J474" i="5"/>
  <c r="J473" i="5"/>
  <c r="J472" i="5"/>
  <c r="J471" i="5"/>
  <c r="J470" i="5"/>
  <c r="J469" i="5"/>
  <c r="J468" i="5"/>
  <c r="J467" i="5"/>
  <c r="J466" i="5"/>
  <c r="J465" i="5"/>
  <c r="J464" i="5"/>
  <c r="J463" i="5"/>
  <c r="J462" i="5"/>
  <c r="J461" i="5"/>
  <c r="J460" i="5"/>
  <c r="J459" i="5"/>
  <c r="J458" i="5"/>
  <c r="J457" i="5"/>
  <c r="J456" i="5"/>
  <c r="J455" i="5"/>
  <c r="J454" i="5"/>
  <c r="J453" i="5"/>
  <c r="J452" i="5"/>
  <c r="J451" i="5"/>
  <c r="J450" i="5"/>
  <c r="J449" i="5"/>
  <c r="J448" i="5"/>
  <c r="J447" i="5"/>
  <c r="J446" i="5"/>
  <c r="J445" i="5"/>
  <c r="J444" i="5"/>
  <c r="J443" i="5"/>
  <c r="J442" i="5"/>
  <c r="J441" i="5"/>
  <c r="J440" i="5"/>
  <c r="J439" i="5"/>
  <c r="J438" i="5"/>
  <c r="J437" i="5"/>
  <c r="J436" i="5"/>
  <c r="J435" i="5"/>
  <c r="J434" i="5"/>
  <c r="J433" i="5"/>
  <c r="J432" i="5"/>
  <c r="J431" i="5"/>
  <c r="J430" i="5"/>
  <c r="J429" i="5"/>
  <c r="J428" i="5"/>
  <c r="J427" i="5"/>
  <c r="J426" i="5"/>
  <c r="J425" i="5"/>
  <c r="J424" i="5"/>
  <c r="J423" i="5"/>
  <c r="J422" i="5"/>
  <c r="J421" i="5"/>
  <c r="J420" i="5"/>
  <c r="J419" i="5"/>
  <c r="J418" i="5"/>
  <c r="J417" i="5"/>
  <c r="J416" i="5"/>
  <c r="J415" i="5"/>
  <c r="J414" i="5"/>
  <c r="J413" i="5"/>
  <c r="J412" i="5"/>
  <c r="J411" i="5"/>
  <c r="J410" i="5"/>
  <c r="J409" i="5"/>
  <c r="J408" i="5"/>
  <c r="J407" i="5"/>
  <c r="J406" i="5"/>
  <c r="J405" i="5"/>
  <c r="J404" i="5"/>
  <c r="J403" i="5"/>
  <c r="J402" i="5"/>
  <c r="J401" i="5"/>
  <c r="J400" i="5"/>
  <c r="J399" i="5"/>
  <c r="J398" i="5"/>
  <c r="J397" i="5"/>
  <c r="J396" i="5"/>
  <c r="J395" i="5"/>
  <c r="J394" i="5"/>
  <c r="J393" i="5"/>
  <c r="J392" i="5"/>
  <c r="J391" i="5"/>
  <c r="J390" i="5"/>
  <c r="J389" i="5"/>
  <c r="J388" i="5"/>
  <c r="J387" i="5"/>
  <c r="J386" i="5"/>
  <c r="J385" i="5"/>
  <c r="J384" i="5"/>
  <c r="J383" i="5"/>
  <c r="J382" i="5"/>
  <c r="J381" i="5"/>
  <c r="J380" i="5"/>
  <c r="J379" i="5"/>
  <c r="J378" i="5"/>
  <c r="J377" i="5"/>
  <c r="J376" i="5"/>
  <c r="J375" i="5"/>
  <c r="J374" i="5"/>
  <c r="J373" i="5"/>
  <c r="J372" i="5"/>
  <c r="J371" i="5"/>
  <c r="J370" i="5"/>
  <c r="J369" i="5"/>
  <c r="J368" i="5"/>
  <c r="J367" i="5"/>
  <c r="J366" i="5"/>
  <c r="J365" i="5"/>
  <c r="J364" i="5"/>
  <c r="J363" i="5"/>
  <c r="J362" i="5"/>
  <c r="J361" i="5"/>
  <c r="J360" i="5"/>
  <c r="J359" i="5"/>
  <c r="J358" i="5"/>
  <c r="J357" i="5"/>
  <c r="J356" i="5"/>
  <c r="J355" i="5"/>
  <c r="J354" i="5"/>
  <c r="J353" i="5"/>
  <c r="J352" i="5"/>
  <c r="J351" i="5"/>
  <c r="J350" i="5"/>
  <c r="J349" i="5"/>
  <c r="J348" i="5"/>
  <c r="J347" i="5"/>
  <c r="J346" i="5"/>
  <c r="J345" i="5"/>
  <c r="J344" i="5"/>
  <c r="J343" i="5"/>
  <c r="J342" i="5"/>
  <c r="J341" i="5"/>
  <c r="J340" i="5"/>
  <c r="J339" i="5"/>
  <c r="J338" i="5"/>
  <c r="J337" i="5"/>
  <c r="J336" i="5"/>
  <c r="J335" i="5"/>
  <c r="J334" i="5"/>
  <c r="J333" i="5"/>
  <c r="J332" i="5"/>
  <c r="J331" i="5"/>
  <c r="J330" i="5"/>
  <c r="J329" i="5"/>
  <c r="J328" i="5"/>
  <c r="J327" i="5"/>
  <c r="J326" i="5"/>
  <c r="J325" i="5"/>
  <c r="J324" i="5"/>
  <c r="J323" i="5"/>
  <c r="J322" i="5"/>
  <c r="J321" i="5"/>
  <c r="J320" i="5"/>
  <c r="J319" i="5"/>
  <c r="J318" i="5"/>
  <c r="J317" i="5"/>
  <c r="J316" i="5"/>
  <c r="J315" i="5"/>
  <c r="J314" i="5"/>
  <c r="J313" i="5"/>
  <c r="J312" i="5"/>
  <c r="J311" i="5"/>
  <c r="J310" i="5"/>
  <c r="J309" i="5"/>
  <c r="J308" i="5"/>
  <c r="J307" i="5"/>
  <c r="J306" i="5"/>
  <c r="J305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K11" i="5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35" i="5" s="1"/>
  <c r="K36" i="5" s="1"/>
  <c r="K37" i="5" s="1"/>
  <c r="K38" i="5" s="1"/>
  <c r="K39" i="5" s="1"/>
  <c r="K40" i="5" s="1"/>
  <c r="K41" i="5" s="1"/>
  <c r="K42" i="5" s="1"/>
  <c r="K43" i="5" s="1"/>
  <c r="K44" i="5" s="1"/>
  <c r="K45" i="5" s="1"/>
  <c r="K46" i="5" s="1"/>
  <c r="K47" i="5" s="1"/>
  <c r="K48" i="5" s="1"/>
  <c r="K49" i="5" s="1"/>
  <c r="K50" i="5" s="1"/>
  <c r="K51" i="5" s="1"/>
  <c r="K52" i="5" s="1"/>
  <c r="K53" i="5" s="1"/>
  <c r="K54" i="5" s="1"/>
  <c r="K55" i="5" s="1"/>
  <c r="K56" i="5" s="1"/>
  <c r="K57" i="5" s="1"/>
  <c r="K58" i="5" s="1"/>
  <c r="K59" i="5" s="1"/>
  <c r="K60" i="5" s="1"/>
  <c r="K61" i="5" s="1"/>
  <c r="K62" i="5" s="1"/>
  <c r="K63" i="5" s="1"/>
  <c r="K64" i="5" s="1"/>
  <c r="K65" i="5" s="1"/>
  <c r="K66" i="5" s="1"/>
  <c r="K67" i="5" s="1"/>
  <c r="K68" i="5" s="1"/>
  <c r="K69" i="5" s="1"/>
  <c r="K70" i="5" s="1"/>
  <c r="K71" i="5" s="1"/>
  <c r="K72" i="5" s="1"/>
  <c r="K73" i="5" s="1"/>
  <c r="K74" i="5" s="1"/>
  <c r="K75" i="5" s="1"/>
  <c r="K76" i="5" s="1"/>
  <c r="K77" i="5" s="1"/>
  <c r="K78" i="5" s="1"/>
  <c r="K79" i="5" s="1"/>
  <c r="K80" i="5" s="1"/>
  <c r="K81" i="5" s="1"/>
  <c r="K82" i="5" s="1"/>
  <c r="K83" i="5" s="1"/>
  <c r="K84" i="5" s="1"/>
  <c r="K85" i="5" s="1"/>
  <c r="K86" i="5" s="1"/>
  <c r="K87" i="5" s="1"/>
  <c r="K88" i="5" s="1"/>
  <c r="K89" i="5" s="1"/>
  <c r="K90" i="5" s="1"/>
  <c r="K91" i="5" s="1"/>
  <c r="K92" i="5" s="1"/>
  <c r="K93" i="5" s="1"/>
  <c r="K94" i="5" s="1"/>
  <c r="K95" i="5" s="1"/>
  <c r="K96" i="5" s="1"/>
  <c r="K97" i="5" s="1"/>
  <c r="K98" i="5" s="1"/>
  <c r="K99" i="5" s="1"/>
  <c r="K100" i="5" s="1"/>
  <c r="K101" i="5" s="1"/>
  <c r="K102" i="5" s="1"/>
  <c r="K103" i="5" s="1"/>
  <c r="K104" i="5" s="1"/>
  <c r="K105" i="5" s="1"/>
  <c r="K106" i="5" s="1"/>
  <c r="K107" i="5" s="1"/>
  <c r="K108" i="5" s="1"/>
  <c r="K109" i="5" s="1"/>
  <c r="K110" i="5" s="1"/>
  <c r="K111" i="5" s="1"/>
  <c r="K112" i="5" s="1"/>
  <c r="K113" i="5" s="1"/>
  <c r="K114" i="5" s="1"/>
  <c r="K115" i="5" s="1"/>
  <c r="K116" i="5" s="1"/>
  <c r="K117" i="5" s="1"/>
  <c r="K118" i="5" s="1"/>
  <c r="K119" i="5" s="1"/>
  <c r="K120" i="5" s="1"/>
  <c r="K121" i="5" s="1"/>
  <c r="K122" i="5" s="1"/>
  <c r="K123" i="5" s="1"/>
  <c r="K124" i="5" s="1"/>
  <c r="K125" i="5" s="1"/>
  <c r="K126" i="5" s="1"/>
  <c r="K127" i="5" s="1"/>
  <c r="K128" i="5" s="1"/>
  <c r="K129" i="5" s="1"/>
  <c r="K130" i="5" s="1"/>
  <c r="K131" i="5" s="1"/>
  <c r="K132" i="5" s="1"/>
  <c r="K133" i="5" s="1"/>
  <c r="K134" i="5" s="1"/>
  <c r="K135" i="5" s="1"/>
  <c r="K136" i="5" s="1"/>
  <c r="K137" i="5" s="1"/>
  <c r="K138" i="5" s="1"/>
  <c r="K139" i="5" s="1"/>
  <c r="K140" i="5" s="1"/>
  <c r="K141" i="5" s="1"/>
  <c r="K142" i="5" s="1"/>
  <c r="K143" i="5" s="1"/>
  <c r="K144" i="5" s="1"/>
  <c r="K145" i="5" s="1"/>
  <c r="K146" i="5" s="1"/>
  <c r="K147" i="5" s="1"/>
  <c r="K148" i="5" s="1"/>
  <c r="K149" i="5" s="1"/>
  <c r="K150" i="5" s="1"/>
  <c r="K151" i="5" s="1"/>
  <c r="K152" i="5" s="1"/>
  <c r="K153" i="5" s="1"/>
  <c r="K154" i="5" s="1"/>
  <c r="K155" i="5" s="1"/>
  <c r="K156" i="5" s="1"/>
  <c r="K157" i="5" s="1"/>
  <c r="K158" i="5" s="1"/>
  <c r="K159" i="5" s="1"/>
  <c r="K160" i="5" s="1"/>
  <c r="K161" i="5" s="1"/>
  <c r="K162" i="5" s="1"/>
  <c r="K163" i="5" s="1"/>
  <c r="K164" i="5" s="1"/>
  <c r="K165" i="5" s="1"/>
  <c r="K166" i="5" s="1"/>
  <c r="K167" i="5" s="1"/>
  <c r="K168" i="5" s="1"/>
  <c r="K169" i="5" s="1"/>
  <c r="K170" i="5" s="1"/>
  <c r="K171" i="5" s="1"/>
  <c r="K172" i="5" s="1"/>
  <c r="K173" i="5" s="1"/>
  <c r="K174" i="5" s="1"/>
  <c r="K175" i="5" s="1"/>
  <c r="K176" i="5" s="1"/>
  <c r="K177" i="5" s="1"/>
  <c r="K178" i="5" s="1"/>
  <c r="K179" i="5" s="1"/>
  <c r="K180" i="5" s="1"/>
  <c r="K181" i="5" s="1"/>
  <c r="K182" i="5" s="1"/>
  <c r="K183" i="5" s="1"/>
  <c r="K184" i="5" s="1"/>
  <c r="K185" i="5" s="1"/>
  <c r="K186" i="5" s="1"/>
  <c r="K187" i="5" s="1"/>
  <c r="K188" i="5" s="1"/>
  <c r="K189" i="5" s="1"/>
  <c r="K190" i="5" s="1"/>
  <c r="K191" i="5" s="1"/>
  <c r="K192" i="5" s="1"/>
  <c r="K193" i="5" s="1"/>
  <c r="K194" i="5" s="1"/>
  <c r="K195" i="5" s="1"/>
  <c r="K196" i="5" s="1"/>
  <c r="K197" i="5" s="1"/>
  <c r="K198" i="5" s="1"/>
  <c r="K199" i="5" s="1"/>
  <c r="K200" i="5" s="1"/>
  <c r="K201" i="5" s="1"/>
  <c r="K202" i="5" s="1"/>
  <c r="K203" i="5" s="1"/>
  <c r="K204" i="5" s="1"/>
  <c r="K205" i="5" s="1"/>
  <c r="K206" i="5" s="1"/>
  <c r="K207" i="5" s="1"/>
  <c r="K208" i="5" s="1"/>
  <c r="K209" i="5" s="1"/>
  <c r="K210" i="5" s="1"/>
  <c r="K211" i="5" s="1"/>
  <c r="K212" i="5" s="1"/>
  <c r="K213" i="5" s="1"/>
  <c r="K214" i="5" s="1"/>
  <c r="K215" i="5" s="1"/>
  <c r="K216" i="5" s="1"/>
  <c r="K217" i="5" s="1"/>
  <c r="K218" i="5" s="1"/>
  <c r="K219" i="5" s="1"/>
  <c r="K220" i="5" s="1"/>
  <c r="K221" i="5" s="1"/>
  <c r="K222" i="5" s="1"/>
  <c r="K223" i="5" s="1"/>
  <c r="K224" i="5" s="1"/>
  <c r="K225" i="5" s="1"/>
  <c r="K226" i="5" s="1"/>
  <c r="K227" i="5" s="1"/>
  <c r="K228" i="5" s="1"/>
  <c r="K229" i="5" s="1"/>
  <c r="K230" i="5" s="1"/>
  <c r="K231" i="5" s="1"/>
  <c r="K232" i="5" s="1"/>
  <c r="K233" i="5" s="1"/>
  <c r="K234" i="5" s="1"/>
  <c r="K235" i="5" s="1"/>
  <c r="K236" i="5" s="1"/>
  <c r="K237" i="5" s="1"/>
  <c r="K238" i="5" s="1"/>
  <c r="K239" i="5" s="1"/>
  <c r="K240" i="5" s="1"/>
  <c r="K241" i="5" s="1"/>
  <c r="K242" i="5" s="1"/>
  <c r="K243" i="5" s="1"/>
  <c r="K244" i="5" s="1"/>
  <c r="K245" i="5" s="1"/>
  <c r="K246" i="5" s="1"/>
  <c r="K247" i="5" s="1"/>
  <c r="K248" i="5" s="1"/>
  <c r="K249" i="5" s="1"/>
  <c r="K250" i="5" s="1"/>
  <c r="K251" i="5" s="1"/>
  <c r="K252" i="5" s="1"/>
  <c r="K253" i="5" s="1"/>
  <c r="K254" i="5" s="1"/>
  <c r="K255" i="5" s="1"/>
  <c r="K256" i="5" s="1"/>
  <c r="K257" i="5" s="1"/>
  <c r="K258" i="5" s="1"/>
  <c r="K259" i="5" s="1"/>
  <c r="K260" i="5" s="1"/>
  <c r="K261" i="5" s="1"/>
  <c r="K262" i="5" s="1"/>
  <c r="K263" i="5" s="1"/>
  <c r="K264" i="5" s="1"/>
  <c r="K265" i="5" s="1"/>
  <c r="K266" i="5" s="1"/>
  <c r="K267" i="5" s="1"/>
  <c r="K268" i="5" s="1"/>
  <c r="K269" i="5" s="1"/>
  <c r="K270" i="5" s="1"/>
  <c r="K271" i="5" s="1"/>
  <c r="K272" i="5" s="1"/>
  <c r="K273" i="5" s="1"/>
  <c r="K274" i="5" s="1"/>
  <c r="K275" i="5" s="1"/>
  <c r="K276" i="5" s="1"/>
  <c r="K277" i="5" s="1"/>
  <c r="K278" i="5" s="1"/>
  <c r="K279" i="5" s="1"/>
  <c r="K280" i="5" s="1"/>
  <c r="K281" i="5" s="1"/>
  <c r="K282" i="5" s="1"/>
  <c r="K283" i="5" s="1"/>
  <c r="K284" i="5" s="1"/>
  <c r="K285" i="5" s="1"/>
  <c r="K286" i="5" s="1"/>
  <c r="K287" i="5" s="1"/>
  <c r="K288" i="5" s="1"/>
  <c r="K289" i="5" s="1"/>
  <c r="K290" i="5" s="1"/>
  <c r="K291" i="5" s="1"/>
  <c r="K292" i="5" s="1"/>
  <c r="K293" i="5" s="1"/>
  <c r="K294" i="5" s="1"/>
  <c r="K295" i="5" s="1"/>
  <c r="K296" i="5" s="1"/>
  <c r="K297" i="5" s="1"/>
  <c r="K298" i="5" s="1"/>
  <c r="K299" i="5" s="1"/>
  <c r="K300" i="5" s="1"/>
  <c r="K301" i="5" s="1"/>
  <c r="K302" i="5" s="1"/>
  <c r="K303" i="5" s="1"/>
  <c r="K304" i="5" s="1"/>
  <c r="K305" i="5" s="1"/>
  <c r="K306" i="5" s="1"/>
  <c r="K307" i="5" s="1"/>
  <c r="K308" i="5" s="1"/>
  <c r="K309" i="5" s="1"/>
  <c r="K310" i="5" s="1"/>
  <c r="K311" i="5" s="1"/>
  <c r="K312" i="5" s="1"/>
  <c r="K313" i="5" s="1"/>
  <c r="K314" i="5" s="1"/>
  <c r="K315" i="5" s="1"/>
  <c r="K316" i="5" s="1"/>
  <c r="K317" i="5" s="1"/>
  <c r="K318" i="5" s="1"/>
  <c r="K319" i="5" s="1"/>
  <c r="K320" i="5" s="1"/>
  <c r="K321" i="5" s="1"/>
  <c r="K322" i="5" s="1"/>
  <c r="K323" i="5" s="1"/>
  <c r="K324" i="5" s="1"/>
  <c r="K325" i="5" s="1"/>
  <c r="K326" i="5" s="1"/>
  <c r="K327" i="5" s="1"/>
  <c r="K328" i="5" s="1"/>
  <c r="K329" i="5" s="1"/>
  <c r="K330" i="5" s="1"/>
  <c r="K331" i="5" s="1"/>
  <c r="K332" i="5" s="1"/>
  <c r="K333" i="5" s="1"/>
  <c r="K334" i="5" s="1"/>
  <c r="K335" i="5" s="1"/>
  <c r="K336" i="5" s="1"/>
  <c r="K337" i="5" s="1"/>
  <c r="K338" i="5" s="1"/>
  <c r="K339" i="5" s="1"/>
  <c r="K340" i="5" s="1"/>
  <c r="K341" i="5" s="1"/>
  <c r="K342" i="5" s="1"/>
  <c r="K343" i="5" s="1"/>
  <c r="K344" i="5" s="1"/>
  <c r="K345" i="5" s="1"/>
  <c r="K346" i="5" s="1"/>
  <c r="K347" i="5" s="1"/>
  <c r="K348" i="5" s="1"/>
  <c r="K349" i="5" s="1"/>
  <c r="K350" i="5" s="1"/>
  <c r="K351" i="5" s="1"/>
  <c r="K352" i="5" s="1"/>
  <c r="K353" i="5" s="1"/>
  <c r="K354" i="5" s="1"/>
  <c r="K355" i="5" s="1"/>
  <c r="K356" i="5" s="1"/>
  <c r="K357" i="5" s="1"/>
  <c r="K358" i="5" s="1"/>
  <c r="K359" i="5" s="1"/>
  <c r="K360" i="5" s="1"/>
  <c r="K361" i="5" s="1"/>
  <c r="K362" i="5" s="1"/>
  <c r="K363" i="5" s="1"/>
  <c r="K364" i="5" s="1"/>
  <c r="K365" i="5" s="1"/>
  <c r="K366" i="5" s="1"/>
  <c r="K367" i="5" s="1"/>
  <c r="K368" i="5" s="1"/>
  <c r="K369" i="5" s="1"/>
  <c r="K370" i="5" s="1"/>
  <c r="K371" i="5" s="1"/>
  <c r="K372" i="5" s="1"/>
  <c r="K373" i="5" s="1"/>
  <c r="K374" i="5" s="1"/>
  <c r="K375" i="5" s="1"/>
  <c r="K376" i="5" s="1"/>
  <c r="K377" i="5" s="1"/>
  <c r="K378" i="5" s="1"/>
  <c r="K379" i="5" s="1"/>
  <c r="K380" i="5" s="1"/>
  <c r="K381" i="5" s="1"/>
  <c r="K382" i="5" s="1"/>
  <c r="K383" i="5" s="1"/>
  <c r="K384" i="5" s="1"/>
  <c r="K385" i="5" s="1"/>
  <c r="K386" i="5" s="1"/>
  <c r="K387" i="5" s="1"/>
  <c r="K388" i="5" s="1"/>
  <c r="K389" i="5" s="1"/>
  <c r="K390" i="5" s="1"/>
  <c r="K391" i="5" s="1"/>
  <c r="K392" i="5" s="1"/>
  <c r="K393" i="5" s="1"/>
  <c r="K394" i="5" s="1"/>
  <c r="K395" i="5" s="1"/>
  <c r="K396" i="5" s="1"/>
  <c r="K397" i="5" s="1"/>
  <c r="K398" i="5" s="1"/>
  <c r="K399" i="5" s="1"/>
  <c r="K400" i="5" s="1"/>
  <c r="K401" i="5" s="1"/>
  <c r="K402" i="5" s="1"/>
  <c r="K403" i="5" s="1"/>
  <c r="K404" i="5" s="1"/>
  <c r="K405" i="5" s="1"/>
  <c r="K406" i="5" s="1"/>
  <c r="K407" i="5" s="1"/>
  <c r="K408" i="5" s="1"/>
  <c r="K409" i="5" s="1"/>
  <c r="K410" i="5" s="1"/>
  <c r="K411" i="5" s="1"/>
  <c r="K412" i="5" s="1"/>
  <c r="K413" i="5" s="1"/>
  <c r="K414" i="5" s="1"/>
  <c r="K415" i="5" s="1"/>
  <c r="K416" i="5" s="1"/>
  <c r="K417" i="5" s="1"/>
  <c r="K418" i="5" s="1"/>
  <c r="K419" i="5" s="1"/>
  <c r="K420" i="5" s="1"/>
  <c r="K421" i="5" s="1"/>
  <c r="K422" i="5" s="1"/>
  <c r="K423" i="5" s="1"/>
  <c r="K424" i="5" s="1"/>
  <c r="K425" i="5" s="1"/>
  <c r="K426" i="5" s="1"/>
  <c r="K427" i="5" s="1"/>
  <c r="K428" i="5" s="1"/>
  <c r="K429" i="5" s="1"/>
  <c r="K430" i="5" s="1"/>
  <c r="K431" i="5" s="1"/>
  <c r="K432" i="5" s="1"/>
  <c r="K433" i="5" s="1"/>
  <c r="K434" i="5" s="1"/>
  <c r="K435" i="5" s="1"/>
  <c r="K436" i="5" s="1"/>
  <c r="K437" i="5" s="1"/>
  <c r="K438" i="5" s="1"/>
  <c r="K439" i="5" s="1"/>
  <c r="K440" i="5" s="1"/>
  <c r="K441" i="5" s="1"/>
  <c r="K442" i="5" s="1"/>
  <c r="K443" i="5" s="1"/>
  <c r="K444" i="5" s="1"/>
  <c r="K445" i="5" s="1"/>
  <c r="K446" i="5" s="1"/>
  <c r="K447" i="5" s="1"/>
  <c r="K448" i="5" s="1"/>
  <c r="K449" i="5" s="1"/>
  <c r="K450" i="5" s="1"/>
  <c r="K451" i="5" s="1"/>
  <c r="K452" i="5" s="1"/>
  <c r="K453" i="5" s="1"/>
  <c r="K454" i="5" s="1"/>
  <c r="K455" i="5" s="1"/>
  <c r="K456" i="5" s="1"/>
  <c r="K457" i="5" s="1"/>
  <c r="K458" i="5" s="1"/>
  <c r="K459" i="5" s="1"/>
  <c r="K460" i="5" s="1"/>
  <c r="K461" i="5" s="1"/>
  <c r="K462" i="5" s="1"/>
  <c r="K463" i="5" s="1"/>
  <c r="K464" i="5" s="1"/>
  <c r="K465" i="5" s="1"/>
  <c r="K466" i="5" s="1"/>
  <c r="K467" i="5" s="1"/>
  <c r="K468" i="5" s="1"/>
  <c r="K469" i="5" s="1"/>
  <c r="K470" i="5" s="1"/>
  <c r="K471" i="5" s="1"/>
  <c r="K472" i="5" s="1"/>
  <c r="K473" i="5" s="1"/>
  <c r="K474" i="5" s="1"/>
  <c r="K475" i="5" s="1"/>
  <c r="K476" i="5" s="1"/>
  <c r="K477" i="5" s="1"/>
  <c r="K478" i="5" s="1"/>
  <c r="K479" i="5" s="1"/>
  <c r="K480" i="5" s="1"/>
  <c r="K481" i="5" s="1"/>
  <c r="K482" i="5" s="1"/>
  <c r="K483" i="5" s="1"/>
  <c r="K484" i="5" s="1"/>
  <c r="K485" i="5" s="1"/>
  <c r="K486" i="5" s="1"/>
  <c r="K487" i="5" s="1"/>
  <c r="K488" i="5" s="1"/>
  <c r="K489" i="5" s="1"/>
  <c r="K490" i="5" s="1"/>
  <c r="K491" i="5" s="1"/>
  <c r="K492" i="5" s="1"/>
  <c r="K493" i="5" s="1"/>
  <c r="K494" i="5" s="1"/>
  <c r="K495" i="5" s="1"/>
  <c r="K496" i="5" s="1"/>
  <c r="K497" i="5" s="1"/>
  <c r="K498" i="5" s="1"/>
  <c r="K499" i="5" s="1"/>
  <c r="K500" i="5" s="1"/>
  <c r="K501" i="5" s="1"/>
  <c r="K502" i="5" s="1"/>
  <c r="K503" i="5" s="1"/>
  <c r="K504" i="5" s="1"/>
  <c r="K505" i="5" s="1"/>
  <c r="K506" i="5" s="1"/>
  <c r="K507" i="5" s="1"/>
  <c r="K508" i="5" s="1"/>
  <c r="K509" i="5" s="1"/>
  <c r="J11" i="5"/>
  <c r="J10" i="5"/>
  <c r="H509" i="5"/>
  <c r="H508" i="5"/>
  <c r="H507" i="5"/>
  <c r="H506" i="5"/>
  <c r="H505" i="5"/>
  <c r="H504" i="5"/>
  <c r="H503" i="5"/>
  <c r="H502" i="5"/>
  <c r="H501" i="5"/>
  <c r="H500" i="5"/>
  <c r="H499" i="5"/>
  <c r="H498" i="5"/>
  <c r="H497" i="5"/>
  <c r="H496" i="5"/>
  <c r="H495" i="5"/>
  <c r="H494" i="5"/>
  <c r="H493" i="5"/>
  <c r="H492" i="5"/>
  <c r="H491" i="5"/>
  <c r="H490" i="5"/>
  <c r="H489" i="5"/>
  <c r="H488" i="5"/>
  <c r="H487" i="5"/>
  <c r="H486" i="5"/>
  <c r="H485" i="5"/>
  <c r="H484" i="5"/>
  <c r="H483" i="5"/>
  <c r="H482" i="5"/>
  <c r="H481" i="5"/>
  <c r="H480" i="5"/>
  <c r="H479" i="5"/>
  <c r="H478" i="5"/>
  <c r="H477" i="5"/>
  <c r="H476" i="5"/>
  <c r="H475" i="5"/>
  <c r="H474" i="5"/>
  <c r="H473" i="5"/>
  <c r="H472" i="5"/>
  <c r="H471" i="5"/>
  <c r="H470" i="5"/>
  <c r="H469" i="5"/>
  <c r="H468" i="5"/>
  <c r="H467" i="5"/>
  <c r="H466" i="5"/>
  <c r="H465" i="5"/>
  <c r="H464" i="5"/>
  <c r="H463" i="5"/>
  <c r="H462" i="5"/>
  <c r="H461" i="5"/>
  <c r="H460" i="5"/>
  <c r="H459" i="5"/>
  <c r="H458" i="5"/>
  <c r="H457" i="5"/>
  <c r="H456" i="5"/>
  <c r="H455" i="5"/>
  <c r="H454" i="5"/>
  <c r="H453" i="5"/>
  <c r="H452" i="5"/>
  <c r="H451" i="5"/>
  <c r="H450" i="5"/>
  <c r="H449" i="5"/>
  <c r="H448" i="5"/>
  <c r="H447" i="5"/>
  <c r="H446" i="5"/>
  <c r="H445" i="5"/>
  <c r="H444" i="5"/>
  <c r="H443" i="5"/>
  <c r="H442" i="5"/>
  <c r="H441" i="5"/>
  <c r="H440" i="5"/>
  <c r="H439" i="5"/>
  <c r="H438" i="5"/>
  <c r="H437" i="5"/>
  <c r="H436" i="5"/>
  <c r="H435" i="5"/>
  <c r="H434" i="5"/>
  <c r="H433" i="5"/>
  <c r="H432" i="5"/>
  <c r="H431" i="5"/>
  <c r="H430" i="5"/>
  <c r="H429" i="5"/>
  <c r="H428" i="5"/>
  <c r="H427" i="5"/>
  <c r="H426" i="5"/>
  <c r="H425" i="5"/>
  <c r="H424" i="5"/>
  <c r="H423" i="5"/>
  <c r="H422" i="5"/>
  <c r="H421" i="5"/>
  <c r="H420" i="5"/>
  <c r="H419" i="5"/>
  <c r="H418" i="5"/>
  <c r="H417" i="5"/>
  <c r="H416" i="5"/>
  <c r="H415" i="5"/>
  <c r="H414" i="5"/>
  <c r="H413" i="5"/>
  <c r="H412" i="5"/>
  <c r="H411" i="5"/>
  <c r="H410" i="5"/>
  <c r="H409" i="5"/>
  <c r="H408" i="5"/>
  <c r="H407" i="5"/>
  <c r="H406" i="5"/>
  <c r="H405" i="5"/>
  <c r="H404" i="5"/>
  <c r="H403" i="5"/>
  <c r="H402" i="5"/>
  <c r="H401" i="5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6" i="5"/>
  <c r="H385" i="5"/>
  <c r="H384" i="5"/>
  <c r="H383" i="5"/>
  <c r="H382" i="5"/>
  <c r="H381" i="5"/>
  <c r="H380" i="5"/>
  <c r="H379" i="5"/>
  <c r="H378" i="5"/>
  <c r="H377" i="5"/>
  <c r="H376" i="5"/>
  <c r="H375" i="5"/>
  <c r="H374" i="5"/>
  <c r="H373" i="5"/>
  <c r="H372" i="5"/>
  <c r="H371" i="5"/>
  <c r="H370" i="5"/>
  <c r="H369" i="5"/>
  <c r="H368" i="5"/>
  <c r="H367" i="5"/>
  <c r="H366" i="5"/>
  <c r="H365" i="5"/>
  <c r="H364" i="5"/>
  <c r="H363" i="5"/>
  <c r="H362" i="5"/>
  <c r="H361" i="5"/>
  <c r="H360" i="5"/>
  <c r="H359" i="5"/>
  <c r="H358" i="5"/>
  <c r="H357" i="5"/>
  <c r="H356" i="5"/>
  <c r="H355" i="5"/>
  <c r="H354" i="5"/>
  <c r="H353" i="5"/>
  <c r="H352" i="5"/>
  <c r="H351" i="5"/>
  <c r="H350" i="5"/>
  <c r="H349" i="5"/>
  <c r="H348" i="5"/>
  <c r="H347" i="5"/>
  <c r="H346" i="5"/>
  <c r="H345" i="5"/>
  <c r="H344" i="5"/>
  <c r="H343" i="5"/>
  <c r="H342" i="5"/>
  <c r="H341" i="5"/>
  <c r="H340" i="5"/>
  <c r="H339" i="5"/>
  <c r="H338" i="5"/>
  <c r="H337" i="5"/>
  <c r="H336" i="5"/>
  <c r="H335" i="5"/>
  <c r="H334" i="5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H316" i="5"/>
  <c r="H315" i="5"/>
  <c r="H314" i="5"/>
  <c r="H313" i="5"/>
  <c r="H312" i="5"/>
  <c r="H311" i="5"/>
  <c r="H310" i="5"/>
  <c r="H309" i="5"/>
  <c r="H308" i="5"/>
  <c r="H307" i="5"/>
  <c r="H306" i="5"/>
  <c r="H305" i="5"/>
  <c r="H304" i="5"/>
  <c r="H303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I11" i="5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49" i="5" s="1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I63" i="5" s="1"/>
  <c r="I64" i="5" s="1"/>
  <c r="I65" i="5" s="1"/>
  <c r="I66" i="5" s="1"/>
  <c r="I67" i="5" s="1"/>
  <c r="I68" i="5" s="1"/>
  <c r="I69" i="5" s="1"/>
  <c r="I70" i="5" s="1"/>
  <c r="I71" i="5" s="1"/>
  <c r="I72" i="5" s="1"/>
  <c r="I73" i="5" s="1"/>
  <c r="I74" i="5" s="1"/>
  <c r="I75" i="5" s="1"/>
  <c r="I76" i="5" s="1"/>
  <c r="I77" i="5" s="1"/>
  <c r="I78" i="5" s="1"/>
  <c r="I79" i="5" s="1"/>
  <c r="I80" i="5" s="1"/>
  <c r="I81" i="5" s="1"/>
  <c r="I82" i="5" s="1"/>
  <c r="I83" i="5" s="1"/>
  <c r="I84" i="5" s="1"/>
  <c r="I85" i="5" s="1"/>
  <c r="I86" i="5" s="1"/>
  <c r="I87" i="5" s="1"/>
  <c r="I88" i="5" s="1"/>
  <c r="I89" i="5" s="1"/>
  <c r="I90" i="5" s="1"/>
  <c r="I91" i="5" s="1"/>
  <c r="I92" i="5" s="1"/>
  <c r="I93" i="5" s="1"/>
  <c r="I94" i="5" s="1"/>
  <c r="I95" i="5" s="1"/>
  <c r="I96" i="5" s="1"/>
  <c r="I97" i="5" s="1"/>
  <c r="I98" i="5" s="1"/>
  <c r="I99" i="5" s="1"/>
  <c r="I100" i="5" s="1"/>
  <c r="I101" i="5" s="1"/>
  <c r="I102" i="5" s="1"/>
  <c r="I103" i="5" s="1"/>
  <c r="I104" i="5" s="1"/>
  <c r="I105" i="5" s="1"/>
  <c r="I106" i="5" s="1"/>
  <c r="I107" i="5" s="1"/>
  <c r="I108" i="5" s="1"/>
  <c r="I109" i="5" s="1"/>
  <c r="I110" i="5" s="1"/>
  <c r="I111" i="5" s="1"/>
  <c r="I112" i="5" s="1"/>
  <c r="I113" i="5" s="1"/>
  <c r="I114" i="5" s="1"/>
  <c r="I115" i="5" s="1"/>
  <c r="I116" i="5" s="1"/>
  <c r="I117" i="5" s="1"/>
  <c r="I118" i="5" s="1"/>
  <c r="I119" i="5" s="1"/>
  <c r="I120" i="5" s="1"/>
  <c r="I121" i="5" s="1"/>
  <c r="I122" i="5" s="1"/>
  <c r="I123" i="5" s="1"/>
  <c r="I124" i="5" s="1"/>
  <c r="I125" i="5" s="1"/>
  <c r="I126" i="5" s="1"/>
  <c r="I127" i="5" s="1"/>
  <c r="I128" i="5" s="1"/>
  <c r="I129" i="5" s="1"/>
  <c r="I130" i="5" s="1"/>
  <c r="I131" i="5" s="1"/>
  <c r="I132" i="5" s="1"/>
  <c r="I133" i="5" s="1"/>
  <c r="I134" i="5" s="1"/>
  <c r="I135" i="5" s="1"/>
  <c r="I136" i="5" s="1"/>
  <c r="I137" i="5" s="1"/>
  <c r="I138" i="5" s="1"/>
  <c r="I139" i="5" s="1"/>
  <c r="I140" i="5" s="1"/>
  <c r="I141" i="5" s="1"/>
  <c r="I142" i="5" s="1"/>
  <c r="I143" i="5" s="1"/>
  <c r="I144" i="5" s="1"/>
  <c r="I145" i="5" s="1"/>
  <c r="I146" i="5" s="1"/>
  <c r="I147" i="5" s="1"/>
  <c r="I148" i="5" s="1"/>
  <c r="I149" i="5" s="1"/>
  <c r="I150" i="5" s="1"/>
  <c r="I151" i="5" s="1"/>
  <c r="I152" i="5" s="1"/>
  <c r="I153" i="5" s="1"/>
  <c r="I154" i="5" s="1"/>
  <c r="I155" i="5" s="1"/>
  <c r="I156" i="5" s="1"/>
  <c r="I157" i="5" s="1"/>
  <c r="I158" i="5" s="1"/>
  <c r="I159" i="5" s="1"/>
  <c r="I160" i="5" s="1"/>
  <c r="I161" i="5" s="1"/>
  <c r="I162" i="5" s="1"/>
  <c r="I163" i="5" s="1"/>
  <c r="I164" i="5" s="1"/>
  <c r="I165" i="5" s="1"/>
  <c r="I166" i="5" s="1"/>
  <c r="I167" i="5" s="1"/>
  <c r="I168" i="5" s="1"/>
  <c r="I169" i="5" s="1"/>
  <c r="I170" i="5" s="1"/>
  <c r="I171" i="5" s="1"/>
  <c r="I172" i="5" s="1"/>
  <c r="I173" i="5" s="1"/>
  <c r="I174" i="5" s="1"/>
  <c r="I175" i="5" s="1"/>
  <c r="I176" i="5" s="1"/>
  <c r="I177" i="5" s="1"/>
  <c r="I178" i="5" s="1"/>
  <c r="I179" i="5" s="1"/>
  <c r="I180" i="5" s="1"/>
  <c r="I181" i="5" s="1"/>
  <c r="I182" i="5" s="1"/>
  <c r="I183" i="5" s="1"/>
  <c r="I184" i="5" s="1"/>
  <c r="I185" i="5" s="1"/>
  <c r="I186" i="5" s="1"/>
  <c r="I187" i="5" s="1"/>
  <c r="I188" i="5" s="1"/>
  <c r="I189" i="5" s="1"/>
  <c r="I190" i="5" s="1"/>
  <c r="I191" i="5" s="1"/>
  <c r="I192" i="5" s="1"/>
  <c r="I193" i="5" s="1"/>
  <c r="I194" i="5" s="1"/>
  <c r="I195" i="5" s="1"/>
  <c r="I196" i="5" s="1"/>
  <c r="I197" i="5" s="1"/>
  <c r="I198" i="5" s="1"/>
  <c r="I199" i="5" s="1"/>
  <c r="I200" i="5" s="1"/>
  <c r="I201" i="5" s="1"/>
  <c r="I202" i="5" s="1"/>
  <c r="I203" i="5" s="1"/>
  <c r="I204" i="5" s="1"/>
  <c r="I205" i="5" s="1"/>
  <c r="I206" i="5" s="1"/>
  <c r="I207" i="5" s="1"/>
  <c r="I208" i="5" s="1"/>
  <c r="I209" i="5" s="1"/>
  <c r="I210" i="5" s="1"/>
  <c r="I211" i="5" s="1"/>
  <c r="I212" i="5" s="1"/>
  <c r="I213" i="5" s="1"/>
  <c r="I214" i="5" s="1"/>
  <c r="I215" i="5" s="1"/>
  <c r="I216" i="5" s="1"/>
  <c r="I217" i="5" s="1"/>
  <c r="I218" i="5" s="1"/>
  <c r="I219" i="5" s="1"/>
  <c r="I220" i="5" s="1"/>
  <c r="I221" i="5" s="1"/>
  <c r="I222" i="5" s="1"/>
  <c r="I223" i="5" s="1"/>
  <c r="I224" i="5" s="1"/>
  <c r="I225" i="5" s="1"/>
  <c r="I226" i="5" s="1"/>
  <c r="I227" i="5" s="1"/>
  <c r="I228" i="5" s="1"/>
  <c r="I229" i="5" s="1"/>
  <c r="I230" i="5" s="1"/>
  <c r="I231" i="5" s="1"/>
  <c r="I232" i="5" s="1"/>
  <c r="I233" i="5" s="1"/>
  <c r="I234" i="5" s="1"/>
  <c r="I235" i="5" s="1"/>
  <c r="I236" i="5" s="1"/>
  <c r="I237" i="5" s="1"/>
  <c r="I238" i="5" s="1"/>
  <c r="I239" i="5" s="1"/>
  <c r="I240" i="5" s="1"/>
  <c r="I241" i="5" s="1"/>
  <c r="I242" i="5" s="1"/>
  <c r="I243" i="5" s="1"/>
  <c r="I244" i="5" s="1"/>
  <c r="I245" i="5" s="1"/>
  <c r="I246" i="5" s="1"/>
  <c r="I247" i="5" s="1"/>
  <c r="I248" i="5" s="1"/>
  <c r="I249" i="5" s="1"/>
  <c r="I250" i="5" s="1"/>
  <c r="I251" i="5" s="1"/>
  <c r="I252" i="5" s="1"/>
  <c r="I253" i="5" s="1"/>
  <c r="I254" i="5" s="1"/>
  <c r="I255" i="5" s="1"/>
  <c r="I256" i="5" s="1"/>
  <c r="I257" i="5" s="1"/>
  <c r="I258" i="5" s="1"/>
  <c r="I259" i="5" s="1"/>
  <c r="I260" i="5" s="1"/>
  <c r="I261" i="5" s="1"/>
  <c r="I262" i="5" s="1"/>
  <c r="I263" i="5" s="1"/>
  <c r="I264" i="5" s="1"/>
  <c r="I265" i="5" s="1"/>
  <c r="I266" i="5" s="1"/>
  <c r="I267" i="5" s="1"/>
  <c r="I268" i="5" s="1"/>
  <c r="I269" i="5" s="1"/>
  <c r="I270" i="5" s="1"/>
  <c r="I271" i="5" s="1"/>
  <c r="I272" i="5" s="1"/>
  <c r="I273" i="5" s="1"/>
  <c r="I274" i="5" s="1"/>
  <c r="I275" i="5" s="1"/>
  <c r="I276" i="5" s="1"/>
  <c r="I277" i="5" s="1"/>
  <c r="I278" i="5" s="1"/>
  <c r="I279" i="5" s="1"/>
  <c r="I280" i="5" s="1"/>
  <c r="I281" i="5" s="1"/>
  <c r="I282" i="5" s="1"/>
  <c r="I283" i="5" s="1"/>
  <c r="I284" i="5" s="1"/>
  <c r="I285" i="5" s="1"/>
  <c r="I286" i="5" s="1"/>
  <c r="I287" i="5" s="1"/>
  <c r="I288" i="5" s="1"/>
  <c r="I289" i="5" s="1"/>
  <c r="I290" i="5" s="1"/>
  <c r="I291" i="5" s="1"/>
  <c r="I292" i="5" s="1"/>
  <c r="I293" i="5" s="1"/>
  <c r="I294" i="5" s="1"/>
  <c r="I295" i="5" s="1"/>
  <c r="I296" i="5" s="1"/>
  <c r="I297" i="5" s="1"/>
  <c r="I298" i="5" s="1"/>
  <c r="I299" i="5" s="1"/>
  <c r="I300" i="5" s="1"/>
  <c r="I301" i="5" s="1"/>
  <c r="I302" i="5" s="1"/>
  <c r="I303" i="5" s="1"/>
  <c r="I304" i="5" s="1"/>
  <c r="I305" i="5" s="1"/>
  <c r="I306" i="5" s="1"/>
  <c r="I307" i="5" s="1"/>
  <c r="I308" i="5" s="1"/>
  <c r="I309" i="5" s="1"/>
  <c r="I310" i="5" s="1"/>
  <c r="I311" i="5" s="1"/>
  <c r="I312" i="5" s="1"/>
  <c r="I313" i="5" s="1"/>
  <c r="I314" i="5" s="1"/>
  <c r="I315" i="5" s="1"/>
  <c r="I316" i="5" s="1"/>
  <c r="I317" i="5" s="1"/>
  <c r="I318" i="5" s="1"/>
  <c r="I319" i="5" s="1"/>
  <c r="I320" i="5" s="1"/>
  <c r="I321" i="5" s="1"/>
  <c r="I322" i="5" s="1"/>
  <c r="I323" i="5" s="1"/>
  <c r="I324" i="5" s="1"/>
  <c r="I325" i="5" s="1"/>
  <c r="I326" i="5" s="1"/>
  <c r="I327" i="5" s="1"/>
  <c r="I328" i="5" s="1"/>
  <c r="I329" i="5" s="1"/>
  <c r="I330" i="5" s="1"/>
  <c r="I331" i="5" s="1"/>
  <c r="I332" i="5" s="1"/>
  <c r="I333" i="5" s="1"/>
  <c r="I334" i="5" s="1"/>
  <c r="I335" i="5" s="1"/>
  <c r="I336" i="5" s="1"/>
  <c r="I337" i="5" s="1"/>
  <c r="I338" i="5" s="1"/>
  <c r="I339" i="5" s="1"/>
  <c r="I340" i="5" s="1"/>
  <c r="I341" i="5" s="1"/>
  <c r="I342" i="5" s="1"/>
  <c r="I343" i="5" s="1"/>
  <c r="I344" i="5" s="1"/>
  <c r="I345" i="5" s="1"/>
  <c r="I346" i="5" s="1"/>
  <c r="I347" i="5" s="1"/>
  <c r="I348" i="5" s="1"/>
  <c r="I349" i="5" s="1"/>
  <c r="I350" i="5" s="1"/>
  <c r="I351" i="5" s="1"/>
  <c r="I352" i="5" s="1"/>
  <c r="I353" i="5" s="1"/>
  <c r="I354" i="5" s="1"/>
  <c r="I355" i="5" s="1"/>
  <c r="I356" i="5" s="1"/>
  <c r="I357" i="5" s="1"/>
  <c r="I358" i="5" s="1"/>
  <c r="I359" i="5" s="1"/>
  <c r="I360" i="5" s="1"/>
  <c r="I361" i="5" s="1"/>
  <c r="I362" i="5" s="1"/>
  <c r="I363" i="5" s="1"/>
  <c r="I364" i="5" s="1"/>
  <c r="I365" i="5" s="1"/>
  <c r="I366" i="5" s="1"/>
  <c r="I367" i="5" s="1"/>
  <c r="I368" i="5" s="1"/>
  <c r="I369" i="5" s="1"/>
  <c r="I370" i="5" s="1"/>
  <c r="I371" i="5" s="1"/>
  <c r="I372" i="5" s="1"/>
  <c r="I373" i="5" s="1"/>
  <c r="I374" i="5" s="1"/>
  <c r="I375" i="5" s="1"/>
  <c r="I376" i="5" s="1"/>
  <c r="I377" i="5" s="1"/>
  <c r="I378" i="5" s="1"/>
  <c r="I379" i="5" s="1"/>
  <c r="I380" i="5" s="1"/>
  <c r="I381" i="5" s="1"/>
  <c r="I382" i="5" s="1"/>
  <c r="I383" i="5" s="1"/>
  <c r="I384" i="5" s="1"/>
  <c r="I385" i="5" s="1"/>
  <c r="I386" i="5" s="1"/>
  <c r="I387" i="5" s="1"/>
  <c r="I388" i="5" s="1"/>
  <c r="I389" i="5" s="1"/>
  <c r="I390" i="5" s="1"/>
  <c r="I391" i="5" s="1"/>
  <c r="I392" i="5" s="1"/>
  <c r="I393" i="5" s="1"/>
  <c r="I394" i="5" s="1"/>
  <c r="I395" i="5" s="1"/>
  <c r="I396" i="5" s="1"/>
  <c r="I397" i="5" s="1"/>
  <c r="I398" i="5" s="1"/>
  <c r="I399" i="5" s="1"/>
  <c r="I400" i="5" s="1"/>
  <c r="I401" i="5" s="1"/>
  <c r="I402" i="5" s="1"/>
  <c r="I403" i="5" s="1"/>
  <c r="I404" i="5" s="1"/>
  <c r="I405" i="5" s="1"/>
  <c r="I406" i="5" s="1"/>
  <c r="I407" i="5" s="1"/>
  <c r="I408" i="5" s="1"/>
  <c r="I409" i="5" s="1"/>
  <c r="I410" i="5" s="1"/>
  <c r="I411" i="5" s="1"/>
  <c r="I412" i="5" s="1"/>
  <c r="I413" i="5" s="1"/>
  <c r="I414" i="5" s="1"/>
  <c r="I415" i="5" s="1"/>
  <c r="I416" i="5" s="1"/>
  <c r="I417" i="5" s="1"/>
  <c r="I418" i="5" s="1"/>
  <c r="I419" i="5" s="1"/>
  <c r="I420" i="5" s="1"/>
  <c r="I421" i="5" s="1"/>
  <c r="I422" i="5" s="1"/>
  <c r="I423" i="5" s="1"/>
  <c r="I424" i="5" s="1"/>
  <c r="I425" i="5" s="1"/>
  <c r="I426" i="5" s="1"/>
  <c r="I427" i="5" s="1"/>
  <c r="I428" i="5" s="1"/>
  <c r="I429" i="5" s="1"/>
  <c r="I430" i="5" s="1"/>
  <c r="I431" i="5" s="1"/>
  <c r="I432" i="5" s="1"/>
  <c r="I433" i="5" s="1"/>
  <c r="I434" i="5" s="1"/>
  <c r="I435" i="5" s="1"/>
  <c r="I436" i="5" s="1"/>
  <c r="I437" i="5" s="1"/>
  <c r="I438" i="5" s="1"/>
  <c r="I439" i="5" s="1"/>
  <c r="I440" i="5" s="1"/>
  <c r="I441" i="5" s="1"/>
  <c r="I442" i="5" s="1"/>
  <c r="I443" i="5" s="1"/>
  <c r="I444" i="5" s="1"/>
  <c r="I445" i="5" s="1"/>
  <c r="I446" i="5" s="1"/>
  <c r="I447" i="5" s="1"/>
  <c r="I448" i="5" s="1"/>
  <c r="I449" i="5" s="1"/>
  <c r="I450" i="5" s="1"/>
  <c r="I451" i="5" s="1"/>
  <c r="I452" i="5" s="1"/>
  <c r="I453" i="5" s="1"/>
  <c r="I454" i="5" s="1"/>
  <c r="I455" i="5" s="1"/>
  <c r="I456" i="5" s="1"/>
  <c r="I457" i="5" s="1"/>
  <c r="I458" i="5" s="1"/>
  <c r="I459" i="5" s="1"/>
  <c r="I460" i="5" s="1"/>
  <c r="I461" i="5" s="1"/>
  <c r="I462" i="5" s="1"/>
  <c r="I463" i="5" s="1"/>
  <c r="I464" i="5" s="1"/>
  <c r="I465" i="5" s="1"/>
  <c r="I466" i="5" s="1"/>
  <c r="I467" i="5" s="1"/>
  <c r="I468" i="5" s="1"/>
  <c r="I469" i="5" s="1"/>
  <c r="I470" i="5" s="1"/>
  <c r="I471" i="5" s="1"/>
  <c r="I472" i="5" s="1"/>
  <c r="I473" i="5" s="1"/>
  <c r="I474" i="5" s="1"/>
  <c r="I475" i="5" s="1"/>
  <c r="I476" i="5" s="1"/>
  <c r="I477" i="5" s="1"/>
  <c r="I478" i="5" s="1"/>
  <c r="I479" i="5" s="1"/>
  <c r="I480" i="5" s="1"/>
  <c r="I481" i="5" s="1"/>
  <c r="I482" i="5" s="1"/>
  <c r="I483" i="5" s="1"/>
  <c r="I484" i="5" s="1"/>
  <c r="I485" i="5" s="1"/>
  <c r="I486" i="5" s="1"/>
  <c r="I487" i="5" s="1"/>
  <c r="I488" i="5" s="1"/>
  <c r="I489" i="5" s="1"/>
  <c r="I490" i="5" s="1"/>
  <c r="I491" i="5" s="1"/>
  <c r="I492" i="5" s="1"/>
  <c r="I493" i="5" s="1"/>
  <c r="I494" i="5" s="1"/>
  <c r="I495" i="5" s="1"/>
  <c r="I496" i="5" s="1"/>
  <c r="I497" i="5" s="1"/>
  <c r="I498" i="5" s="1"/>
  <c r="I499" i="5" s="1"/>
  <c r="I500" i="5" s="1"/>
  <c r="I501" i="5" s="1"/>
  <c r="I502" i="5" s="1"/>
  <c r="I503" i="5" s="1"/>
  <c r="I504" i="5" s="1"/>
  <c r="I505" i="5" s="1"/>
  <c r="I506" i="5" s="1"/>
  <c r="I507" i="5" s="1"/>
  <c r="I508" i="5" s="1"/>
  <c r="I509" i="5" s="1"/>
  <c r="H11" i="5"/>
  <c r="H10" i="5"/>
  <c r="C519" i="5"/>
  <c r="C517" i="5"/>
  <c r="C515" i="5"/>
  <c r="C513" i="5"/>
  <c r="C511" i="5"/>
  <c r="C8" i="5"/>
  <c r="J9" i="5" s="1"/>
  <c r="C7" i="5"/>
  <c r="C6" i="5"/>
  <c r="C4" i="5"/>
  <c r="C3" i="5"/>
  <c r="B519" i="5"/>
  <c r="B517" i="5"/>
  <c r="B515" i="5"/>
  <c r="B513" i="5"/>
  <c r="B511" i="5"/>
  <c r="B8" i="5"/>
  <c r="H9" i="5" s="1"/>
  <c r="B7" i="5"/>
  <c r="B6" i="5"/>
  <c r="B4" i="5"/>
  <c r="B3" i="5"/>
  <c r="G13" i="4"/>
  <c r="G11" i="4"/>
  <c r="E7" i="4"/>
  <c r="E6" i="4"/>
  <c r="Q64" i="1"/>
  <c r="H7" i="4" s="1"/>
  <c r="Q63" i="1"/>
  <c r="H6" i="4" s="1"/>
  <c r="Q20" i="1"/>
  <c r="Q19" i="1"/>
  <c r="Q18" i="1"/>
  <c r="Q44" i="1"/>
  <c r="Q24" i="1"/>
  <c r="Q6" i="1"/>
  <c r="P20" i="1"/>
  <c r="P19" i="1"/>
  <c r="P18" i="1"/>
  <c r="P44" i="1"/>
  <c r="P60" i="1" s="1"/>
  <c r="C8" i="4" s="1"/>
  <c r="P24" i="1"/>
  <c r="P6" i="1"/>
  <c r="O20" i="1"/>
  <c r="O19" i="1"/>
  <c r="O18" i="1"/>
  <c r="O44" i="1"/>
  <c r="O60" i="1" s="1"/>
  <c r="B8" i="4" s="1"/>
  <c r="O24" i="1"/>
  <c r="O6" i="1"/>
  <c r="N41" i="1"/>
  <c r="Q38" i="1"/>
  <c r="N40" i="1"/>
  <c r="P38" i="1"/>
  <c r="N39" i="1"/>
  <c r="O38" i="1"/>
  <c r="H20" i="1"/>
  <c r="H19" i="1"/>
  <c r="H18" i="1"/>
  <c r="H44" i="1"/>
  <c r="H24" i="1"/>
  <c r="H6" i="1"/>
  <c r="G20" i="1"/>
  <c r="G19" i="1"/>
  <c r="G18" i="1"/>
  <c r="G44" i="1"/>
  <c r="G60" i="1" s="1"/>
  <c r="G24" i="1"/>
  <c r="G6" i="1"/>
  <c r="F20" i="1"/>
  <c r="F19" i="1"/>
  <c r="F18" i="1"/>
  <c r="F44" i="1"/>
  <c r="F60" i="1" s="1"/>
  <c r="F24" i="1"/>
  <c r="F6" i="1"/>
  <c r="E41" i="1"/>
  <c r="H38" i="1"/>
  <c r="E40" i="1"/>
  <c r="G38" i="1"/>
  <c r="E39" i="1"/>
  <c r="F38" i="1"/>
  <c r="H25" i="1"/>
  <c r="H11" i="4"/>
  <c r="H13" i="4"/>
  <c r="A1" i="1"/>
  <c r="I62" i="1"/>
  <c r="D2" i="4"/>
  <c r="I63" i="1"/>
  <c r="B2" i="5"/>
  <c r="R62" i="1"/>
  <c r="C2" i="4"/>
  <c r="B2" i="4"/>
  <c r="I64" i="1"/>
  <c r="R64" i="1"/>
  <c r="R63" i="1"/>
  <c r="I61" i="1"/>
  <c r="R61" i="1"/>
  <c r="C2" i="5"/>
  <c r="O16" i="1" l="1"/>
  <c r="H28" i="1"/>
  <c r="O14" i="1"/>
  <c r="Q35" i="1"/>
  <c r="B5" i="4"/>
  <c r="D5" i="4"/>
  <c r="H29" i="1"/>
  <c r="O9" i="1"/>
  <c r="P11" i="1"/>
  <c r="H33" i="1"/>
  <c r="O8" i="1"/>
  <c r="H32" i="1"/>
  <c r="O7" i="1"/>
  <c r="F16" i="1"/>
  <c r="P25" i="1"/>
  <c r="O10" i="1"/>
  <c r="C5" i="5"/>
  <c r="G35" i="1"/>
  <c r="P33" i="1"/>
  <c r="B5" i="5"/>
  <c r="Q27" i="1"/>
  <c r="Q26" i="1"/>
  <c r="F11" i="1"/>
  <c r="F12" i="1"/>
  <c r="O15" i="1"/>
  <c r="P7" i="1"/>
  <c r="G31" i="1"/>
  <c r="P29" i="1"/>
  <c r="G9" i="1"/>
  <c r="G27" i="1"/>
  <c r="F17" i="1"/>
  <c r="O11" i="1"/>
  <c r="Q30" i="1"/>
  <c r="G13" i="1"/>
  <c r="F7" i="1"/>
  <c r="F8" i="1"/>
  <c r="P15" i="1"/>
  <c r="O13" i="1"/>
  <c r="Q34" i="1"/>
  <c r="O12" i="1"/>
  <c r="O17" i="1"/>
  <c r="F15" i="1"/>
  <c r="Q31" i="1"/>
  <c r="F25" i="1"/>
  <c r="F27" i="1"/>
  <c r="F29" i="1"/>
  <c r="F31" i="1"/>
  <c r="F33" i="1"/>
  <c r="F35" i="1"/>
  <c r="F26" i="1"/>
  <c r="F28" i="1"/>
  <c r="F30" i="1"/>
  <c r="F32" i="1"/>
  <c r="F34" i="1"/>
  <c r="G17" i="1"/>
  <c r="G8" i="1"/>
  <c r="G10" i="1"/>
  <c r="G12" i="1"/>
  <c r="G14" i="1"/>
  <c r="G16" i="1"/>
  <c r="G26" i="1"/>
  <c r="G28" i="1"/>
  <c r="G30" i="1"/>
  <c r="G32" i="1"/>
  <c r="G34" i="1"/>
  <c r="H7" i="1"/>
  <c r="H9" i="1"/>
  <c r="H11" i="1"/>
  <c r="H13" i="1"/>
  <c r="H15" i="1"/>
  <c r="H17" i="1"/>
  <c r="H8" i="1"/>
  <c r="H10" i="1"/>
  <c r="H12" i="1"/>
  <c r="H14" i="1"/>
  <c r="H16" i="1"/>
  <c r="P17" i="1"/>
  <c r="P8" i="1"/>
  <c r="P10" i="1"/>
  <c r="P12" i="1"/>
  <c r="P14" i="1"/>
  <c r="P16" i="1"/>
  <c r="P26" i="1"/>
  <c r="P28" i="1"/>
  <c r="P30" i="1"/>
  <c r="P32" i="1"/>
  <c r="P34" i="1"/>
  <c r="Q7" i="1"/>
  <c r="Q9" i="1"/>
  <c r="Q11" i="1"/>
  <c r="Q13" i="1"/>
  <c r="Q15" i="1"/>
  <c r="Q17" i="1"/>
  <c r="Q8" i="1"/>
  <c r="Q10" i="1"/>
  <c r="Q12" i="1"/>
  <c r="Q14" i="1"/>
  <c r="Q16" i="1"/>
  <c r="O25" i="1"/>
  <c r="O27" i="1"/>
  <c r="O29" i="1"/>
  <c r="O31" i="1"/>
  <c r="O33" i="1"/>
  <c r="O35" i="1"/>
  <c r="O26" i="1"/>
  <c r="O28" i="1"/>
  <c r="O30" i="1"/>
  <c r="O32" i="1"/>
  <c r="O34" i="1"/>
  <c r="H31" i="1"/>
  <c r="H27" i="1"/>
  <c r="G15" i="1"/>
  <c r="G11" i="1"/>
  <c r="G7" i="1"/>
  <c r="F13" i="1"/>
  <c r="F9" i="1"/>
  <c r="H34" i="1"/>
  <c r="H30" i="1"/>
  <c r="H26" i="1"/>
  <c r="G33" i="1"/>
  <c r="G29" i="1"/>
  <c r="G25" i="1"/>
  <c r="F14" i="1"/>
  <c r="F10" i="1"/>
  <c r="H35" i="1"/>
  <c r="Q33" i="1"/>
  <c r="Q29" i="1"/>
  <c r="Q25" i="1"/>
  <c r="P13" i="1"/>
  <c r="P9" i="1"/>
  <c r="Q32" i="1"/>
  <c r="Q28" i="1"/>
  <c r="P35" i="1"/>
  <c r="P31" i="1"/>
  <c r="P27" i="1"/>
  <c r="P54" i="1" l="1"/>
  <c r="P21" i="1"/>
  <c r="Q39" i="1"/>
  <c r="H46" i="1"/>
  <c r="H45" i="1" s="1"/>
  <c r="H63" i="1" s="1"/>
  <c r="O39" i="1"/>
  <c r="O21" i="1"/>
  <c r="P56" i="1"/>
  <c r="P57" i="1" s="1"/>
  <c r="P64" i="1" s="1"/>
  <c r="F21" i="1"/>
  <c r="P39" i="1"/>
  <c r="H39" i="1"/>
  <c r="Q55" i="1"/>
  <c r="Q51" i="1"/>
  <c r="Q47" i="1"/>
  <c r="Q52" i="1"/>
  <c r="Q48" i="1"/>
  <c r="Q49" i="1"/>
  <c r="Q50" i="1"/>
  <c r="Q53" i="1"/>
  <c r="Q54" i="1"/>
  <c r="G56" i="1"/>
  <c r="G57" i="1" s="1"/>
  <c r="G64" i="1" s="1"/>
  <c r="G52" i="1"/>
  <c r="G48" i="1"/>
  <c r="G55" i="1"/>
  <c r="G51" i="1"/>
  <c r="G47" i="1"/>
  <c r="G50" i="1"/>
  <c r="G49" i="1"/>
  <c r="G54" i="1"/>
  <c r="G46" i="1"/>
  <c r="G45" i="1" s="1"/>
  <c r="G63" i="1" s="1"/>
  <c r="G53" i="1"/>
  <c r="G40" i="1"/>
  <c r="G21" i="1"/>
  <c r="H40" i="1"/>
  <c r="H51" i="1"/>
  <c r="H50" i="1"/>
  <c r="O54" i="1"/>
  <c r="O50" i="1"/>
  <c r="O46" i="1"/>
  <c r="O45" i="1" s="1"/>
  <c r="O63" i="1" s="1"/>
  <c r="O53" i="1"/>
  <c r="O49" i="1"/>
  <c r="O48" i="1"/>
  <c r="O55" i="1"/>
  <c r="O47" i="1"/>
  <c r="O56" i="1"/>
  <c r="O57" i="1" s="1"/>
  <c r="O64" i="1" s="1"/>
  <c r="O52" i="1"/>
  <c r="O51" i="1"/>
  <c r="P50" i="1"/>
  <c r="P49" i="1"/>
  <c r="P53" i="1"/>
  <c r="Q40" i="1"/>
  <c r="P46" i="1"/>
  <c r="P45" i="1" s="1"/>
  <c r="P63" i="1" s="1"/>
  <c r="H55" i="1"/>
  <c r="H54" i="1"/>
  <c r="P47" i="1"/>
  <c r="P55" i="1"/>
  <c r="P52" i="1"/>
  <c r="H48" i="1"/>
  <c r="H56" i="1"/>
  <c r="H57" i="1" s="1"/>
  <c r="H64" i="1" s="1"/>
  <c r="H53" i="1"/>
  <c r="Q21" i="1"/>
  <c r="Q41" i="1"/>
  <c r="H21" i="1"/>
  <c r="H41" i="1"/>
  <c r="F54" i="1"/>
  <c r="F50" i="1"/>
  <c r="F46" i="1"/>
  <c r="F45" i="1" s="1"/>
  <c r="F63" i="1" s="1"/>
  <c r="F53" i="1"/>
  <c r="F49" i="1"/>
  <c r="F56" i="1"/>
  <c r="F57" i="1" s="1"/>
  <c r="F64" i="1" s="1"/>
  <c r="F52" i="1"/>
  <c r="F51" i="1"/>
  <c r="F48" i="1"/>
  <c r="F55" i="1"/>
  <c r="F47" i="1"/>
  <c r="F39" i="1"/>
  <c r="H47" i="1"/>
  <c r="P40" i="1"/>
  <c r="P51" i="1"/>
  <c r="P48" i="1"/>
  <c r="G39" i="1"/>
  <c r="H52" i="1"/>
  <c r="H49" i="1"/>
  <c r="H61" i="1"/>
  <c r="G61" i="1"/>
  <c r="Q61" i="1"/>
  <c r="P61" i="1"/>
  <c r="F61" i="1"/>
  <c r="O61" i="1"/>
</calcChain>
</file>

<file path=xl/sharedStrings.xml><?xml version="1.0" encoding="utf-8"?>
<sst xmlns="http://schemas.openxmlformats.org/spreadsheetml/2006/main" count="83" uniqueCount="49">
  <si>
    <t>Years</t>
  </si>
  <si>
    <t>Harvested</t>
  </si>
  <si>
    <t>Yield t</t>
  </si>
  <si>
    <t xml:space="preserve">Price </t>
  </si>
  <si>
    <t>Obs.</t>
  </si>
  <si>
    <t>Mean</t>
  </si>
  <si>
    <t>Autocorrelation Coefficient</t>
  </si>
  <si>
    <t>F(x)</t>
  </si>
  <si>
    <t>Unsorted Deviations from Trend</t>
  </si>
  <si>
    <t>Slope</t>
  </si>
  <si>
    <t>Intercept</t>
  </si>
  <si>
    <t>Unsorted Deviations from Trend as a Percent of Predicted</t>
  </si>
  <si>
    <t>Sorted Deviations from Trend as a Percent of Predicted</t>
  </si>
  <si>
    <t>Correlation Matrix</t>
  </si>
  <si>
    <t>Output for Empirical Distributions with 11 Observations as Precent Deviations from Trend</t>
  </si>
  <si>
    <t>This is the first parameter estimation of an EMP</t>
  </si>
  <si>
    <t>This is the second parameter estimation of an EMP so I can put in my expectations</t>
  </si>
  <si>
    <t>Now Price can decline 50%</t>
  </si>
  <si>
    <t xml:space="preserve">with a 10% chance </t>
  </si>
  <si>
    <t>Now price can increase 120%</t>
  </si>
  <si>
    <t>with a 8% chance</t>
  </si>
  <si>
    <t>Assumed Y-Hats</t>
  </si>
  <si>
    <t>Stochastic Values</t>
  </si>
  <si>
    <t>Variable</t>
  </si>
  <si>
    <t>StDev</t>
  </si>
  <si>
    <t>CV</t>
  </si>
  <si>
    <t>Min</t>
  </si>
  <si>
    <t>Max</t>
  </si>
  <si>
    <t>Iteration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</si>
  <si>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</si>
  <si>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</si>
  <si>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</si>
  <si>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</si>
  <si>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</si>
  <si>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</si>
  <si>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</si>
  <si>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</si>
  <si>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</si>
  <si>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</si>
  <si>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Expectecd Minimum</t>
  </si>
  <si>
    <t>Expected Maximum</t>
  </si>
  <si>
    <t>Prob (Price &lt; 3.5)</t>
  </si>
  <si>
    <t>Prob (Price &lt; 15.35)</t>
  </si>
  <si>
    <t>Price</t>
  </si>
  <si>
    <t>Price 1</t>
  </si>
  <si>
    <t>Price 2</t>
  </si>
  <si>
    <t>Simetar Simulation Results for 500 Iterations.  9:47:51 PM 3/22/2009 (2.89 sec.).  © 2008.</t>
  </si>
  <si>
    <t>CDFProb.</t>
  </si>
  <si>
    <t>Simetar Simulation Results for 500 Iterations. 12:21:17 PM 5/11/2011 (1 sec.).  © 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</si>
</sst>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0"/>
    <numFmt numFmtId="166" formatCode="0.00000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0" fontId="0" fillId="0" borderId="1" xfId="0" applyBorder="1"/>
    <xf numFmtId="0" fontId="2" fillId="0" borderId="0" xfId="0" applyFont="1"/>
    <xf numFmtId="165" fontId="1" fillId="0" borderId="0" xfId="0" applyNumberFormat="1" applyFont="1"/>
    <xf numFmtId="166" fontId="1" fillId="0" borderId="1" xfId="0" applyNumberFormat="1" applyFont="1" applyBorder="1"/>
    <xf numFmtId="166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Comparison of CDFs for Original and Modified</a:t>
            </a:r>
            <a:r>
              <a:rPr lang="en-US" baseline="0"/>
              <a:t> </a:t>
            </a:r>
            <a:r>
              <a:rPr lang="en-US"/>
              <a:t>Price Distributions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'SimData1 and 2'!$H$9</c:f>
              <c:strCache>
                <c:ptCount val="1"/>
                <c:pt idx="0">
                  <c:v>Price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'SimData1 and 2'!$H$10:$H$509</c:f>
              <c:numCache>
                <c:formatCode>General</c:formatCode>
                <c:ptCount val="500"/>
                <c:pt idx="0">
                  <c:v>5.182590882426461</c:v>
                </c:pt>
                <c:pt idx="1">
                  <c:v>5.1825937990076918</c:v>
                </c:pt>
                <c:pt idx="2">
                  <c:v>5.1825978441246363</c:v>
                </c:pt>
                <c:pt idx="3">
                  <c:v>5.1825989465220017</c:v>
                </c:pt>
                <c:pt idx="4">
                  <c:v>5.1826033420511797</c:v>
                </c:pt>
                <c:pt idx="5">
                  <c:v>5.1826061362228248</c:v>
                </c:pt>
                <c:pt idx="6">
                  <c:v>5.1826118565330548</c:v>
                </c:pt>
                <c:pt idx="7">
                  <c:v>5.1826149255703688</c:v>
                </c:pt>
                <c:pt idx="8">
                  <c:v>5.1826175257830931</c:v>
                </c:pt>
                <c:pt idx="9">
                  <c:v>5.1826232629325419</c:v>
                </c:pt>
                <c:pt idx="10">
                  <c:v>5.1826241356062726</c:v>
                </c:pt>
                <c:pt idx="11">
                  <c:v>5.1826283780231801</c:v>
                </c:pt>
                <c:pt idx="12">
                  <c:v>5.1826310858825746</c:v>
                </c:pt>
                <c:pt idx="13">
                  <c:v>5.182637502542363</c:v>
                </c:pt>
                <c:pt idx="14">
                  <c:v>5.182640223183947</c:v>
                </c:pt>
                <c:pt idx="15">
                  <c:v>5.1826453559352919</c:v>
                </c:pt>
                <c:pt idx="16">
                  <c:v>5.1826475109590637</c:v>
                </c:pt>
                <c:pt idx="17">
                  <c:v>5.1826499234281966</c:v>
                </c:pt>
                <c:pt idx="18">
                  <c:v>5.1826530899492269</c:v>
                </c:pt>
                <c:pt idx="19">
                  <c:v>5.1826581224043338</c:v>
                </c:pt>
                <c:pt idx="20">
                  <c:v>5.1826617182242893</c:v>
                </c:pt>
                <c:pt idx="21">
                  <c:v>5.1826642108413372</c:v>
                </c:pt>
                <c:pt idx="22">
                  <c:v>5.1826707717855056</c:v>
                </c:pt>
                <c:pt idx="23">
                  <c:v>5.1826715897626006</c:v>
                </c:pt>
                <c:pt idx="24">
                  <c:v>5.1826745819395565</c:v>
                </c:pt>
                <c:pt idx="25">
                  <c:v>5.1826791080036685</c:v>
                </c:pt>
                <c:pt idx="26">
                  <c:v>5.1826848136675583</c:v>
                </c:pt>
                <c:pt idx="27">
                  <c:v>5.1826875099170717</c:v>
                </c:pt>
                <c:pt idx="28">
                  <c:v>5.1826910035877756</c:v>
                </c:pt>
                <c:pt idx="29">
                  <c:v>5.1826949366281649</c:v>
                </c:pt>
                <c:pt idx="30">
                  <c:v>5.1826964097527881</c:v>
                </c:pt>
                <c:pt idx="31">
                  <c:v>5.1827020130783579</c:v>
                </c:pt>
                <c:pt idx="32">
                  <c:v>5.1827068706529964</c:v>
                </c:pt>
                <c:pt idx="33">
                  <c:v>5.1827071944192138</c:v>
                </c:pt>
                <c:pt idx="34">
                  <c:v>5.1827144284514919</c:v>
                </c:pt>
                <c:pt idx="35">
                  <c:v>5.1827170691520141</c:v>
                </c:pt>
                <c:pt idx="36">
                  <c:v>5.182721367496633</c:v>
                </c:pt>
                <c:pt idx="37">
                  <c:v>5.1827222312384791</c:v>
                </c:pt>
                <c:pt idx="38">
                  <c:v>5.1827257228466914</c:v>
                </c:pt>
                <c:pt idx="39">
                  <c:v>5.1827309684318905</c:v>
                </c:pt>
                <c:pt idx="40">
                  <c:v>5.1827339829873162</c:v>
                </c:pt>
                <c:pt idx="41">
                  <c:v>5.1827386380898712</c:v>
                </c:pt>
                <c:pt idx="42">
                  <c:v>5.182742057656581</c:v>
                </c:pt>
                <c:pt idx="43">
                  <c:v>5.1827459112287153</c:v>
                </c:pt>
                <c:pt idx="44">
                  <c:v>5.1827491933231657</c:v>
                </c:pt>
                <c:pt idx="45">
                  <c:v>5.1827522067455973</c:v>
                </c:pt>
                <c:pt idx="46">
                  <c:v>5.1827546286366024</c:v>
                </c:pt>
                <c:pt idx="47">
                  <c:v>5.1827613708389126</c:v>
                </c:pt>
                <c:pt idx="48">
                  <c:v>5.1827633787482057</c:v>
                </c:pt>
                <c:pt idx="49">
                  <c:v>5.1827683192680283</c:v>
                </c:pt>
                <c:pt idx="50">
                  <c:v>5.2207322313721622</c:v>
                </c:pt>
                <c:pt idx="51">
                  <c:v>5.2343178722245476</c:v>
                </c:pt>
                <c:pt idx="52">
                  <c:v>5.3154972634148692</c:v>
                </c:pt>
                <c:pt idx="53">
                  <c:v>5.3581327628133959</c:v>
                </c:pt>
                <c:pt idx="54">
                  <c:v>5.377685149271084</c:v>
                </c:pt>
                <c:pt idx="55">
                  <c:v>5.4378573180826066</c:v>
                </c:pt>
                <c:pt idx="56">
                  <c:v>5.4796909186931479</c:v>
                </c:pt>
                <c:pt idx="57">
                  <c:v>5.5139861016201142</c:v>
                </c:pt>
                <c:pt idx="58">
                  <c:v>5.5635875226474694</c:v>
                </c:pt>
                <c:pt idx="59">
                  <c:v>5.5956371480997111</c:v>
                </c:pt>
                <c:pt idx="60">
                  <c:v>5.6700461095890278</c:v>
                </c:pt>
                <c:pt idx="61">
                  <c:v>5.675241104254221</c:v>
                </c:pt>
                <c:pt idx="62">
                  <c:v>5.7200699879981762</c:v>
                </c:pt>
                <c:pt idx="63">
                  <c:v>5.7864857778185357</c:v>
                </c:pt>
                <c:pt idx="64">
                  <c:v>5.8374412138968408</c:v>
                </c:pt>
                <c:pt idx="65">
                  <c:v>5.8965976576131469</c:v>
                </c:pt>
                <c:pt idx="66">
                  <c:v>5.9153219888767294</c:v>
                </c:pt>
                <c:pt idx="67">
                  <c:v>5.9724491712815651</c:v>
                </c:pt>
                <c:pt idx="68">
                  <c:v>5.9945976817078384</c:v>
                </c:pt>
                <c:pt idx="69">
                  <c:v>5.995030063101904</c:v>
                </c:pt>
                <c:pt idx="70">
                  <c:v>5.9953469179800445</c:v>
                </c:pt>
                <c:pt idx="71">
                  <c:v>5.9955371600312972</c:v>
                </c:pt>
                <c:pt idx="72">
                  <c:v>5.9959262207440602</c:v>
                </c:pt>
                <c:pt idx="73">
                  <c:v>5.9961027071967772</c:v>
                </c:pt>
                <c:pt idx="74">
                  <c:v>5.9964906540326197</c:v>
                </c:pt>
                <c:pt idx="75">
                  <c:v>5.9967049550986848</c:v>
                </c:pt>
                <c:pt idx="76">
                  <c:v>5.997010828683738</c:v>
                </c:pt>
                <c:pt idx="77">
                  <c:v>5.9974476216911121</c:v>
                </c:pt>
                <c:pt idx="78">
                  <c:v>5.9976225674323507</c:v>
                </c:pt>
                <c:pt idx="79">
                  <c:v>5.9978900000250945</c:v>
                </c:pt>
                <c:pt idx="80">
                  <c:v>5.9982735711667114</c:v>
                </c:pt>
                <c:pt idx="81">
                  <c:v>5.9986819713173647</c:v>
                </c:pt>
                <c:pt idx="82">
                  <c:v>5.9988716181754169</c:v>
                </c:pt>
                <c:pt idx="83">
                  <c:v>5.999266204244603</c:v>
                </c:pt>
                <c:pt idx="84">
                  <c:v>5.9996420573116325</c:v>
                </c:pt>
                <c:pt idx="85">
                  <c:v>5.9999156674834575</c:v>
                </c:pt>
                <c:pt idx="86">
                  <c:v>6.0000427082127397</c:v>
                </c:pt>
                <c:pt idx="87">
                  <c:v>6.0004444003888846</c:v>
                </c:pt>
                <c:pt idx="88">
                  <c:v>6.00067981234867</c:v>
                </c:pt>
                <c:pt idx="89">
                  <c:v>6.0009377057632838</c:v>
                </c:pt>
                <c:pt idx="90">
                  <c:v>6.0013096691933878</c:v>
                </c:pt>
                <c:pt idx="91">
                  <c:v>6.0017179715569666</c:v>
                </c:pt>
                <c:pt idx="92">
                  <c:v>6.0020963945313817</c:v>
                </c:pt>
                <c:pt idx="93">
                  <c:v>6.0023126032758505</c:v>
                </c:pt>
                <c:pt idx="94">
                  <c:v>6.0025913699016309</c:v>
                </c:pt>
                <c:pt idx="95">
                  <c:v>6.0030024733774816</c:v>
                </c:pt>
                <c:pt idx="96">
                  <c:v>6.0030968947297669</c:v>
                </c:pt>
                <c:pt idx="97">
                  <c:v>6.0034484181948908</c:v>
                </c:pt>
                <c:pt idx="98">
                  <c:v>6.0037279299385053</c:v>
                </c:pt>
                <c:pt idx="99">
                  <c:v>6.0041007693678878</c:v>
                </c:pt>
                <c:pt idx="100">
                  <c:v>6.0046206508319138</c:v>
                </c:pt>
                <c:pt idx="101">
                  <c:v>6.0048327686028191</c:v>
                </c:pt>
                <c:pt idx="102">
                  <c:v>6.0050760129865424</c:v>
                </c:pt>
                <c:pt idx="103">
                  <c:v>6.0054195746674548</c:v>
                </c:pt>
                <c:pt idx="104">
                  <c:v>6.0056899478123089</c:v>
                </c:pt>
                <c:pt idx="105">
                  <c:v>6.0059963216242398</c:v>
                </c:pt>
                <c:pt idx="106">
                  <c:v>6.0064338615983566</c:v>
                </c:pt>
                <c:pt idx="107">
                  <c:v>6.0067792849163935</c:v>
                </c:pt>
                <c:pt idx="108">
                  <c:v>6.0069511869427519</c:v>
                </c:pt>
                <c:pt idx="109">
                  <c:v>6.0072347553302858</c:v>
                </c:pt>
                <c:pt idx="110">
                  <c:v>6.007512989643315</c:v>
                </c:pt>
                <c:pt idx="111">
                  <c:v>6.0079247209374165</c:v>
                </c:pt>
                <c:pt idx="112">
                  <c:v>6.0082549277210138</c:v>
                </c:pt>
                <c:pt idx="113">
                  <c:v>6.0084863477919495</c:v>
                </c:pt>
                <c:pt idx="114">
                  <c:v>6.019656846780034</c:v>
                </c:pt>
                <c:pt idx="115">
                  <c:v>6.0244368299815987</c:v>
                </c:pt>
                <c:pt idx="116">
                  <c:v>6.039788490858788</c:v>
                </c:pt>
                <c:pt idx="117">
                  <c:v>6.0443092739714315</c:v>
                </c:pt>
                <c:pt idx="118">
                  <c:v>6.0558048091741696</c:v>
                </c:pt>
                <c:pt idx="119">
                  <c:v>6.0745429213893862</c:v>
                </c:pt>
                <c:pt idx="120">
                  <c:v>6.0790155669885468</c:v>
                </c:pt>
                <c:pt idx="121">
                  <c:v>6.0944467381492116</c:v>
                </c:pt>
                <c:pt idx="122">
                  <c:v>6.0986530223787643</c:v>
                </c:pt>
                <c:pt idx="123">
                  <c:v>6.1172439701843491</c:v>
                </c:pt>
                <c:pt idx="124">
                  <c:v>6.1254953552068603</c:v>
                </c:pt>
                <c:pt idx="125">
                  <c:v>6.1366187889149177</c:v>
                </c:pt>
                <c:pt idx="126">
                  <c:v>6.1477336976810308</c:v>
                </c:pt>
                <c:pt idx="127">
                  <c:v>6.151416581353633</c:v>
                </c:pt>
                <c:pt idx="128">
                  <c:v>6.1615155477964123</c:v>
                </c:pt>
                <c:pt idx="129">
                  <c:v>6.1784984995106571</c:v>
                </c:pt>
                <c:pt idx="130">
                  <c:v>6.189879839898861</c:v>
                </c:pt>
                <c:pt idx="131">
                  <c:v>6.1983075427454732</c:v>
                </c:pt>
                <c:pt idx="132">
                  <c:v>6.2038207590693535</c:v>
                </c:pt>
                <c:pt idx="133">
                  <c:v>6.2163003265023153</c:v>
                </c:pt>
                <c:pt idx="134">
                  <c:v>6.2302050335408143</c:v>
                </c:pt>
                <c:pt idx="135">
                  <c:v>6.2371280495898471</c:v>
                </c:pt>
                <c:pt idx="136">
                  <c:v>6.2523858621827308</c:v>
                </c:pt>
                <c:pt idx="137">
                  <c:v>6.2561843440835458</c:v>
                </c:pt>
                <c:pt idx="138">
                  <c:v>6.2688747814333059</c:v>
                </c:pt>
                <c:pt idx="139">
                  <c:v>6.2847191741106148</c:v>
                </c:pt>
                <c:pt idx="140">
                  <c:v>6.290203945520374</c:v>
                </c:pt>
                <c:pt idx="141">
                  <c:v>6.3017731794286673</c:v>
                </c:pt>
                <c:pt idx="142">
                  <c:v>6.3107793966973258</c:v>
                </c:pt>
                <c:pt idx="143">
                  <c:v>6.3253726268032491</c:v>
                </c:pt>
                <c:pt idx="144">
                  <c:v>6.3376042645794328</c:v>
                </c:pt>
                <c:pt idx="145">
                  <c:v>6.3480945005929295</c:v>
                </c:pt>
                <c:pt idx="146">
                  <c:v>6.3548048603238989</c:v>
                </c:pt>
                <c:pt idx="147">
                  <c:v>6.3686810247117878</c:v>
                </c:pt>
                <c:pt idx="148">
                  <c:v>6.3763443662274844</c:v>
                </c:pt>
                <c:pt idx="149">
                  <c:v>6.3861638953893332</c:v>
                </c:pt>
                <c:pt idx="150">
                  <c:v>6.3970803474685987</c:v>
                </c:pt>
                <c:pt idx="151">
                  <c:v>6.4114882919007394</c:v>
                </c:pt>
                <c:pt idx="152">
                  <c:v>6.4147962761321917</c:v>
                </c:pt>
                <c:pt idx="153">
                  <c:v>6.4338349398312014</c:v>
                </c:pt>
                <c:pt idx="154">
                  <c:v>6.4448180734935168</c:v>
                </c:pt>
                <c:pt idx="155">
                  <c:v>6.4461642207114487</c:v>
                </c:pt>
                <c:pt idx="156">
                  <c:v>6.4583966714995231</c:v>
                </c:pt>
                <c:pt idx="157">
                  <c:v>6.46875961780027</c:v>
                </c:pt>
                <c:pt idx="158">
                  <c:v>6.4799775793747498</c:v>
                </c:pt>
                <c:pt idx="159">
                  <c:v>6.4884809562598047</c:v>
                </c:pt>
                <c:pt idx="160">
                  <c:v>6.5085558112063593</c:v>
                </c:pt>
                <c:pt idx="161">
                  <c:v>6.5190999610261979</c:v>
                </c:pt>
                <c:pt idx="162">
                  <c:v>6.5356241100675607</c:v>
                </c:pt>
                <c:pt idx="163">
                  <c:v>6.5606044637606082</c:v>
                </c:pt>
                <c:pt idx="164">
                  <c:v>6.5653066598849925</c:v>
                </c:pt>
                <c:pt idx="165">
                  <c:v>6.5838652821034733</c:v>
                </c:pt>
                <c:pt idx="166">
                  <c:v>6.6001395171809785</c:v>
                </c:pt>
                <c:pt idx="167">
                  <c:v>6.6157474811140373</c:v>
                </c:pt>
                <c:pt idx="168">
                  <c:v>6.6242745583578104</c:v>
                </c:pt>
                <c:pt idx="169">
                  <c:v>6.6447654039849056</c:v>
                </c:pt>
                <c:pt idx="170">
                  <c:v>6.6574592953211766</c:v>
                </c:pt>
                <c:pt idx="171">
                  <c:v>6.6691571351255394</c:v>
                </c:pt>
                <c:pt idx="172">
                  <c:v>6.6929925257399132</c:v>
                </c:pt>
                <c:pt idx="173">
                  <c:v>6.6979656758275095</c:v>
                </c:pt>
                <c:pt idx="174">
                  <c:v>6.7126439479309798</c:v>
                </c:pt>
                <c:pt idx="175">
                  <c:v>6.7287256497256358</c:v>
                </c:pt>
                <c:pt idx="176">
                  <c:v>6.7441451032307143</c:v>
                </c:pt>
                <c:pt idx="177">
                  <c:v>6.7699726491040542</c:v>
                </c:pt>
                <c:pt idx="178">
                  <c:v>6.7868822822339459</c:v>
                </c:pt>
                <c:pt idx="179">
                  <c:v>6.7948603906014826</c:v>
                </c:pt>
                <c:pt idx="180">
                  <c:v>6.8131436953776525</c:v>
                </c:pt>
                <c:pt idx="181">
                  <c:v>6.8232084712121797</c:v>
                </c:pt>
                <c:pt idx="182">
                  <c:v>6.8381200535470077</c:v>
                </c:pt>
                <c:pt idx="183">
                  <c:v>6.8525559348934717</c:v>
                </c:pt>
                <c:pt idx="184">
                  <c:v>6.8629813634328123</c:v>
                </c:pt>
                <c:pt idx="185">
                  <c:v>6.8799392936471442</c:v>
                </c:pt>
                <c:pt idx="186">
                  <c:v>6.8995271014605937</c:v>
                </c:pt>
                <c:pt idx="187">
                  <c:v>6.9123781537530045</c:v>
                </c:pt>
                <c:pt idx="188">
                  <c:v>6.9336286996997449</c:v>
                </c:pt>
                <c:pt idx="189">
                  <c:v>6.9476093552489173</c:v>
                </c:pt>
                <c:pt idx="190">
                  <c:v>6.9625977945033606</c:v>
                </c:pt>
                <c:pt idx="191">
                  <c:v>6.9804024535277343</c:v>
                </c:pt>
                <c:pt idx="192">
                  <c:v>6.9875190419207192</c:v>
                </c:pt>
                <c:pt idx="193">
                  <c:v>7.0049366928258303</c:v>
                </c:pt>
                <c:pt idx="194">
                  <c:v>7.0195203133364572</c:v>
                </c:pt>
                <c:pt idx="195">
                  <c:v>7.0415205866297832</c:v>
                </c:pt>
                <c:pt idx="196">
                  <c:v>7.0526029971224746</c:v>
                </c:pt>
                <c:pt idx="197">
                  <c:v>7.0659366653203959</c:v>
                </c:pt>
                <c:pt idx="198">
                  <c:v>7.0824409402437336</c:v>
                </c:pt>
                <c:pt idx="199">
                  <c:v>7.100981873079629</c:v>
                </c:pt>
                <c:pt idx="200">
                  <c:v>7.1094275124443067</c:v>
                </c:pt>
                <c:pt idx="201">
                  <c:v>7.122194851324184</c:v>
                </c:pt>
                <c:pt idx="202">
                  <c:v>7.1406198987196161</c:v>
                </c:pt>
                <c:pt idx="203">
                  <c:v>7.1523039830163899</c:v>
                </c:pt>
                <c:pt idx="204">
                  <c:v>7.168449449649728</c:v>
                </c:pt>
                <c:pt idx="205">
                  <c:v>7.1707482919008863</c:v>
                </c:pt>
                <c:pt idx="206">
                  <c:v>7.1717217701765277</c:v>
                </c:pt>
                <c:pt idx="207">
                  <c:v>7.1732200399906976</c:v>
                </c:pt>
                <c:pt idx="208">
                  <c:v>7.1739626056698871</c:v>
                </c:pt>
                <c:pt idx="209">
                  <c:v>7.1750597258193505</c:v>
                </c:pt>
                <c:pt idx="210">
                  <c:v>7.1757070654963613</c:v>
                </c:pt>
                <c:pt idx="211">
                  <c:v>7.1769850839075726</c:v>
                </c:pt>
                <c:pt idx="212">
                  <c:v>7.1778541344325451</c:v>
                </c:pt>
                <c:pt idx="213">
                  <c:v>7.1781215076426772</c:v>
                </c:pt>
                <c:pt idx="214">
                  <c:v>7.1795323284368484</c:v>
                </c:pt>
                <c:pt idx="215">
                  <c:v>7.180300448430371</c:v>
                </c:pt>
                <c:pt idx="216">
                  <c:v>7.1812772307045476</c:v>
                </c:pt>
                <c:pt idx="217">
                  <c:v>7.1824312584402179</c:v>
                </c:pt>
                <c:pt idx="218">
                  <c:v>7.1831580813744971</c:v>
                </c:pt>
                <c:pt idx="219">
                  <c:v>7.1839357014794549</c:v>
                </c:pt>
                <c:pt idx="220">
                  <c:v>7.1852726774674878</c:v>
                </c:pt>
                <c:pt idx="221">
                  <c:v>7.1854704452724363</c:v>
                </c:pt>
                <c:pt idx="222">
                  <c:v>7.1867631564382473</c:v>
                </c:pt>
                <c:pt idx="223">
                  <c:v>7.187606956279593</c:v>
                </c:pt>
                <c:pt idx="224">
                  <c:v>7.1884492345513831</c:v>
                </c:pt>
                <c:pt idx="225">
                  <c:v>7.189270791574855</c:v>
                </c:pt>
                <c:pt idx="226">
                  <c:v>7.1901396260792385</c:v>
                </c:pt>
                <c:pt idx="227">
                  <c:v>7.1918380461092362</c:v>
                </c:pt>
                <c:pt idx="228">
                  <c:v>7.1925298978463488</c:v>
                </c:pt>
                <c:pt idx="229">
                  <c:v>7.1931135957545678</c:v>
                </c:pt>
                <c:pt idx="230">
                  <c:v>7.1938380591458291</c:v>
                </c:pt>
                <c:pt idx="231">
                  <c:v>7.1952355327631077</c:v>
                </c:pt>
                <c:pt idx="232">
                  <c:v>7.1965723219276274</c:v>
                </c:pt>
                <c:pt idx="233">
                  <c:v>7.1975202566658867</c:v>
                </c:pt>
                <c:pt idx="234">
                  <c:v>7.1984512022621399</c:v>
                </c:pt>
                <c:pt idx="235">
                  <c:v>7.1986309312793271</c:v>
                </c:pt>
                <c:pt idx="236">
                  <c:v>7.1998725291388164</c:v>
                </c:pt>
                <c:pt idx="237">
                  <c:v>7.2008442952367107</c:v>
                </c:pt>
                <c:pt idx="238">
                  <c:v>7.2020596895585571</c:v>
                </c:pt>
                <c:pt idx="239">
                  <c:v>7.2025583472689831</c:v>
                </c:pt>
                <c:pt idx="240">
                  <c:v>7.203401789378403</c:v>
                </c:pt>
                <c:pt idx="241">
                  <c:v>7.2045673545874305</c:v>
                </c:pt>
                <c:pt idx="242">
                  <c:v>7.2056338163078903</c:v>
                </c:pt>
                <c:pt idx="243">
                  <c:v>7.2067452784510255</c:v>
                </c:pt>
                <c:pt idx="244">
                  <c:v>7.2071035591473791</c:v>
                </c:pt>
                <c:pt idx="245">
                  <c:v>7.2086930419328192</c:v>
                </c:pt>
                <c:pt idx="246">
                  <c:v>7.2088860386113272</c:v>
                </c:pt>
                <c:pt idx="247">
                  <c:v>7.2097904141139733</c:v>
                </c:pt>
                <c:pt idx="248">
                  <c:v>7.2108806045824547</c:v>
                </c:pt>
                <c:pt idx="249">
                  <c:v>7.2124374691672033</c:v>
                </c:pt>
                <c:pt idx="250">
                  <c:v>7.2125221598704838</c:v>
                </c:pt>
                <c:pt idx="251">
                  <c:v>7.2132617459093566</c:v>
                </c:pt>
                <c:pt idx="252">
                  <c:v>7.213356381689219</c:v>
                </c:pt>
                <c:pt idx="253">
                  <c:v>7.2138117882801733</c:v>
                </c:pt>
                <c:pt idx="254">
                  <c:v>7.2142981250427356</c:v>
                </c:pt>
                <c:pt idx="255">
                  <c:v>7.2146293497612373</c:v>
                </c:pt>
                <c:pt idx="256">
                  <c:v>7.2149004907465502</c:v>
                </c:pt>
                <c:pt idx="257">
                  <c:v>7.2156073706517878</c:v>
                </c:pt>
                <c:pt idx="258">
                  <c:v>7.2158911848570373</c:v>
                </c:pt>
                <c:pt idx="259">
                  <c:v>7.2160757130506088</c:v>
                </c:pt>
                <c:pt idx="260">
                  <c:v>7.2165013704695307</c:v>
                </c:pt>
                <c:pt idx="261">
                  <c:v>7.2170762933857837</c:v>
                </c:pt>
                <c:pt idx="262">
                  <c:v>7.2174631698409906</c:v>
                </c:pt>
                <c:pt idx="263">
                  <c:v>7.2176386056891548</c:v>
                </c:pt>
                <c:pt idx="264">
                  <c:v>7.2182330316346546</c:v>
                </c:pt>
                <c:pt idx="265">
                  <c:v>7.2186710543579267</c:v>
                </c:pt>
                <c:pt idx="266">
                  <c:v>7.2188483628435147</c:v>
                </c:pt>
                <c:pt idx="267">
                  <c:v>7.219316745496716</c:v>
                </c:pt>
                <c:pt idx="268">
                  <c:v>7.2197934758786149</c:v>
                </c:pt>
                <c:pt idx="269">
                  <c:v>7.2199869283275984</c:v>
                </c:pt>
                <c:pt idx="270">
                  <c:v>7.2205929195916667</c:v>
                </c:pt>
                <c:pt idx="271">
                  <c:v>7.2209262571587152</c:v>
                </c:pt>
                <c:pt idx="272">
                  <c:v>7.2215001307550999</c:v>
                </c:pt>
                <c:pt idx="273">
                  <c:v>7.2218606439749333</c:v>
                </c:pt>
                <c:pt idx="274">
                  <c:v>7.2223101268829257</c:v>
                </c:pt>
                <c:pt idx="275">
                  <c:v>7.2224575180121686</c:v>
                </c:pt>
                <c:pt idx="276">
                  <c:v>7.2229402235099984</c:v>
                </c:pt>
                <c:pt idx="277">
                  <c:v>7.2234198978800288</c:v>
                </c:pt>
                <c:pt idx="278">
                  <c:v>7.2236843616472024</c:v>
                </c:pt>
                <c:pt idx="279">
                  <c:v>7.2240836645947182</c:v>
                </c:pt>
                <c:pt idx="280">
                  <c:v>7.2245651043079224</c:v>
                </c:pt>
                <c:pt idx="281">
                  <c:v>7.2249588137630294</c:v>
                </c:pt>
                <c:pt idx="282">
                  <c:v>7.2253733004037706</c:v>
                </c:pt>
                <c:pt idx="283">
                  <c:v>7.2256592377253153</c:v>
                </c:pt>
                <c:pt idx="284">
                  <c:v>7.2260431767578925</c:v>
                </c:pt>
                <c:pt idx="285">
                  <c:v>7.2263277997204165</c:v>
                </c:pt>
                <c:pt idx="286">
                  <c:v>7.2266720797155957</c:v>
                </c:pt>
                <c:pt idx="287">
                  <c:v>7.2272253107024209</c:v>
                </c:pt>
                <c:pt idx="288">
                  <c:v>7.2275950193773602</c:v>
                </c:pt>
                <c:pt idx="289">
                  <c:v>7.2281191695441009</c:v>
                </c:pt>
                <c:pt idx="290">
                  <c:v>7.2283760614809793</c:v>
                </c:pt>
                <c:pt idx="291">
                  <c:v>7.2289001883274162</c:v>
                </c:pt>
                <c:pt idx="292">
                  <c:v>7.2292529972472419</c:v>
                </c:pt>
                <c:pt idx="293">
                  <c:v>7.2296920448203377</c:v>
                </c:pt>
                <c:pt idx="294">
                  <c:v>7.2301579102125499</c:v>
                </c:pt>
                <c:pt idx="295">
                  <c:v>7.2310782110423037</c:v>
                </c:pt>
                <c:pt idx="296">
                  <c:v>7.232382222657086</c:v>
                </c:pt>
                <c:pt idx="297">
                  <c:v>7.2326036689274398</c:v>
                </c:pt>
                <c:pt idx="298">
                  <c:v>7.2344430089636109</c:v>
                </c:pt>
                <c:pt idx="299">
                  <c:v>7.2352668156211095</c:v>
                </c:pt>
                <c:pt idx="300">
                  <c:v>7.2375948715495841</c:v>
                </c:pt>
                <c:pt idx="301">
                  <c:v>7.2392278525171472</c:v>
                </c:pt>
                <c:pt idx="302">
                  <c:v>7.2405454480100504</c:v>
                </c:pt>
                <c:pt idx="303">
                  <c:v>7.2419239829660658</c:v>
                </c:pt>
                <c:pt idx="304">
                  <c:v>7.2420599549323397</c:v>
                </c:pt>
                <c:pt idx="305">
                  <c:v>7.2438180759922508</c:v>
                </c:pt>
                <c:pt idx="306">
                  <c:v>7.2455356847261649</c:v>
                </c:pt>
                <c:pt idx="307">
                  <c:v>7.2466626822488571</c:v>
                </c:pt>
                <c:pt idx="308">
                  <c:v>7.2484819393498992</c:v>
                </c:pt>
                <c:pt idx="309">
                  <c:v>7.2489452560542897</c:v>
                </c:pt>
                <c:pt idx="310">
                  <c:v>7.2512385198126337</c:v>
                </c:pt>
                <c:pt idx="311">
                  <c:v>7.2516527597814697</c:v>
                </c:pt>
                <c:pt idx="312">
                  <c:v>7.2534685423684397</c:v>
                </c:pt>
                <c:pt idx="313">
                  <c:v>7.2548160243822082</c:v>
                </c:pt>
                <c:pt idx="314">
                  <c:v>7.2561699074333825</c:v>
                </c:pt>
                <c:pt idx="315">
                  <c:v>7.2575163928156785</c:v>
                </c:pt>
                <c:pt idx="316">
                  <c:v>7.2596688278599526</c:v>
                </c:pt>
                <c:pt idx="317">
                  <c:v>7.2606565948970978</c:v>
                </c:pt>
                <c:pt idx="318">
                  <c:v>7.2612386170902798</c:v>
                </c:pt>
                <c:pt idx="319">
                  <c:v>7.2629947505512362</c:v>
                </c:pt>
                <c:pt idx="320">
                  <c:v>7.264870208641808</c:v>
                </c:pt>
                <c:pt idx="321">
                  <c:v>7.2651582118640254</c:v>
                </c:pt>
                <c:pt idx="322">
                  <c:v>7.2677283905844785</c:v>
                </c:pt>
                <c:pt idx="323">
                  <c:v>7.2689970962659398</c:v>
                </c:pt>
                <c:pt idx="324">
                  <c:v>7.2699628181465759</c:v>
                </c:pt>
                <c:pt idx="325">
                  <c:v>7.2713389315849701</c:v>
                </c:pt>
                <c:pt idx="326">
                  <c:v>7.2725106346469817</c:v>
                </c:pt>
                <c:pt idx="327">
                  <c:v>7.274590118495861</c:v>
                </c:pt>
                <c:pt idx="328">
                  <c:v>7.2749211952185036</c:v>
                </c:pt>
                <c:pt idx="329">
                  <c:v>7.2767373370095463</c:v>
                </c:pt>
                <c:pt idx="330">
                  <c:v>7.2776905233122244</c:v>
                </c:pt>
                <c:pt idx="331">
                  <c:v>7.2794357343434761</c:v>
                </c:pt>
                <c:pt idx="332">
                  <c:v>7.280379082026089</c:v>
                </c:pt>
                <c:pt idx="333">
                  <c:v>7.2818624352712558</c:v>
                </c:pt>
                <c:pt idx="334">
                  <c:v>7.2831605069307672</c:v>
                </c:pt>
                <c:pt idx="335">
                  <c:v>7.2853518455589228</c:v>
                </c:pt>
                <c:pt idx="336">
                  <c:v>7.2863088488937588</c:v>
                </c:pt>
                <c:pt idx="337">
                  <c:v>7.2870868904819872</c:v>
                </c:pt>
                <c:pt idx="338">
                  <c:v>7.2888481046279869</c:v>
                </c:pt>
                <c:pt idx="339">
                  <c:v>7.289818566101002</c:v>
                </c:pt>
                <c:pt idx="340">
                  <c:v>7.2922659965984549</c:v>
                </c:pt>
                <c:pt idx="341">
                  <c:v>7.2988842766416013</c:v>
                </c:pt>
                <c:pt idx="342">
                  <c:v>7.3208605029928933</c:v>
                </c:pt>
                <c:pt idx="343">
                  <c:v>7.3211430069660057</c:v>
                </c:pt>
                <c:pt idx="344">
                  <c:v>7.3467392392850153</c:v>
                </c:pt>
                <c:pt idx="345">
                  <c:v>7.3569314087273749</c:v>
                </c:pt>
                <c:pt idx="346">
                  <c:v>7.3734202942427878</c:v>
                </c:pt>
                <c:pt idx="347">
                  <c:v>7.38346504624056</c:v>
                </c:pt>
                <c:pt idx="348">
                  <c:v>7.4029363768594489</c:v>
                </c:pt>
                <c:pt idx="349">
                  <c:v>7.4051413265315666</c:v>
                </c:pt>
                <c:pt idx="350">
                  <c:v>7.4288845681960094</c:v>
                </c:pt>
                <c:pt idx="351">
                  <c:v>7.4381314454799599</c:v>
                </c:pt>
                <c:pt idx="352">
                  <c:v>7.456623039050581</c:v>
                </c:pt>
                <c:pt idx="353">
                  <c:v>7.4611818032284125</c:v>
                </c:pt>
                <c:pt idx="354">
                  <c:v>7.482772097121261</c:v>
                </c:pt>
                <c:pt idx="355">
                  <c:v>7.491006790278127</c:v>
                </c:pt>
                <c:pt idx="356">
                  <c:v>7.5122925046696256</c:v>
                </c:pt>
                <c:pt idx="357">
                  <c:v>7.5203009084334118</c:v>
                </c:pt>
                <c:pt idx="358">
                  <c:v>7.5336968530552522</c:v>
                </c:pt>
                <c:pt idx="359">
                  <c:v>7.545871533524025</c:v>
                </c:pt>
                <c:pt idx="360">
                  <c:v>7.5647822885024265</c:v>
                </c:pt>
                <c:pt idx="361">
                  <c:v>7.5811390523232571</c:v>
                </c:pt>
                <c:pt idx="362">
                  <c:v>7.5957788715619516</c:v>
                </c:pt>
                <c:pt idx="363">
                  <c:v>7.6002293870883344</c:v>
                </c:pt>
                <c:pt idx="364">
                  <c:v>7.6217210807591478</c:v>
                </c:pt>
                <c:pt idx="365">
                  <c:v>7.6285556095623157</c:v>
                </c:pt>
                <c:pt idx="366">
                  <c:v>7.6503683222166678</c:v>
                </c:pt>
                <c:pt idx="367">
                  <c:v>7.6592026696972804</c:v>
                </c:pt>
                <c:pt idx="368">
                  <c:v>7.6773197444163221</c:v>
                </c:pt>
                <c:pt idx="369">
                  <c:v>7.6858392807486622</c:v>
                </c:pt>
                <c:pt idx="370">
                  <c:v>7.70060587196771</c:v>
                </c:pt>
                <c:pt idx="371">
                  <c:v>7.7107362876810193</c:v>
                </c:pt>
                <c:pt idx="372">
                  <c:v>7.7235783480731479</c:v>
                </c:pt>
                <c:pt idx="373">
                  <c:v>7.7435760534148663</c:v>
                </c:pt>
                <c:pt idx="374">
                  <c:v>7.7493819700882991</c:v>
                </c:pt>
                <c:pt idx="375">
                  <c:v>7.7692462687927692</c:v>
                </c:pt>
                <c:pt idx="376">
                  <c:v>7.7829150481388387</c:v>
                </c:pt>
                <c:pt idx="377">
                  <c:v>7.801502994661524</c:v>
                </c:pt>
                <c:pt idx="378">
                  <c:v>7.8092256736636472</c:v>
                </c:pt>
                <c:pt idx="379">
                  <c:v>7.8225714582133108</c:v>
                </c:pt>
                <c:pt idx="380">
                  <c:v>7.8378187693241621</c:v>
                </c:pt>
                <c:pt idx="381">
                  <c:v>7.8440995842937991</c:v>
                </c:pt>
                <c:pt idx="382">
                  <c:v>7.8652978535723381</c:v>
                </c:pt>
                <c:pt idx="383">
                  <c:v>7.8841513681472062</c:v>
                </c:pt>
                <c:pt idx="384">
                  <c:v>7.8861012493478722</c:v>
                </c:pt>
                <c:pt idx="385">
                  <c:v>7.9026292573859465</c:v>
                </c:pt>
                <c:pt idx="386">
                  <c:v>7.9186586314785874</c:v>
                </c:pt>
                <c:pt idx="387">
                  <c:v>7.9213249348081458</c:v>
                </c:pt>
                <c:pt idx="388">
                  <c:v>7.9223283149671522</c:v>
                </c:pt>
                <c:pt idx="389">
                  <c:v>7.9275826850942384</c:v>
                </c:pt>
                <c:pt idx="390">
                  <c:v>7.9296740990433525</c:v>
                </c:pt>
                <c:pt idx="391">
                  <c:v>7.932700741575136</c:v>
                </c:pt>
                <c:pt idx="392">
                  <c:v>7.9368000819335958</c:v>
                </c:pt>
                <c:pt idx="393">
                  <c:v>7.9392158374258255</c:v>
                </c:pt>
                <c:pt idx="394">
                  <c:v>7.9427212216240779</c:v>
                </c:pt>
                <c:pt idx="395">
                  <c:v>7.9442671665734244</c:v>
                </c:pt>
                <c:pt idx="396">
                  <c:v>7.9475300214854077</c:v>
                </c:pt>
                <c:pt idx="397">
                  <c:v>7.9509063172724446</c:v>
                </c:pt>
                <c:pt idx="398">
                  <c:v>7.9522938930884184</c:v>
                </c:pt>
                <c:pt idx="399">
                  <c:v>7.9545670040967043</c:v>
                </c:pt>
                <c:pt idx="400">
                  <c:v>7.9598057693837498</c:v>
                </c:pt>
                <c:pt idx="401">
                  <c:v>7.9608308491495272</c:v>
                </c:pt>
                <c:pt idx="402">
                  <c:v>7.9648216637475482</c:v>
                </c:pt>
                <c:pt idx="403">
                  <c:v>7.9688774150789179</c:v>
                </c:pt>
                <c:pt idx="404">
                  <c:v>7.9699977799074082</c:v>
                </c:pt>
                <c:pt idx="405">
                  <c:v>7.9725820952683986</c:v>
                </c:pt>
                <c:pt idx="406">
                  <c:v>7.9776767274742824</c:v>
                </c:pt>
                <c:pt idx="407">
                  <c:v>7.9806914261496971</c:v>
                </c:pt>
                <c:pt idx="408">
                  <c:v>7.9816298599488729</c:v>
                </c:pt>
                <c:pt idx="409">
                  <c:v>7.984572793696481</c:v>
                </c:pt>
                <c:pt idx="410">
                  <c:v>7.9878253103146477</c:v>
                </c:pt>
                <c:pt idx="411">
                  <c:v>7.9900091807358073</c:v>
                </c:pt>
                <c:pt idx="412">
                  <c:v>7.9934257405158755</c:v>
                </c:pt>
                <c:pt idx="413">
                  <c:v>7.9955920316145548</c:v>
                </c:pt>
                <c:pt idx="414">
                  <c:v>7.9986794066854081</c:v>
                </c:pt>
                <c:pt idx="415">
                  <c:v>8.0039023284153785</c:v>
                </c:pt>
                <c:pt idx="416">
                  <c:v>8.0056212357203762</c:v>
                </c:pt>
                <c:pt idx="417">
                  <c:v>8.0071325534726157</c:v>
                </c:pt>
                <c:pt idx="418">
                  <c:v>8.0114652639121431</c:v>
                </c:pt>
                <c:pt idx="419">
                  <c:v>8.0151280383628514</c:v>
                </c:pt>
                <c:pt idx="420">
                  <c:v>8.0185095837257343</c:v>
                </c:pt>
                <c:pt idx="421">
                  <c:v>8.0202636773750591</c:v>
                </c:pt>
                <c:pt idx="422">
                  <c:v>8.0223244905740749</c:v>
                </c:pt>
                <c:pt idx="423">
                  <c:v>8.0255811918375102</c:v>
                </c:pt>
                <c:pt idx="424">
                  <c:v>8.0299814721831169</c:v>
                </c:pt>
                <c:pt idx="425">
                  <c:v>8.0304992135958706</c:v>
                </c:pt>
                <c:pt idx="426">
                  <c:v>8.033937672635755</c:v>
                </c:pt>
                <c:pt idx="427">
                  <c:v>8.0372872524984569</c:v>
                </c:pt>
                <c:pt idx="428">
                  <c:v>8.0393719072861209</c:v>
                </c:pt>
                <c:pt idx="429">
                  <c:v>8.0436732406325628</c:v>
                </c:pt>
                <c:pt idx="430">
                  <c:v>8.0460283150937002</c:v>
                </c:pt>
                <c:pt idx="431">
                  <c:v>8.0501390971368867</c:v>
                </c:pt>
                <c:pt idx="432">
                  <c:v>8.0547685780849818</c:v>
                </c:pt>
                <c:pt idx="433">
                  <c:v>8.0764885049690811</c:v>
                </c:pt>
                <c:pt idx="434">
                  <c:v>8.0825980343500845</c:v>
                </c:pt>
                <c:pt idx="435">
                  <c:v>8.0985047118329181</c:v>
                </c:pt>
                <c:pt idx="436">
                  <c:v>8.1210752313721173</c:v>
                </c:pt>
                <c:pt idx="437">
                  <c:v>8.1344219540258784</c:v>
                </c:pt>
                <c:pt idx="438">
                  <c:v>8.1413873964861025</c:v>
                </c:pt>
                <c:pt idx="439">
                  <c:v>8.1605682450807997</c:v>
                </c:pt>
                <c:pt idx="440">
                  <c:v>8.1699392775845272</c:v>
                </c:pt>
                <c:pt idx="441">
                  <c:v>8.1884534216804319</c:v>
                </c:pt>
                <c:pt idx="442">
                  <c:v>8.1978479824200168</c:v>
                </c:pt>
                <c:pt idx="443">
                  <c:v>8.2092188173998064</c:v>
                </c:pt>
                <c:pt idx="444">
                  <c:v>8.2182732824646259</c:v>
                </c:pt>
                <c:pt idx="445">
                  <c:v>8.2411568595547511</c:v>
                </c:pt>
                <c:pt idx="446">
                  <c:v>8.2555907397034503</c:v>
                </c:pt>
                <c:pt idx="447">
                  <c:v>8.2666404333241257</c:v>
                </c:pt>
                <c:pt idx="448">
                  <c:v>8.2779686971776769</c:v>
                </c:pt>
                <c:pt idx="449">
                  <c:v>8.288218662321249</c:v>
                </c:pt>
                <c:pt idx="450">
                  <c:v>8.3075938063738111</c:v>
                </c:pt>
                <c:pt idx="451">
                  <c:v>8.3282405096891718</c:v>
                </c:pt>
                <c:pt idx="452">
                  <c:v>8.3357296255022213</c:v>
                </c:pt>
                <c:pt idx="453">
                  <c:v>8.3422615646961287</c:v>
                </c:pt>
                <c:pt idx="454">
                  <c:v>8.3656043397047846</c:v>
                </c:pt>
                <c:pt idx="455">
                  <c:v>8.3831474392076757</c:v>
                </c:pt>
                <c:pt idx="456">
                  <c:v>8.3929867018789572</c:v>
                </c:pt>
                <c:pt idx="457">
                  <c:v>8.4069915487397449</c:v>
                </c:pt>
                <c:pt idx="458">
                  <c:v>8.4214744718750296</c:v>
                </c:pt>
                <c:pt idx="459">
                  <c:v>8.4251706586446495</c:v>
                </c:pt>
                <c:pt idx="460">
                  <c:v>8.4386354385588831</c:v>
                </c:pt>
                <c:pt idx="461">
                  <c:v>8.4386387075806955</c:v>
                </c:pt>
                <c:pt idx="462">
                  <c:v>8.4386432588911084</c:v>
                </c:pt>
                <c:pt idx="463">
                  <c:v>8.4386471948660144</c:v>
                </c:pt>
                <c:pt idx="464">
                  <c:v>8.4386505271668248</c:v>
                </c:pt>
                <c:pt idx="465">
                  <c:v>8.4386540357464561</c:v>
                </c:pt>
                <c:pt idx="466">
                  <c:v>8.4386566693911647</c:v>
                </c:pt>
                <c:pt idx="467">
                  <c:v>8.4386625607060246</c:v>
                </c:pt>
                <c:pt idx="468">
                  <c:v>8.4386667928624952</c:v>
                </c:pt>
                <c:pt idx="469">
                  <c:v>8.4386701835810989</c:v>
                </c:pt>
                <c:pt idx="470">
                  <c:v>8.4386742538546358</c:v>
                </c:pt>
                <c:pt idx="471">
                  <c:v>8.4386761249454096</c:v>
                </c:pt>
                <c:pt idx="472">
                  <c:v>8.4386808593153138</c:v>
                </c:pt>
                <c:pt idx="473">
                  <c:v>8.4386845785398883</c:v>
                </c:pt>
                <c:pt idx="474">
                  <c:v>8.4386881176581703</c:v>
                </c:pt>
                <c:pt idx="475">
                  <c:v>8.4386914727840026</c:v>
                </c:pt>
                <c:pt idx="476">
                  <c:v>8.4386936540812751</c:v>
                </c:pt>
                <c:pt idx="477">
                  <c:v>8.4386988394856566</c:v>
                </c:pt>
                <c:pt idx="478">
                  <c:v>8.4387025058297436</c:v>
                </c:pt>
                <c:pt idx="479">
                  <c:v>8.438706051467781</c:v>
                </c:pt>
                <c:pt idx="480">
                  <c:v>8.4387089589487516</c:v>
                </c:pt>
                <c:pt idx="481">
                  <c:v>8.4387123617308575</c:v>
                </c:pt>
                <c:pt idx="482">
                  <c:v>8.4387171935447469</c:v>
                </c:pt>
                <c:pt idx="483">
                  <c:v>8.4387199923582443</c:v>
                </c:pt>
                <c:pt idx="484">
                  <c:v>8.4387228427792316</c:v>
                </c:pt>
                <c:pt idx="485">
                  <c:v>8.4387272935920077</c:v>
                </c:pt>
                <c:pt idx="486">
                  <c:v>8.4387289237362122</c:v>
                </c:pt>
                <c:pt idx="487">
                  <c:v>8.438733923504147</c:v>
                </c:pt>
                <c:pt idx="488">
                  <c:v>8.4387363415625067</c:v>
                </c:pt>
                <c:pt idx="489">
                  <c:v>8.4387410460311578</c:v>
                </c:pt>
                <c:pt idx="490">
                  <c:v>8.4387445606209592</c:v>
                </c:pt>
                <c:pt idx="491">
                  <c:v>8.438748309201813</c:v>
                </c:pt>
                <c:pt idx="492">
                  <c:v>8.4387527134710769</c:v>
                </c:pt>
                <c:pt idx="493">
                  <c:v>8.4387546088994352</c:v>
                </c:pt>
                <c:pt idx="494">
                  <c:v>8.4387572962348472</c:v>
                </c:pt>
                <c:pt idx="495">
                  <c:v>8.438761739050701</c:v>
                </c:pt>
                <c:pt idx="496">
                  <c:v>8.4387647226058036</c:v>
                </c:pt>
                <c:pt idx="497">
                  <c:v>8.43877031189459</c:v>
                </c:pt>
                <c:pt idx="498">
                  <c:v>8.438772917387837</c:v>
                </c:pt>
                <c:pt idx="499">
                  <c:v>8.4387754508072845</c:v>
                </c:pt>
              </c:numCache>
            </c:numRef>
          </c:xVal>
          <c:yVal>
            <c:numRef>
              <c:f>'SimData1 and 2'!$I$10:$I$509</c:f>
              <c:numCache>
                <c:formatCode>General</c:formatCode>
                <c:ptCount val="500"/>
                <c:pt idx="0">
                  <c:v>0</c:v>
                </c:pt>
                <c:pt idx="1">
                  <c:v>2.004008016032064E-3</c:v>
                </c:pt>
                <c:pt idx="2">
                  <c:v>4.0080160320641279E-3</c:v>
                </c:pt>
                <c:pt idx="3">
                  <c:v>6.0120240480961915E-3</c:v>
                </c:pt>
                <c:pt idx="4">
                  <c:v>8.0160320641282558E-3</c:v>
                </c:pt>
                <c:pt idx="5">
                  <c:v>1.002004008016032E-2</c:v>
                </c:pt>
                <c:pt idx="6">
                  <c:v>1.2024048096192385E-2</c:v>
                </c:pt>
                <c:pt idx="7">
                  <c:v>1.4028056112224449E-2</c:v>
                </c:pt>
                <c:pt idx="8">
                  <c:v>1.6032064128256512E-2</c:v>
                </c:pt>
                <c:pt idx="9">
                  <c:v>1.8036072144288574E-2</c:v>
                </c:pt>
                <c:pt idx="10">
                  <c:v>2.0040080160320637E-2</c:v>
                </c:pt>
                <c:pt idx="11">
                  <c:v>2.20440881763527E-2</c:v>
                </c:pt>
                <c:pt idx="12">
                  <c:v>2.4048096192384762E-2</c:v>
                </c:pt>
                <c:pt idx="13">
                  <c:v>2.6052104208416825E-2</c:v>
                </c:pt>
                <c:pt idx="14">
                  <c:v>2.8056112224448888E-2</c:v>
                </c:pt>
                <c:pt idx="15">
                  <c:v>3.006012024048095E-2</c:v>
                </c:pt>
                <c:pt idx="16">
                  <c:v>3.2064128256513016E-2</c:v>
                </c:pt>
                <c:pt idx="17">
                  <c:v>3.4068136272545083E-2</c:v>
                </c:pt>
                <c:pt idx="18">
                  <c:v>3.6072144288577149E-2</c:v>
                </c:pt>
                <c:pt idx="19">
                  <c:v>3.8076152304609215E-2</c:v>
                </c:pt>
                <c:pt idx="20">
                  <c:v>4.0080160320641281E-2</c:v>
                </c:pt>
                <c:pt idx="21">
                  <c:v>4.2084168336673347E-2</c:v>
                </c:pt>
                <c:pt idx="22">
                  <c:v>4.4088176352705413E-2</c:v>
                </c:pt>
                <c:pt idx="23">
                  <c:v>4.6092184368737479E-2</c:v>
                </c:pt>
                <c:pt idx="24">
                  <c:v>4.8096192384769546E-2</c:v>
                </c:pt>
                <c:pt idx="25">
                  <c:v>5.0100200400801612E-2</c:v>
                </c:pt>
                <c:pt idx="26">
                  <c:v>5.2104208416833678E-2</c:v>
                </c:pt>
                <c:pt idx="27">
                  <c:v>5.4108216432865744E-2</c:v>
                </c:pt>
                <c:pt idx="28">
                  <c:v>5.611222444889781E-2</c:v>
                </c:pt>
                <c:pt idx="29">
                  <c:v>5.8116232464929876E-2</c:v>
                </c:pt>
                <c:pt idx="30">
                  <c:v>6.0120240480961942E-2</c:v>
                </c:pt>
                <c:pt idx="31">
                  <c:v>6.2124248496994008E-2</c:v>
                </c:pt>
                <c:pt idx="32">
                  <c:v>6.4128256513026075E-2</c:v>
                </c:pt>
                <c:pt idx="33">
                  <c:v>6.6132264529058141E-2</c:v>
                </c:pt>
                <c:pt idx="34">
                  <c:v>6.8136272545090207E-2</c:v>
                </c:pt>
                <c:pt idx="35">
                  <c:v>7.0140280561122273E-2</c:v>
                </c:pt>
                <c:pt idx="36">
                  <c:v>7.2144288577154339E-2</c:v>
                </c:pt>
                <c:pt idx="37">
                  <c:v>7.4148296593186405E-2</c:v>
                </c:pt>
                <c:pt idx="38">
                  <c:v>7.6152304609218471E-2</c:v>
                </c:pt>
                <c:pt idx="39">
                  <c:v>7.8156312625250537E-2</c:v>
                </c:pt>
                <c:pt idx="40">
                  <c:v>8.0160320641282604E-2</c:v>
                </c:pt>
                <c:pt idx="41">
                  <c:v>8.216432865731467E-2</c:v>
                </c:pt>
                <c:pt idx="42">
                  <c:v>8.4168336673346736E-2</c:v>
                </c:pt>
                <c:pt idx="43">
                  <c:v>8.6172344689378802E-2</c:v>
                </c:pt>
                <c:pt idx="44">
                  <c:v>8.8176352705410868E-2</c:v>
                </c:pt>
                <c:pt idx="45">
                  <c:v>9.0180360721442934E-2</c:v>
                </c:pt>
                <c:pt idx="46">
                  <c:v>9.2184368737475E-2</c:v>
                </c:pt>
                <c:pt idx="47">
                  <c:v>9.4188376753507067E-2</c:v>
                </c:pt>
                <c:pt idx="48">
                  <c:v>9.6192384769539133E-2</c:v>
                </c:pt>
                <c:pt idx="49">
                  <c:v>9.8196392785571199E-2</c:v>
                </c:pt>
                <c:pt idx="50">
                  <c:v>0.10020040080160326</c:v>
                </c:pt>
                <c:pt idx="51">
                  <c:v>0.10220440881763533</c:v>
                </c:pt>
                <c:pt idx="52">
                  <c:v>0.1042084168336674</c:v>
                </c:pt>
                <c:pt idx="53">
                  <c:v>0.10621242484969946</c:v>
                </c:pt>
                <c:pt idx="54">
                  <c:v>0.10821643286573153</c:v>
                </c:pt>
                <c:pt idx="55">
                  <c:v>0.1102204408817636</c:v>
                </c:pt>
                <c:pt idx="56">
                  <c:v>0.11222444889779566</c:v>
                </c:pt>
                <c:pt idx="57">
                  <c:v>0.11422845691382773</c:v>
                </c:pt>
                <c:pt idx="58">
                  <c:v>0.11623246492985979</c:v>
                </c:pt>
                <c:pt idx="59">
                  <c:v>0.11823647294589186</c:v>
                </c:pt>
                <c:pt idx="60">
                  <c:v>0.12024048096192393</c:v>
                </c:pt>
                <c:pt idx="61">
                  <c:v>0.12224448897795599</c:v>
                </c:pt>
                <c:pt idx="62">
                  <c:v>0.12424849699398806</c:v>
                </c:pt>
                <c:pt idx="63">
                  <c:v>0.12625250501002011</c:v>
                </c:pt>
                <c:pt idx="64">
                  <c:v>0.12825651302605218</c:v>
                </c:pt>
                <c:pt idx="65">
                  <c:v>0.13026052104208424</c:v>
                </c:pt>
                <c:pt idx="66">
                  <c:v>0.13226452905811631</c:v>
                </c:pt>
                <c:pt idx="67">
                  <c:v>0.13426853707414838</c:v>
                </c:pt>
                <c:pt idx="68">
                  <c:v>0.13627254509018044</c:v>
                </c:pt>
                <c:pt idx="69">
                  <c:v>0.13827655310621251</c:v>
                </c:pt>
                <c:pt idx="70">
                  <c:v>0.14028056112224457</c:v>
                </c:pt>
                <c:pt idx="71">
                  <c:v>0.14228456913827664</c:v>
                </c:pt>
                <c:pt idx="72">
                  <c:v>0.14428857715430871</c:v>
                </c:pt>
                <c:pt idx="73">
                  <c:v>0.14629258517034077</c:v>
                </c:pt>
                <c:pt idx="74">
                  <c:v>0.14829659318637284</c:v>
                </c:pt>
                <c:pt idx="75">
                  <c:v>0.1503006012024049</c:v>
                </c:pt>
                <c:pt idx="76">
                  <c:v>0.15230460921843697</c:v>
                </c:pt>
                <c:pt idx="77">
                  <c:v>0.15430861723446904</c:v>
                </c:pt>
                <c:pt idx="78">
                  <c:v>0.1563126252505011</c:v>
                </c:pt>
                <c:pt idx="79">
                  <c:v>0.15831663326653317</c:v>
                </c:pt>
                <c:pt idx="80">
                  <c:v>0.16032064128256523</c:v>
                </c:pt>
                <c:pt idx="81">
                  <c:v>0.1623246492985973</c:v>
                </c:pt>
                <c:pt idx="82">
                  <c:v>0.16432865731462937</c:v>
                </c:pt>
                <c:pt idx="83">
                  <c:v>0.16633266533066143</c:v>
                </c:pt>
                <c:pt idx="84">
                  <c:v>0.1683366733466935</c:v>
                </c:pt>
                <c:pt idx="85">
                  <c:v>0.17034068136272557</c:v>
                </c:pt>
                <c:pt idx="86">
                  <c:v>0.17234468937875763</c:v>
                </c:pt>
                <c:pt idx="87">
                  <c:v>0.1743486973947897</c:v>
                </c:pt>
                <c:pt idx="88">
                  <c:v>0.17635270541082176</c:v>
                </c:pt>
                <c:pt idx="89">
                  <c:v>0.17835671342685383</c:v>
                </c:pt>
                <c:pt idx="90">
                  <c:v>0.1803607214428859</c:v>
                </c:pt>
                <c:pt idx="91">
                  <c:v>0.18236472945891796</c:v>
                </c:pt>
                <c:pt idx="92">
                  <c:v>0.18436873747495003</c:v>
                </c:pt>
                <c:pt idx="93">
                  <c:v>0.18637274549098209</c:v>
                </c:pt>
                <c:pt idx="94">
                  <c:v>0.18837675350701416</c:v>
                </c:pt>
                <c:pt idx="95">
                  <c:v>0.19038076152304623</c:v>
                </c:pt>
                <c:pt idx="96">
                  <c:v>0.19238476953907829</c:v>
                </c:pt>
                <c:pt idx="97">
                  <c:v>0.19438877755511036</c:v>
                </c:pt>
                <c:pt idx="98">
                  <c:v>0.19639278557114243</c:v>
                </c:pt>
                <c:pt idx="99">
                  <c:v>0.19839679358717449</c:v>
                </c:pt>
                <c:pt idx="100">
                  <c:v>0.20040080160320656</c:v>
                </c:pt>
                <c:pt idx="101">
                  <c:v>0.20240480961923862</c:v>
                </c:pt>
                <c:pt idx="102">
                  <c:v>0.20440881763527069</c:v>
                </c:pt>
                <c:pt idx="103">
                  <c:v>0.20641282565130276</c:v>
                </c:pt>
                <c:pt idx="104">
                  <c:v>0.20841683366733482</c:v>
                </c:pt>
                <c:pt idx="105">
                  <c:v>0.21042084168336689</c:v>
                </c:pt>
                <c:pt idx="106">
                  <c:v>0.21242484969939895</c:v>
                </c:pt>
                <c:pt idx="107">
                  <c:v>0.21442885771543102</c:v>
                </c:pt>
                <c:pt idx="108">
                  <c:v>0.21643286573146309</c:v>
                </c:pt>
                <c:pt idx="109">
                  <c:v>0.21843687374749515</c:v>
                </c:pt>
                <c:pt idx="110">
                  <c:v>0.22044088176352722</c:v>
                </c:pt>
                <c:pt idx="111">
                  <c:v>0.22244488977955928</c:v>
                </c:pt>
                <c:pt idx="112">
                  <c:v>0.22444889779559135</c:v>
                </c:pt>
                <c:pt idx="113">
                  <c:v>0.22645290581162342</c:v>
                </c:pt>
                <c:pt idx="114">
                  <c:v>0.22845691382765548</c:v>
                </c:pt>
                <c:pt idx="115">
                  <c:v>0.23046092184368755</c:v>
                </c:pt>
                <c:pt idx="116">
                  <c:v>0.23246492985971962</c:v>
                </c:pt>
                <c:pt idx="117">
                  <c:v>0.23446893787575168</c:v>
                </c:pt>
                <c:pt idx="118">
                  <c:v>0.23647294589178375</c:v>
                </c:pt>
                <c:pt idx="119">
                  <c:v>0.23847695390781581</c:v>
                </c:pt>
                <c:pt idx="120">
                  <c:v>0.24048096192384788</c:v>
                </c:pt>
                <c:pt idx="121">
                  <c:v>0.24248496993987995</c:v>
                </c:pt>
                <c:pt idx="122">
                  <c:v>0.24448897795591201</c:v>
                </c:pt>
                <c:pt idx="123">
                  <c:v>0.24649298597194408</c:v>
                </c:pt>
                <c:pt idx="124">
                  <c:v>0.24849699398797614</c:v>
                </c:pt>
                <c:pt idx="125">
                  <c:v>0.25050100200400821</c:v>
                </c:pt>
                <c:pt idx="126">
                  <c:v>0.25250501002004028</c:v>
                </c:pt>
                <c:pt idx="127">
                  <c:v>0.25450901803607234</c:v>
                </c:pt>
                <c:pt idx="128">
                  <c:v>0.25651302605210441</c:v>
                </c:pt>
                <c:pt idx="129">
                  <c:v>0.25851703406813648</c:v>
                </c:pt>
                <c:pt idx="130">
                  <c:v>0.26052104208416854</c:v>
                </c:pt>
                <c:pt idx="131">
                  <c:v>0.26252505010020061</c:v>
                </c:pt>
                <c:pt idx="132">
                  <c:v>0.26452905811623267</c:v>
                </c:pt>
                <c:pt idx="133">
                  <c:v>0.26653306613226474</c:v>
                </c:pt>
                <c:pt idx="134">
                  <c:v>0.26853707414829681</c:v>
                </c:pt>
                <c:pt idx="135">
                  <c:v>0.27054108216432887</c:v>
                </c:pt>
                <c:pt idx="136">
                  <c:v>0.27254509018036094</c:v>
                </c:pt>
                <c:pt idx="137">
                  <c:v>0.274549098196393</c:v>
                </c:pt>
                <c:pt idx="138">
                  <c:v>0.27655310621242507</c:v>
                </c:pt>
                <c:pt idx="139">
                  <c:v>0.27855711422845714</c:v>
                </c:pt>
                <c:pt idx="140">
                  <c:v>0.2805611222444892</c:v>
                </c:pt>
                <c:pt idx="141">
                  <c:v>0.28256513026052127</c:v>
                </c:pt>
                <c:pt idx="142">
                  <c:v>0.28456913827655334</c:v>
                </c:pt>
                <c:pt idx="143">
                  <c:v>0.2865731462925854</c:v>
                </c:pt>
                <c:pt idx="144">
                  <c:v>0.28857715430861747</c:v>
                </c:pt>
                <c:pt idx="145">
                  <c:v>0.29058116232464953</c:v>
                </c:pt>
                <c:pt idx="146">
                  <c:v>0.2925851703406816</c:v>
                </c:pt>
                <c:pt idx="147">
                  <c:v>0.29458917835671367</c:v>
                </c:pt>
                <c:pt idx="148">
                  <c:v>0.29659318637274573</c:v>
                </c:pt>
                <c:pt idx="149">
                  <c:v>0.2985971943887778</c:v>
                </c:pt>
                <c:pt idx="150">
                  <c:v>0.30060120240480986</c:v>
                </c:pt>
                <c:pt idx="151">
                  <c:v>0.30260521042084193</c:v>
                </c:pt>
                <c:pt idx="152">
                  <c:v>0.304609218436874</c:v>
                </c:pt>
                <c:pt idx="153">
                  <c:v>0.30661322645290606</c:v>
                </c:pt>
                <c:pt idx="154">
                  <c:v>0.30861723446893813</c:v>
                </c:pt>
                <c:pt idx="155">
                  <c:v>0.31062124248497019</c:v>
                </c:pt>
                <c:pt idx="156">
                  <c:v>0.31262525050100226</c:v>
                </c:pt>
                <c:pt idx="157">
                  <c:v>0.31462925851703433</c:v>
                </c:pt>
                <c:pt idx="158">
                  <c:v>0.31663326653306639</c:v>
                </c:pt>
                <c:pt idx="159">
                  <c:v>0.31863727454909846</c:v>
                </c:pt>
                <c:pt idx="160">
                  <c:v>0.32064128256513053</c:v>
                </c:pt>
                <c:pt idx="161">
                  <c:v>0.32264529058116259</c:v>
                </c:pt>
                <c:pt idx="162">
                  <c:v>0.32464929859719466</c:v>
                </c:pt>
                <c:pt idx="163">
                  <c:v>0.32665330661322672</c:v>
                </c:pt>
                <c:pt idx="164">
                  <c:v>0.32865731462925879</c:v>
                </c:pt>
                <c:pt idx="165">
                  <c:v>0.33066132264529086</c:v>
                </c:pt>
                <c:pt idx="166">
                  <c:v>0.33266533066132292</c:v>
                </c:pt>
                <c:pt idx="167">
                  <c:v>0.33466933867735499</c:v>
                </c:pt>
                <c:pt idx="168">
                  <c:v>0.33667334669338705</c:v>
                </c:pt>
                <c:pt idx="169">
                  <c:v>0.33867735470941912</c:v>
                </c:pt>
                <c:pt idx="170">
                  <c:v>0.34068136272545119</c:v>
                </c:pt>
                <c:pt idx="171">
                  <c:v>0.34268537074148325</c:v>
                </c:pt>
                <c:pt idx="172">
                  <c:v>0.34468937875751532</c:v>
                </c:pt>
                <c:pt idx="173">
                  <c:v>0.34669338677354739</c:v>
                </c:pt>
                <c:pt idx="174">
                  <c:v>0.34869739478957945</c:v>
                </c:pt>
                <c:pt idx="175">
                  <c:v>0.35070140280561152</c:v>
                </c:pt>
                <c:pt idx="176">
                  <c:v>0.35270541082164358</c:v>
                </c:pt>
                <c:pt idx="177">
                  <c:v>0.35470941883767565</c:v>
                </c:pt>
                <c:pt idx="178">
                  <c:v>0.35671342685370772</c:v>
                </c:pt>
                <c:pt idx="179">
                  <c:v>0.35871743486973978</c:v>
                </c:pt>
                <c:pt idx="180">
                  <c:v>0.36072144288577185</c:v>
                </c:pt>
                <c:pt idx="181">
                  <c:v>0.36272545090180391</c:v>
                </c:pt>
                <c:pt idx="182">
                  <c:v>0.36472945891783598</c:v>
                </c:pt>
                <c:pt idx="183">
                  <c:v>0.36673346693386805</c:v>
                </c:pt>
                <c:pt idx="184">
                  <c:v>0.36873747494990011</c:v>
                </c:pt>
                <c:pt idx="185">
                  <c:v>0.37074148296593218</c:v>
                </c:pt>
                <c:pt idx="186">
                  <c:v>0.37274549098196424</c:v>
                </c:pt>
                <c:pt idx="187">
                  <c:v>0.37474949899799631</c:v>
                </c:pt>
                <c:pt idx="188">
                  <c:v>0.37675350701402838</c:v>
                </c:pt>
                <c:pt idx="189">
                  <c:v>0.37875751503006044</c:v>
                </c:pt>
                <c:pt idx="190">
                  <c:v>0.38076152304609251</c:v>
                </c:pt>
                <c:pt idx="191">
                  <c:v>0.38276553106212458</c:v>
                </c:pt>
                <c:pt idx="192">
                  <c:v>0.38476953907815664</c:v>
                </c:pt>
                <c:pt idx="193">
                  <c:v>0.38677354709418871</c:v>
                </c:pt>
                <c:pt idx="194">
                  <c:v>0.38877755511022077</c:v>
                </c:pt>
                <c:pt idx="195">
                  <c:v>0.39078156312625284</c:v>
                </c:pt>
                <c:pt idx="196">
                  <c:v>0.39278557114228491</c:v>
                </c:pt>
                <c:pt idx="197">
                  <c:v>0.39478957915831697</c:v>
                </c:pt>
                <c:pt idx="198">
                  <c:v>0.39679358717434904</c:v>
                </c:pt>
                <c:pt idx="199">
                  <c:v>0.3987975951903811</c:v>
                </c:pt>
                <c:pt idx="200">
                  <c:v>0.40080160320641317</c:v>
                </c:pt>
                <c:pt idx="201">
                  <c:v>0.40280561122244524</c:v>
                </c:pt>
                <c:pt idx="202">
                  <c:v>0.4048096192384773</c:v>
                </c:pt>
                <c:pt idx="203">
                  <c:v>0.40681362725450937</c:v>
                </c:pt>
                <c:pt idx="204">
                  <c:v>0.40881763527054144</c:v>
                </c:pt>
                <c:pt idx="205">
                  <c:v>0.4108216432865735</c:v>
                </c:pt>
                <c:pt idx="206">
                  <c:v>0.41282565130260557</c:v>
                </c:pt>
                <c:pt idx="207">
                  <c:v>0.41482965931863763</c:v>
                </c:pt>
                <c:pt idx="208">
                  <c:v>0.4168336673346697</c:v>
                </c:pt>
                <c:pt idx="209">
                  <c:v>0.41883767535070177</c:v>
                </c:pt>
                <c:pt idx="210">
                  <c:v>0.42084168336673383</c:v>
                </c:pt>
                <c:pt idx="211">
                  <c:v>0.4228456913827659</c:v>
                </c:pt>
                <c:pt idx="212">
                  <c:v>0.42484969939879796</c:v>
                </c:pt>
                <c:pt idx="213">
                  <c:v>0.42685370741483003</c:v>
                </c:pt>
                <c:pt idx="214">
                  <c:v>0.4288577154308621</c:v>
                </c:pt>
                <c:pt idx="215">
                  <c:v>0.43086172344689416</c:v>
                </c:pt>
                <c:pt idx="216">
                  <c:v>0.43286573146292623</c:v>
                </c:pt>
                <c:pt idx="217">
                  <c:v>0.43486973947895829</c:v>
                </c:pt>
                <c:pt idx="218">
                  <c:v>0.43687374749499036</c:v>
                </c:pt>
                <c:pt idx="219">
                  <c:v>0.43887775551102243</c:v>
                </c:pt>
                <c:pt idx="220">
                  <c:v>0.44088176352705449</c:v>
                </c:pt>
                <c:pt idx="221">
                  <c:v>0.44288577154308656</c:v>
                </c:pt>
                <c:pt idx="222">
                  <c:v>0.44488977955911863</c:v>
                </c:pt>
                <c:pt idx="223">
                  <c:v>0.44689378757515069</c:v>
                </c:pt>
                <c:pt idx="224">
                  <c:v>0.44889779559118276</c:v>
                </c:pt>
                <c:pt idx="225">
                  <c:v>0.45090180360721482</c:v>
                </c:pt>
                <c:pt idx="226">
                  <c:v>0.45290581162324689</c:v>
                </c:pt>
                <c:pt idx="227">
                  <c:v>0.45490981963927896</c:v>
                </c:pt>
                <c:pt idx="228">
                  <c:v>0.45691382765531102</c:v>
                </c:pt>
                <c:pt idx="229">
                  <c:v>0.45891783567134309</c:v>
                </c:pt>
                <c:pt idx="230">
                  <c:v>0.46092184368737515</c:v>
                </c:pt>
                <c:pt idx="231">
                  <c:v>0.46292585170340722</c:v>
                </c:pt>
                <c:pt idx="232">
                  <c:v>0.46492985971943929</c:v>
                </c:pt>
                <c:pt idx="233">
                  <c:v>0.46693386773547135</c:v>
                </c:pt>
                <c:pt idx="234">
                  <c:v>0.46893787575150342</c:v>
                </c:pt>
                <c:pt idx="235">
                  <c:v>0.47094188376753549</c:v>
                </c:pt>
                <c:pt idx="236">
                  <c:v>0.47294589178356755</c:v>
                </c:pt>
                <c:pt idx="237">
                  <c:v>0.47494989979959962</c:v>
                </c:pt>
                <c:pt idx="238">
                  <c:v>0.47695390781563168</c:v>
                </c:pt>
                <c:pt idx="239">
                  <c:v>0.47895791583166375</c:v>
                </c:pt>
                <c:pt idx="240">
                  <c:v>0.48096192384769582</c:v>
                </c:pt>
                <c:pt idx="241">
                  <c:v>0.48296593186372788</c:v>
                </c:pt>
                <c:pt idx="242">
                  <c:v>0.48496993987975995</c:v>
                </c:pt>
                <c:pt idx="243">
                  <c:v>0.48697394789579201</c:v>
                </c:pt>
                <c:pt idx="244">
                  <c:v>0.48897795591182408</c:v>
                </c:pt>
                <c:pt idx="245">
                  <c:v>0.49098196392785615</c:v>
                </c:pt>
                <c:pt idx="246">
                  <c:v>0.49298597194388821</c:v>
                </c:pt>
                <c:pt idx="247">
                  <c:v>0.49498997995992028</c:v>
                </c:pt>
                <c:pt idx="248">
                  <c:v>0.49699398797595234</c:v>
                </c:pt>
                <c:pt idx="249">
                  <c:v>0.49899799599198441</c:v>
                </c:pt>
                <c:pt idx="250">
                  <c:v>0.50100200400801642</c:v>
                </c:pt>
                <c:pt idx="251">
                  <c:v>0.50300601202404849</c:v>
                </c:pt>
                <c:pt idx="252">
                  <c:v>0.50501002004008055</c:v>
                </c:pt>
                <c:pt idx="253">
                  <c:v>0.50701402805611262</c:v>
                </c:pt>
                <c:pt idx="254">
                  <c:v>0.50901803607214469</c:v>
                </c:pt>
                <c:pt idx="255">
                  <c:v>0.51102204408817675</c:v>
                </c:pt>
                <c:pt idx="256">
                  <c:v>0.51302605210420882</c:v>
                </c:pt>
                <c:pt idx="257">
                  <c:v>0.51503006012024088</c:v>
                </c:pt>
                <c:pt idx="258">
                  <c:v>0.51703406813627295</c:v>
                </c:pt>
                <c:pt idx="259">
                  <c:v>0.51903807615230502</c:v>
                </c:pt>
                <c:pt idx="260">
                  <c:v>0.52104208416833708</c:v>
                </c:pt>
                <c:pt idx="261">
                  <c:v>0.52304609218436915</c:v>
                </c:pt>
                <c:pt idx="262">
                  <c:v>0.52505010020040122</c:v>
                </c:pt>
                <c:pt idx="263">
                  <c:v>0.52705410821643328</c:v>
                </c:pt>
                <c:pt idx="264">
                  <c:v>0.52905811623246535</c:v>
                </c:pt>
                <c:pt idx="265">
                  <c:v>0.53106212424849741</c:v>
                </c:pt>
                <c:pt idx="266">
                  <c:v>0.53306613226452948</c:v>
                </c:pt>
                <c:pt idx="267">
                  <c:v>0.53507014028056155</c:v>
                </c:pt>
                <c:pt idx="268">
                  <c:v>0.53707414829659361</c:v>
                </c:pt>
                <c:pt idx="269">
                  <c:v>0.53907815631262568</c:v>
                </c:pt>
                <c:pt idx="270">
                  <c:v>0.54108216432865774</c:v>
                </c:pt>
                <c:pt idx="271">
                  <c:v>0.54308617234468981</c:v>
                </c:pt>
                <c:pt idx="272">
                  <c:v>0.54509018036072188</c:v>
                </c:pt>
                <c:pt idx="273">
                  <c:v>0.54709418837675394</c:v>
                </c:pt>
                <c:pt idx="274">
                  <c:v>0.54909819639278601</c:v>
                </c:pt>
                <c:pt idx="275">
                  <c:v>0.55110220440881807</c:v>
                </c:pt>
                <c:pt idx="276">
                  <c:v>0.55310621242485014</c:v>
                </c:pt>
                <c:pt idx="277">
                  <c:v>0.55511022044088221</c:v>
                </c:pt>
                <c:pt idx="278">
                  <c:v>0.55711422845691427</c:v>
                </c:pt>
                <c:pt idx="279">
                  <c:v>0.55911823647294634</c:v>
                </c:pt>
                <c:pt idx="280">
                  <c:v>0.56112224448897841</c:v>
                </c:pt>
                <c:pt idx="281">
                  <c:v>0.56312625250501047</c:v>
                </c:pt>
                <c:pt idx="282">
                  <c:v>0.56513026052104254</c:v>
                </c:pt>
                <c:pt idx="283">
                  <c:v>0.5671342685370746</c:v>
                </c:pt>
                <c:pt idx="284">
                  <c:v>0.56913827655310667</c:v>
                </c:pt>
                <c:pt idx="285">
                  <c:v>0.57114228456913874</c:v>
                </c:pt>
                <c:pt idx="286">
                  <c:v>0.5731462925851708</c:v>
                </c:pt>
                <c:pt idx="287">
                  <c:v>0.57515030060120287</c:v>
                </c:pt>
                <c:pt idx="288">
                  <c:v>0.57715430861723493</c:v>
                </c:pt>
                <c:pt idx="289">
                  <c:v>0.579158316633267</c:v>
                </c:pt>
                <c:pt idx="290">
                  <c:v>0.58116232464929907</c:v>
                </c:pt>
                <c:pt idx="291">
                  <c:v>0.58316633266533113</c:v>
                </c:pt>
                <c:pt idx="292">
                  <c:v>0.5851703406813632</c:v>
                </c:pt>
                <c:pt idx="293">
                  <c:v>0.58717434869739527</c:v>
                </c:pt>
                <c:pt idx="294">
                  <c:v>0.58917835671342733</c:v>
                </c:pt>
                <c:pt idx="295">
                  <c:v>0.5911823647294594</c:v>
                </c:pt>
                <c:pt idx="296">
                  <c:v>0.59318637274549146</c:v>
                </c:pt>
                <c:pt idx="297">
                  <c:v>0.59519038076152353</c:v>
                </c:pt>
                <c:pt idx="298">
                  <c:v>0.5971943887775556</c:v>
                </c:pt>
                <c:pt idx="299">
                  <c:v>0.59919839679358766</c:v>
                </c:pt>
                <c:pt idx="300">
                  <c:v>0.60120240480961973</c:v>
                </c:pt>
                <c:pt idx="301">
                  <c:v>0.60320641282565179</c:v>
                </c:pt>
                <c:pt idx="302">
                  <c:v>0.60521042084168386</c:v>
                </c:pt>
                <c:pt idx="303">
                  <c:v>0.60721442885771593</c:v>
                </c:pt>
                <c:pt idx="304">
                  <c:v>0.60921843687374799</c:v>
                </c:pt>
                <c:pt idx="305">
                  <c:v>0.61122244488978006</c:v>
                </c:pt>
                <c:pt idx="306">
                  <c:v>0.61322645290581212</c:v>
                </c:pt>
                <c:pt idx="307">
                  <c:v>0.61523046092184419</c:v>
                </c:pt>
                <c:pt idx="308">
                  <c:v>0.61723446893787626</c:v>
                </c:pt>
                <c:pt idx="309">
                  <c:v>0.61923847695390832</c:v>
                </c:pt>
                <c:pt idx="310">
                  <c:v>0.62124248496994039</c:v>
                </c:pt>
                <c:pt idx="311">
                  <c:v>0.62324649298597246</c:v>
                </c:pt>
                <c:pt idx="312">
                  <c:v>0.62525050100200452</c:v>
                </c:pt>
                <c:pt idx="313">
                  <c:v>0.62725450901803659</c:v>
                </c:pt>
                <c:pt idx="314">
                  <c:v>0.62925851703406865</c:v>
                </c:pt>
                <c:pt idx="315">
                  <c:v>0.63126252505010072</c:v>
                </c:pt>
                <c:pt idx="316">
                  <c:v>0.63326653306613279</c:v>
                </c:pt>
                <c:pt idx="317">
                  <c:v>0.63527054108216485</c:v>
                </c:pt>
                <c:pt idx="318">
                  <c:v>0.63727454909819692</c:v>
                </c:pt>
                <c:pt idx="319">
                  <c:v>0.63927855711422898</c:v>
                </c:pt>
                <c:pt idx="320">
                  <c:v>0.64128256513026105</c:v>
                </c:pt>
                <c:pt idx="321">
                  <c:v>0.64328657314629312</c:v>
                </c:pt>
                <c:pt idx="322">
                  <c:v>0.64529058116232518</c:v>
                </c:pt>
                <c:pt idx="323">
                  <c:v>0.64729458917835725</c:v>
                </c:pt>
                <c:pt idx="324">
                  <c:v>0.64929859719438932</c:v>
                </c:pt>
                <c:pt idx="325">
                  <c:v>0.65130260521042138</c:v>
                </c:pt>
                <c:pt idx="326">
                  <c:v>0.65330661322645345</c:v>
                </c:pt>
                <c:pt idx="327">
                  <c:v>0.65531062124248551</c:v>
                </c:pt>
                <c:pt idx="328">
                  <c:v>0.65731462925851758</c:v>
                </c:pt>
                <c:pt idx="329">
                  <c:v>0.65931863727454965</c:v>
                </c:pt>
                <c:pt idx="330">
                  <c:v>0.66132264529058171</c:v>
                </c:pt>
                <c:pt idx="331">
                  <c:v>0.66332665330661378</c:v>
                </c:pt>
                <c:pt idx="332">
                  <c:v>0.66533066132264584</c:v>
                </c:pt>
                <c:pt idx="333">
                  <c:v>0.66733466933867791</c:v>
                </c:pt>
                <c:pt idx="334">
                  <c:v>0.66933867735470998</c:v>
                </c:pt>
                <c:pt idx="335">
                  <c:v>0.67134268537074204</c:v>
                </c:pt>
                <c:pt idx="336">
                  <c:v>0.67334669338677411</c:v>
                </c:pt>
                <c:pt idx="337">
                  <c:v>0.67535070140280618</c:v>
                </c:pt>
                <c:pt idx="338">
                  <c:v>0.67735470941883824</c:v>
                </c:pt>
                <c:pt idx="339">
                  <c:v>0.67935871743487031</c:v>
                </c:pt>
                <c:pt idx="340">
                  <c:v>0.68136272545090237</c:v>
                </c:pt>
                <c:pt idx="341">
                  <c:v>0.68336673346693444</c:v>
                </c:pt>
                <c:pt idx="342">
                  <c:v>0.68537074148296651</c:v>
                </c:pt>
                <c:pt idx="343">
                  <c:v>0.68737474949899857</c:v>
                </c:pt>
                <c:pt idx="344">
                  <c:v>0.68937875751503064</c:v>
                </c:pt>
                <c:pt idx="345">
                  <c:v>0.6913827655310627</c:v>
                </c:pt>
                <c:pt idx="346">
                  <c:v>0.69338677354709477</c:v>
                </c:pt>
                <c:pt idx="347">
                  <c:v>0.69539078156312684</c:v>
                </c:pt>
                <c:pt idx="348">
                  <c:v>0.6973947895791589</c:v>
                </c:pt>
                <c:pt idx="349">
                  <c:v>0.69939879759519097</c:v>
                </c:pt>
                <c:pt idx="350">
                  <c:v>0.70140280561122303</c:v>
                </c:pt>
                <c:pt idx="351">
                  <c:v>0.7034068136272551</c:v>
                </c:pt>
                <c:pt idx="352">
                  <c:v>0.70541082164328717</c:v>
                </c:pt>
                <c:pt idx="353">
                  <c:v>0.70741482965931923</c:v>
                </c:pt>
                <c:pt idx="354">
                  <c:v>0.7094188376753513</c:v>
                </c:pt>
                <c:pt idx="355">
                  <c:v>0.71142284569138337</c:v>
                </c:pt>
                <c:pt idx="356">
                  <c:v>0.71342685370741543</c:v>
                </c:pt>
                <c:pt idx="357">
                  <c:v>0.7154308617234475</c:v>
                </c:pt>
                <c:pt idx="358">
                  <c:v>0.71743486973947956</c:v>
                </c:pt>
                <c:pt idx="359">
                  <c:v>0.71943887775551163</c:v>
                </c:pt>
                <c:pt idx="360">
                  <c:v>0.7214428857715437</c:v>
                </c:pt>
                <c:pt idx="361">
                  <c:v>0.72344689378757576</c:v>
                </c:pt>
                <c:pt idx="362">
                  <c:v>0.72545090180360783</c:v>
                </c:pt>
                <c:pt idx="363">
                  <c:v>0.72745490981963989</c:v>
                </c:pt>
                <c:pt idx="364">
                  <c:v>0.72945891783567196</c:v>
                </c:pt>
                <c:pt idx="365">
                  <c:v>0.73146292585170403</c:v>
                </c:pt>
                <c:pt idx="366">
                  <c:v>0.73346693386773609</c:v>
                </c:pt>
                <c:pt idx="367">
                  <c:v>0.73547094188376816</c:v>
                </c:pt>
                <c:pt idx="368">
                  <c:v>0.73747494989980023</c:v>
                </c:pt>
                <c:pt idx="369">
                  <c:v>0.73947895791583229</c:v>
                </c:pt>
                <c:pt idx="370">
                  <c:v>0.74148296593186436</c:v>
                </c:pt>
                <c:pt idx="371">
                  <c:v>0.74348697394789642</c:v>
                </c:pt>
                <c:pt idx="372">
                  <c:v>0.74549098196392849</c:v>
                </c:pt>
                <c:pt idx="373">
                  <c:v>0.74749498997996056</c:v>
                </c:pt>
                <c:pt idx="374">
                  <c:v>0.74949899799599262</c:v>
                </c:pt>
                <c:pt idx="375">
                  <c:v>0.75150300601202469</c:v>
                </c:pt>
                <c:pt idx="376">
                  <c:v>0.75350701402805675</c:v>
                </c:pt>
                <c:pt idx="377">
                  <c:v>0.75551102204408882</c:v>
                </c:pt>
                <c:pt idx="378">
                  <c:v>0.75751503006012089</c:v>
                </c:pt>
                <c:pt idx="379">
                  <c:v>0.75951903807615295</c:v>
                </c:pt>
                <c:pt idx="380">
                  <c:v>0.76152304609218502</c:v>
                </c:pt>
                <c:pt idx="381">
                  <c:v>0.76352705410821708</c:v>
                </c:pt>
                <c:pt idx="382">
                  <c:v>0.76553106212424915</c:v>
                </c:pt>
                <c:pt idx="383">
                  <c:v>0.76753507014028122</c:v>
                </c:pt>
                <c:pt idx="384">
                  <c:v>0.76953907815631328</c:v>
                </c:pt>
                <c:pt idx="385">
                  <c:v>0.77154308617234535</c:v>
                </c:pt>
                <c:pt idx="386">
                  <c:v>0.77354709418837742</c:v>
                </c:pt>
                <c:pt idx="387">
                  <c:v>0.77555110220440948</c:v>
                </c:pt>
                <c:pt idx="388">
                  <c:v>0.77755511022044155</c:v>
                </c:pt>
                <c:pt idx="389">
                  <c:v>0.77955911823647361</c:v>
                </c:pt>
                <c:pt idx="390">
                  <c:v>0.78156312625250568</c:v>
                </c:pt>
                <c:pt idx="391">
                  <c:v>0.78356713426853775</c:v>
                </c:pt>
                <c:pt idx="392">
                  <c:v>0.78557114228456981</c:v>
                </c:pt>
                <c:pt idx="393">
                  <c:v>0.78757515030060188</c:v>
                </c:pt>
                <c:pt idx="394">
                  <c:v>0.78957915831663394</c:v>
                </c:pt>
                <c:pt idx="395">
                  <c:v>0.79158316633266601</c:v>
                </c:pt>
                <c:pt idx="396">
                  <c:v>0.79358717434869808</c:v>
                </c:pt>
                <c:pt idx="397">
                  <c:v>0.79559118236473014</c:v>
                </c:pt>
                <c:pt idx="398">
                  <c:v>0.79759519038076221</c:v>
                </c:pt>
                <c:pt idx="399">
                  <c:v>0.79959919839679428</c:v>
                </c:pt>
                <c:pt idx="400">
                  <c:v>0.80160320641282634</c:v>
                </c:pt>
                <c:pt idx="401">
                  <c:v>0.80360721442885841</c:v>
                </c:pt>
                <c:pt idx="402">
                  <c:v>0.80561122244489047</c:v>
                </c:pt>
                <c:pt idx="403">
                  <c:v>0.80761523046092254</c:v>
                </c:pt>
                <c:pt idx="404">
                  <c:v>0.80961923847695461</c:v>
                </c:pt>
                <c:pt idx="405">
                  <c:v>0.81162324649298667</c:v>
                </c:pt>
                <c:pt idx="406">
                  <c:v>0.81362725450901874</c:v>
                </c:pt>
                <c:pt idx="407">
                  <c:v>0.8156312625250508</c:v>
                </c:pt>
                <c:pt idx="408">
                  <c:v>0.81763527054108287</c:v>
                </c:pt>
                <c:pt idx="409">
                  <c:v>0.81963927855711494</c:v>
                </c:pt>
                <c:pt idx="410">
                  <c:v>0.821643286573147</c:v>
                </c:pt>
                <c:pt idx="411">
                  <c:v>0.82364729458917907</c:v>
                </c:pt>
                <c:pt idx="412">
                  <c:v>0.82565130260521113</c:v>
                </c:pt>
                <c:pt idx="413">
                  <c:v>0.8276553106212432</c:v>
                </c:pt>
                <c:pt idx="414">
                  <c:v>0.82965931863727527</c:v>
                </c:pt>
                <c:pt idx="415">
                  <c:v>0.83166332665330733</c:v>
                </c:pt>
                <c:pt idx="416">
                  <c:v>0.8336673346693394</c:v>
                </c:pt>
                <c:pt idx="417">
                  <c:v>0.83567134268537147</c:v>
                </c:pt>
                <c:pt idx="418">
                  <c:v>0.83767535070140353</c:v>
                </c:pt>
                <c:pt idx="419">
                  <c:v>0.8396793587174356</c:v>
                </c:pt>
                <c:pt idx="420">
                  <c:v>0.84168336673346766</c:v>
                </c:pt>
                <c:pt idx="421">
                  <c:v>0.84368737474949973</c:v>
                </c:pt>
                <c:pt idx="422">
                  <c:v>0.8456913827655318</c:v>
                </c:pt>
                <c:pt idx="423">
                  <c:v>0.84769539078156386</c:v>
                </c:pt>
                <c:pt idx="424">
                  <c:v>0.84969939879759593</c:v>
                </c:pt>
                <c:pt idx="425">
                  <c:v>0.85170340681362799</c:v>
                </c:pt>
                <c:pt idx="426">
                  <c:v>0.85370741482966006</c:v>
                </c:pt>
                <c:pt idx="427">
                  <c:v>0.85571142284569213</c:v>
                </c:pt>
                <c:pt idx="428">
                  <c:v>0.85771543086172419</c:v>
                </c:pt>
                <c:pt idx="429">
                  <c:v>0.85971943887775626</c:v>
                </c:pt>
                <c:pt idx="430">
                  <c:v>0.86172344689378833</c:v>
                </c:pt>
                <c:pt idx="431">
                  <c:v>0.86372745490982039</c:v>
                </c:pt>
                <c:pt idx="432">
                  <c:v>0.86573146292585246</c:v>
                </c:pt>
                <c:pt idx="433">
                  <c:v>0.86773547094188452</c:v>
                </c:pt>
                <c:pt idx="434">
                  <c:v>0.86973947895791659</c:v>
                </c:pt>
                <c:pt idx="435">
                  <c:v>0.87174348697394866</c:v>
                </c:pt>
                <c:pt idx="436">
                  <c:v>0.87374749498998072</c:v>
                </c:pt>
                <c:pt idx="437">
                  <c:v>0.87575150300601279</c:v>
                </c:pt>
                <c:pt idx="438">
                  <c:v>0.87775551102204485</c:v>
                </c:pt>
                <c:pt idx="439">
                  <c:v>0.87975951903807692</c:v>
                </c:pt>
                <c:pt idx="440">
                  <c:v>0.88176352705410899</c:v>
                </c:pt>
                <c:pt idx="441">
                  <c:v>0.88376753507014105</c:v>
                </c:pt>
                <c:pt idx="442">
                  <c:v>0.88577154308617312</c:v>
                </c:pt>
                <c:pt idx="443">
                  <c:v>0.88777555110220518</c:v>
                </c:pt>
                <c:pt idx="444">
                  <c:v>0.88977955911823725</c:v>
                </c:pt>
                <c:pt idx="445">
                  <c:v>0.89178356713426932</c:v>
                </c:pt>
                <c:pt idx="446">
                  <c:v>0.89378757515030138</c:v>
                </c:pt>
                <c:pt idx="447">
                  <c:v>0.89579158316633345</c:v>
                </c:pt>
                <c:pt idx="448">
                  <c:v>0.89779559118236552</c:v>
                </c:pt>
                <c:pt idx="449">
                  <c:v>0.89979959919839758</c:v>
                </c:pt>
                <c:pt idx="450">
                  <c:v>0.90180360721442965</c:v>
                </c:pt>
                <c:pt idx="451">
                  <c:v>0.90380761523046171</c:v>
                </c:pt>
                <c:pt idx="452">
                  <c:v>0.90581162324649378</c:v>
                </c:pt>
                <c:pt idx="453">
                  <c:v>0.90781563126252585</c:v>
                </c:pt>
                <c:pt idx="454">
                  <c:v>0.90981963927855791</c:v>
                </c:pt>
                <c:pt idx="455">
                  <c:v>0.91182364729458998</c:v>
                </c:pt>
                <c:pt idx="456">
                  <c:v>0.91382765531062204</c:v>
                </c:pt>
                <c:pt idx="457">
                  <c:v>0.91583166332665411</c:v>
                </c:pt>
                <c:pt idx="458">
                  <c:v>0.91783567134268618</c:v>
                </c:pt>
                <c:pt idx="459">
                  <c:v>0.91983967935871824</c:v>
                </c:pt>
                <c:pt idx="460">
                  <c:v>0.92184368737475031</c:v>
                </c:pt>
                <c:pt idx="461">
                  <c:v>0.92384769539078238</c:v>
                </c:pt>
                <c:pt idx="462">
                  <c:v>0.92585170340681444</c:v>
                </c:pt>
                <c:pt idx="463">
                  <c:v>0.92785571142284651</c:v>
                </c:pt>
                <c:pt idx="464">
                  <c:v>0.92985971943887857</c:v>
                </c:pt>
                <c:pt idx="465">
                  <c:v>0.93186372745491064</c:v>
                </c:pt>
                <c:pt idx="466">
                  <c:v>0.93386773547094271</c:v>
                </c:pt>
                <c:pt idx="467">
                  <c:v>0.93587174348697477</c:v>
                </c:pt>
                <c:pt idx="468">
                  <c:v>0.93787575150300684</c:v>
                </c:pt>
                <c:pt idx="469">
                  <c:v>0.9398797595190389</c:v>
                </c:pt>
                <c:pt idx="470">
                  <c:v>0.94188376753507097</c:v>
                </c:pt>
                <c:pt idx="471">
                  <c:v>0.94388777555110304</c:v>
                </c:pt>
                <c:pt idx="472">
                  <c:v>0.9458917835671351</c:v>
                </c:pt>
                <c:pt idx="473">
                  <c:v>0.94789579158316717</c:v>
                </c:pt>
                <c:pt idx="474">
                  <c:v>0.94989979959919923</c:v>
                </c:pt>
                <c:pt idx="475">
                  <c:v>0.9519038076152313</c:v>
                </c:pt>
                <c:pt idx="476">
                  <c:v>0.95390781563126337</c:v>
                </c:pt>
                <c:pt idx="477">
                  <c:v>0.95591182364729543</c:v>
                </c:pt>
                <c:pt idx="478">
                  <c:v>0.9579158316633275</c:v>
                </c:pt>
                <c:pt idx="479">
                  <c:v>0.95991983967935957</c:v>
                </c:pt>
                <c:pt idx="480">
                  <c:v>0.96192384769539163</c:v>
                </c:pt>
                <c:pt idx="481">
                  <c:v>0.9639278557114237</c:v>
                </c:pt>
                <c:pt idx="482">
                  <c:v>0.96593186372745576</c:v>
                </c:pt>
                <c:pt idx="483">
                  <c:v>0.96793587174348783</c:v>
                </c:pt>
                <c:pt idx="484">
                  <c:v>0.9699398797595199</c:v>
                </c:pt>
                <c:pt idx="485">
                  <c:v>0.97194388777555196</c:v>
                </c:pt>
                <c:pt idx="486">
                  <c:v>0.97394789579158403</c:v>
                </c:pt>
                <c:pt idx="487">
                  <c:v>0.97595190380761609</c:v>
                </c:pt>
                <c:pt idx="488">
                  <c:v>0.97795591182364816</c:v>
                </c:pt>
                <c:pt idx="489">
                  <c:v>0.97995991983968023</c:v>
                </c:pt>
                <c:pt idx="490">
                  <c:v>0.98196392785571229</c:v>
                </c:pt>
                <c:pt idx="491">
                  <c:v>0.98396793587174436</c:v>
                </c:pt>
                <c:pt idx="492">
                  <c:v>0.98597194388777643</c:v>
                </c:pt>
                <c:pt idx="493">
                  <c:v>0.98797595190380849</c:v>
                </c:pt>
                <c:pt idx="494">
                  <c:v>0.98997995991984056</c:v>
                </c:pt>
                <c:pt idx="495">
                  <c:v>0.99198396793587262</c:v>
                </c:pt>
                <c:pt idx="496">
                  <c:v>0.99398797595190469</c:v>
                </c:pt>
                <c:pt idx="497">
                  <c:v>0.99599198396793676</c:v>
                </c:pt>
                <c:pt idx="498">
                  <c:v>0.99799599198396882</c:v>
                </c:pt>
                <c:pt idx="499">
                  <c:v>1.0000000000000009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E3-4D99-AA5A-F96FE06F4BC7}"/>
            </c:ext>
          </c:extLst>
        </c:ser>
        <c:ser>
          <c:idx val="1"/>
          <c:order val="1"/>
          <c:tx>
            <c:strRef>
              <c:f>'SimData1 and 2'!$J$9</c:f>
              <c:strCache>
                <c:ptCount val="1"/>
                <c:pt idx="0">
                  <c:v>Price 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'SimData1 and 2'!$J$10:$J$509</c:f>
              <c:numCache>
                <c:formatCode>General</c:formatCode>
                <c:ptCount val="500"/>
                <c:pt idx="0">
                  <c:v>3.5000000626489189</c:v>
                </c:pt>
                <c:pt idx="1">
                  <c:v>3.5000001722756826</c:v>
                </c:pt>
                <c:pt idx="2">
                  <c:v>3.5000003068062298</c:v>
                </c:pt>
                <c:pt idx="3">
                  <c:v>3.5000005380555956</c:v>
                </c:pt>
                <c:pt idx="4">
                  <c:v>3.5000006724063155</c:v>
                </c:pt>
                <c:pt idx="5">
                  <c:v>3.5000007324745379</c:v>
                </c:pt>
                <c:pt idx="6">
                  <c:v>3.5000008505125626</c:v>
                </c:pt>
                <c:pt idx="7">
                  <c:v>3.5000010154563337</c:v>
                </c:pt>
                <c:pt idx="8">
                  <c:v>3.5000011294392723</c:v>
                </c:pt>
                <c:pt idx="9">
                  <c:v>3.500001271218983</c:v>
                </c:pt>
                <c:pt idx="10">
                  <c:v>3.500001451614501</c:v>
                </c:pt>
                <c:pt idx="11">
                  <c:v>3.5000015762658347</c:v>
                </c:pt>
                <c:pt idx="12">
                  <c:v>3.5000016996179708</c:v>
                </c:pt>
                <c:pt idx="13">
                  <c:v>3.5000018514421898</c:v>
                </c:pt>
                <c:pt idx="14">
                  <c:v>3.5000020556258944</c:v>
                </c:pt>
                <c:pt idx="15">
                  <c:v>3.500002180282872</c:v>
                </c:pt>
                <c:pt idx="16">
                  <c:v>3.5000022882227242</c:v>
                </c:pt>
                <c:pt idx="17">
                  <c:v>3.5000024866096897</c:v>
                </c:pt>
                <c:pt idx="18">
                  <c:v>3.5000025775990515</c:v>
                </c:pt>
                <c:pt idx="19">
                  <c:v>3.500002722977865</c:v>
                </c:pt>
                <c:pt idx="20">
                  <c:v>3.5000028242532677</c:v>
                </c:pt>
                <c:pt idx="21">
                  <c:v>3.500002959906853</c:v>
                </c:pt>
                <c:pt idx="22">
                  <c:v>3.5000032102581464</c:v>
                </c:pt>
                <c:pt idx="23">
                  <c:v>3.5000033206835086</c:v>
                </c:pt>
                <c:pt idx="24">
                  <c:v>3.5000034245988019</c:v>
                </c:pt>
                <c:pt idx="25">
                  <c:v>3.5000035761464914</c:v>
                </c:pt>
                <c:pt idx="26">
                  <c:v>3.5000037099012942</c:v>
                </c:pt>
                <c:pt idx="27">
                  <c:v>3.5000038055578822</c:v>
                </c:pt>
                <c:pt idx="28">
                  <c:v>3.500004050373235</c:v>
                </c:pt>
                <c:pt idx="29">
                  <c:v>3.5000041177551684</c:v>
                </c:pt>
                <c:pt idx="30">
                  <c:v>3.5000042268800855</c:v>
                </c:pt>
                <c:pt idx="31">
                  <c:v>3.5000043953069708</c:v>
                </c:pt>
                <c:pt idx="32">
                  <c:v>3.5000046165137406</c:v>
                </c:pt>
                <c:pt idx="33">
                  <c:v>3.500004754925873</c:v>
                </c:pt>
                <c:pt idx="34">
                  <c:v>3.5000048803640671</c:v>
                </c:pt>
                <c:pt idx="35">
                  <c:v>3.5000050275180419</c:v>
                </c:pt>
                <c:pt idx="36">
                  <c:v>3.5000051072700207</c:v>
                </c:pt>
                <c:pt idx="37">
                  <c:v>3.5000052248799465</c:v>
                </c:pt>
                <c:pt idx="38">
                  <c:v>3.500005347803937</c:v>
                </c:pt>
                <c:pt idx="39">
                  <c:v>3.5000055447336091</c:v>
                </c:pt>
                <c:pt idx="40">
                  <c:v>3.5000057188119458</c:v>
                </c:pt>
                <c:pt idx="41">
                  <c:v>3.5000057837911829</c:v>
                </c:pt>
                <c:pt idx="42">
                  <c:v>3.5000060157246318</c:v>
                </c:pt>
                <c:pt idx="43">
                  <c:v>3.5000061559327471</c:v>
                </c:pt>
                <c:pt idx="44">
                  <c:v>3.5000061801482829</c:v>
                </c:pt>
                <c:pt idx="45">
                  <c:v>3.5000063507287633</c:v>
                </c:pt>
                <c:pt idx="46">
                  <c:v>3.5000064958472294</c:v>
                </c:pt>
                <c:pt idx="47">
                  <c:v>3.5000066967541992</c:v>
                </c:pt>
                <c:pt idx="48">
                  <c:v>3.5000068385213279</c:v>
                </c:pt>
                <c:pt idx="49">
                  <c:v>3.500006942382158</c:v>
                </c:pt>
                <c:pt idx="50">
                  <c:v>3.5616631895120805</c:v>
                </c:pt>
                <c:pt idx="51">
                  <c:v>3.7591641980951751</c:v>
                </c:pt>
                <c:pt idx="52">
                  <c:v>3.8428505202459378</c:v>
                </c:pt>
                <c:pt idx="53">
                  <c:v>4.0468966283137959</c:v>
                </c:pt>
                <c:pt idx="54">
                  <c:v>4.1111350034032679</c:v>
                </c:pt>
                <c:pt idx="55">
                  <c:v>4.2880551596352232</c:v>
                </c:pt>
                <c:pt idx="56">
                  <c:v>4.323231132611868</c:v>
                </c:pt>
                <c:pt idx="57">
                  <c:v>4.4990758601107999</c:v>
                </c:pt>
                <c:pt idx="58">
                  <c:v>4.616054207046254</c:v>
                </c:pt>
                <c:pt idx="59">
                  <c:v>4.8335567881510224</c:v>
                </c:pt>
                <c:pt idx="60">
                  <c:v>4.9101866701402201</c:v>
                </c:pt>
                <c:pt idx="61">
                  <c:v>5.015107384228866</c:v>
                </c:pt>
                <c:pt idx="62">
                  <c:v>5.1955791043544854</c:v>
                </c:pt>
                <c:pt idx="63">
                  <c:v>5.3738192615293023</c:v>
                </c:pt>
                <c:pt idx="64">
                  <c:v>5.5501264198629361</c:v>
                </c:pt>
                <c:pt idx="65">
                  <c:v>5.5748664503374474</c:v>
                </c:pt>
                <c:pt idx="66">
                  <c:v>5.7672321671213327</c:v>
                </c:pt>
                <c:pt idx="67">
                  <c:v>5.9197700881720055</c:v>
                </c:pt>
                <c:pt idx="68">
                  <c:v>5.9945763550642042</c:v>
                </c:pt>
                <c:pt idx="69">
                  <c:v>5.9949226735462657</c:v>
                </c:pt>
                <c:pt idx="70">
                  <c:v>5.9951940669114503</c:v>
                </c:pt>
                <c:pt idx="71">
                  <c:v>5.995566885958171</c:v>
                </c:pt>
                <c:pt idx="72">
                  <c:v>5.9958031915292693</c:v>
                </c:pt>
                <c:pt idx="73">
                  <c:v>5.9960072571317324</c:v>
                </c:pt>
                <c:pt idx="74">
                  <c:v>5.9964352111481425</c:v>
                </c:pt>
                <c:pt idx="75">
                  <c:v>5.9967721761502464</c:v>
                </c:pt>
                <c:pt idx="76">
                  <c:v>5.9971460401289196</c:v>
                </c:pt>
                <c:pt idx="77">
                  <c:v>5.9972538450667336</c:v>
                </c:pt>
                <c:pt idx="78">
                  <c:v>5.9977556142690123</c:v>
                </c:pt>
                <c:pt idx="79">
                  <c:v>5.9978671071304044</c:v>
                </c:pt>
                <c:pt idx="80">
                  <c:v>5.9981881991808317</c:v>
                </c:pt>
                <c:pt idx="81">
                  <c:v>5.9986911118249528</c:v>
                </c:pt>
                <c:pt idx="82">
                  <c:v>5.9987668040498416</c:v>
                </c:pt>
                <c:pt idx="83">
                  <c:v>5.9990977849080274</c:v>
                </c:pt>
                <c:pt idx="84">
                  <c:v>5.9994387986452322</c:v>
                </c:pt>
                <c:pt idx="85">
                  <c:v>5.9997391766227084</c:v>
                </c:pt>
                <c:pt idx="86">
                  <c:v>6.0000213714440997</c:v>
                </c:pt>
                <c:pt idx="87">
                  <c:v>6.0004338737324243</c:v>
                </c:pt>
                <c:pt idx="88">
                  <c:v>6.0007633480815237</c:v>
                </c:pt>
                <c:pt idx="89">
                  <c:v>6.0009771505553768</c:v>
                </c:pt>
                <c:pt idx="90">
                  <c:v>6.0012919999890677</c:v>
                </c:pt>
                <c:pt idx="91">
                  <c:v>6.0018392438500445</c:v>
                </c:pt>
                <c:pt idx="92">
                  <c:v>6.0021041734209595</c:v>
                </c:pt>
                <c:pt idx="93">
                  <c:v>6.0023871855864384</c:v>
                </c:pt>
                <c:pt idx="94">
                  <c:v>6.002598290498808</c:v>
                </c:pt>
                <c:pt idx="95">
                  <c:v>6.0029381223516154</c:v>
                </c:pt>
                <c:pt idx="96">
                  <c:v>6.0032263474335323</c:v>
                </c:pt>
                <c:pt idx="97">
                  <c:v>6.0035379468616554</c:v>
                </c:pt>
                <c:pt idx="98">
                  <c:v>6.003804063302991</c:v>
                </c:pt>
                <c:pt idx="99">
                  <c:v>6.0040632275486008</c:v>
                </c:pt>
                <c:pt idx="100">
                  <c:v>6.0043564044879378</c:v>
                </c:pt>
                <c:pt idx="101">
                  <c:v>6.0047572396527542</c:v>
                </c:pt>
                <c:pt idx="102">
                  <c:v>6.0050889570667785</c:v>
                </c:pt>
                <c:pt idx="103">
                  <c:v>6.0053706080919236</c:v>
                </c:pt>
                <c:pt idx="104">
                  <c:v>6.0057214328296222</c:v>
                </c:pt>
                <c:pt idx="105">
                  <c:v>6.0059259761682089</c:v>
                </c:pt>
                <c:pt idx="106">
                  <c:v>6.0064624470830985</c:v>
                </c:pt>
                <c:pt idx="107">
                  <c:v>6.0065254183123091</c:v>
                </c:pt>
                <c:pt idx="108">
                  <c:v>6.0070297174931744</c:v>
                </c:pt>
                <c:pt idx="109">
                  <c:v>6.0072623171242272</c:v>
                </c:pt>
                <c:pt idx="110">
                  <c:v>6.0074767328132959</c:v>
                </c:pt>
                <c:pt idx="111">
                  <c:v>6.007804311798898</c:v>
                </c:pt>
                <c:pt idx="112">
                  <c:v>6.0081903885128947</c:v>
                </c:pt>
                <c:pt idx="113">
                  <c:v>6.0083570348018238</c:v>
                </c:pt>
                <c:pt idx="114">
                  <c:v>6.0176541436591622</c:v>
                </c:pt>
                <c:pt idx="115">
                  <c:v>6.0238745858787865</c:v>
                </c:pt>
                <c:pt idx="116">
                  <c:v>6.0386611083011115</c:v>
                </c:pt>
                <c:pt idx="117">
                  <c:v>6.0541808972560878</c:v>
                </c:pt>
                <c:pt idx="118">
                  <c:v>6.0616786387058159</c:v>
                </c:pt>
                <c:pt idx="119">
                  <c:v>6.0756988034208215</c:v>
                </c:pt>
                <c:pt idx="120">
                  <c:v>6.0853644419967186</c:v>
                </c:pt>
                <c:pt idx="121">
                  <c:v>6.0891412097649988</c:v>
                </c:pt>
                <c:pt idx="122">
                  <c:v>6.1072862549867706</c:v>
                </c:pt>
                <c:pt idx="123">
                  <c:v>6.1151050927476671</c:v>
                </c:pt>
                <c:pt idx="124">
                  <c:v>6.1186080974371917</c:v>
                </c:pt>
                <c:pt idx="125">
                  <c:v>6.1348641031206679</c:v>
                </c:pt>
                <c:pt idx="126">
                  <c:v>6.1434959310136144</c:v>
                </c:pt>
                <c:pt idx="127">
                  <c:v>6.1562878729455033</c:v>
                </c:pt>
                <c:pt idx="128">
                  <c:v>6.1681785467789858</c:v>
                </c:pt>
                <c:pt idx="129">
                  <c:v>6.1738631833545705</c:v>
                </c:pt>
                <c:pt idx="130">
                  <c:v>6.1870846440946456</c:v>
                </c:pt>
                <c:pt idx="131">
                  <c:v>6.1972537522341593</c:v>
                </c:pt>
                <c:pt idx="132">
                  <c:v>6.2065332179871273</c:v>
                </c:pt>
                <c:pt idx="133">
                  <c:v>6.2210085231440786</c:v>
                </c:pt>
                <c:pt idx="134">
                  <c:v>6.2270972898635915</c:v>
                </c:pt>
                <c:pt idx="135">
                  <c:v>6.2425592177707374</c:v>
                </c:pt>
                <c:pt idx="136">
                  <c:v>6.2517983492338161</c:v>
                </c:pt>
                <c:pt idx="137">
                  <c:v>6.2627696943221078</c:v>
                </c:pt>
                <c:pt idx="138">
                  <c:v>6.274110077262681</c:v>
                </c:pt>
                <c:pt idx="139">
                  <c:v>6.2847500027381518</c:v>
                </c:pt>
                <c:pt idx="140">
                  <c:v>6.2934601134703616</c:v>
                </c:pt>
                <c:pt idx="141">
                  <c:v>6.3055166332030659</c:v>
                </c:pt>
                <c:pt idx="142">
                  <c:v>6.3183058133221301</c:v>
                </c:pt>
                <c:pt idx="143">
                  <c:v>6.3255783348933239</c:v>
                </c:pt>
                <c:pt idx="144">
                  <c:v>6.3370611121327549</c:v>
                </c:pt>
                <c:pt idx="145">
                  <c:v>6.3467722992618523</c:v>
                </c:pt>
                <c:pt idx="146">
                  <c:v>6.3586277507983437</c:v>
                </c:pt>
                <c:pt idx="147">
                  <c:v>6.3710479533296862</c:v>
                </c:pt>
                <c:pt idx="148">
                  <c:v>6.3802119402199446</c:v>
                </c:pt>
                <c:pt idx="149">
                  <c:v>6.3916321463513048</c:v>
                </c:pt>
                <c:pt idx="150">
                  <c:v>6.3931161262834744</c:v>
                </c:pt>
                <c:pt idx="151">
                  <c:v>6.4046408388151121</c:v>
                </c:pt>
                <c:pt idx="152">
                  <c:v>6.4171420016055256</c:v>
                </c:pt>
                <c:pt idx="153">
                  <c:v>6.4314155549692984</c:v>
                </c:pt>
                <c:pt idx="154">
                  <c:v>6.4402595041229258</c:v>
                </c:pt>
                <c:pt idx="155">
                  <c:v>6.4548762387651974</c:v>
                </c:pt>
                <c:pt idx="156">
                  <c:v>6.4633064968591647</c:v>
                </c:pt>
                <c:pt idx="157">
                  <c:v>6.4705090787873099</c:v>
                </c:pt>
                <c:pt idx="158">
                  <c:v>6.4839606159072947</c:v>
                </c:pt>
                <c:pt idx="159">
                  <c:v>6.4925212745240399</c:v>
                </c:pt>
                <c:pt idx="160">
                  <c:v>6.5074450292449635</c:v>
                </c:pt>
                <c:pt idx="161">
                  <c:v>6.5189071633860873</c:v>
                </c:pt>
                <c:pt idx="162">
                  <c:v>6.5469807627726633</c:v>
                </c:pt>
                <c:pt idx="163">
                  <c:v>6.5614262438987714</c:v>
                </c:pt>
                <c:pt idx="164">
                  <c:v>6.5689714625322333</c:v>
                </c:pt>
                <c:pt idx="165">
                  <c:v>6.5828118664246631</c:v>
                </c:pt>
                <c:pt idx="166">
                  <c:v>6.5986111698801846</c:v>
                </c:pt>
                <c:pt idx="167">
                  <c:v>6.6165658847245528</c:v>
                </c:pt>
                <c:pt idx="168">
                  <c:v>6.6262709222761975</c:v>
                </c:pt>
                <c:pt idx="169">
                  <c:v>6.6374276680837347</c:v>
                </c:pt>
                <c:pt idx="170">
                  <c:v>6.6647422163743215</c:v>
                </c:pt>
                <c:pt idx="171">
                  <c:v>6.6754089714960765</c:v>
                </c:pt>
                <c:pt idx="172">
                  <c:v>6.6876729705558828</c:v>
                </c:pt>
                <c:pt idx="173">
                  <c:v>6.7087132758443957</c:v>
                </c:pt>
                <c:pt idx="174">
                  <c:v>6.7198622363665814</c:v>
                </c:pt>
                <c:pt idx="175">
                  <c:v>6.728021374996966</c:v>
                </c:pt>
                <c:pt idx="176">
                  <c:v>6.7452995116950962</c:v>
                </c:pt>
                <c:pt idx="177">
                  <c:v>6.7720835073924892</c:v>
                </c:pt>
                <c:pt idx="178">
                  <c:v>6.7868001257074884</c:v>
                </c:pt>
                <c:pt idx="179">
                  <c:v>6.788656146466221</c:v>
                </c:pt>
                <c:pt idx="180">
                  <c:v>6.8094918360427723</c:v>
                </c:pt>
                <c:pt idx="181">
                  <c:v>6.825885956715239</c:v>
                </c:pt>
                <c:pt idx="182">
                  <c:v>6.8412357544833231</c:v>
                </c:pt>
                <c:pt idx="183">
                  <c:v>6.8508479545385947</c:v>
                </c:pt>
                <c:pt idx="184">
                  <c:v>6.8704746839176707</c:v>
                </c:pt>
                <c:pt idx="185">
                  <c:v>6.8832453275948122</c:v>
                </c:pt>
                <c:pt idx="186">
                  <c:v>6.8930672989951347</c:v>
                </c:pt>
                <c:pt idx="187">
                  <c:v>6.9194731582869</c:v>
                </c:pt>
                <c:pt idx="188">
                  <c:v>6.9301826218778935</c:v>
                </c:pt>
                <c:pt idx="189">
                  <c:v>6.9407671316433746</c:v>
                </c:pt>
                <c:pt idx="190">
                  <c:v>6.9579963092437271</c:v>
                </c:pt>
                <c:pt idx="191">
                  <c:v>6.9720676569104505</c:v>
                </c:pt>
                <c:pt idx="192">
                  <c:v>6.9895081873406903</c:v>
                </c:pt>
                <c:pt idx="193">
                  <c:v>7.0012471943619836</c:v>
                </c:pt>
                <c:pt idx="194">
                  <c:v>7.0152072027730563</c:v>
                </c:pt>
                <c:pt idx="195">
                  <c:v>7.0300654781194103</c:v>
                </c:pt>
                <c:pt idx="196">
                  <c:v>7.0519509907346984</c:v>
                </c:pt>
                <c:pt idx="197">
                  <c:v>7.0709039987910218</c:v>
                </c:pt>
                <c:pt idx="198">
                  <c:v>7.0772097665271625</c:v>
                </c:pt>
                <c:pt idx="199">
                  <c:v>7.0984562974743053</c:v>
                </c:pt>
                <c:pt idx="200">
                  <c:v>7.1025478323771241</c:v>
                </c:pt>
                <c:pt idx="201">
                  <c:v>7.1259337183579428</c:v>
                </c:pt>
                <c:pt idx="202">
                  <c:v>7.1375367787389754</c:v>
                </c:pt>
                <c:pt idx="203">
                  <c:v>7.1550988687011152</c:v>
                </c:pt>
                <c:pt idx="204">
                  <c:v>7.1702832076898382</c:v>
                </c:pt>
                <c:pt idx="205">
                  <c:v>7.1705465926537943</c:v>
                </c:pt>
                <c:pt idx="206">
                  <c:v>7.1717097118327988</c:v>
                </c:pt>
                <c:pt idx="207">
                  <c:v>7.1729518764677263</c:v>
                </c:pt>
                <c:pt idx="208">
                  <c:v>7.1735391129361208</c:v>
                </c:pt>
                <c:pt idx="209">
                  <c:v>7.1750578545082018</c:v>
                </c:pt>
                <c:pt idx="210">
                  <c:v>7.1751821044198243</c:v>
                </c:pt>
                <c:pt idx="211">
                  <c:v>7.1764777064811422</c:v>
                </c:pt>
                <c:pt idx="212">
                  <c:v>7.1777293545195153</c:v>
                </c:pt>
                <c:pt idx="213">
                  <c:v>7.178128460515663</c:v>
                </c:pt>
                <c:pt idx="214">
                  <c:v>7.1789564872576044</c:v>
                </c:pt>
                <c:pt idx="215">
                  <c:v>7.1803743700970344</c:v>
                </c:pt>
                <c:pt idx="216">
                  <c:v>7.181697434749573</c:v>
                </c:pt>
                <c:pt idx="217">
                  <c:v>7.1824248469487237</c:v>
                </c:pt>
                <c:pt idx="218">
                  <c:v>7.1826624420885805</c:v>
                </c:pt>
                <c:pt idx="219">
                  <c:v>7.1841458802729328</c:v>
                </c:pt>
                <c:pt idx="220">
                  <c:v>7.1847514601139988</c:v>
                </c:pt>
                <c:pt idx="221">
                  <c:v>7.1859188581642899</c:v>
                </c:pt>
                <c:pt idx="222">
                  <c:v>7.1868386063981733</c:v>
                </c:pt>
                <c:pt idx="223">
                  <c:v>7.188203593978427</c:v>
                </c:pt>
                <c:pt idx="224">
                  <c:v>7.1889242274835636</c:v>
                </c:pt>
                <c:pt idx="225">
                  <c:v>7.1892129745828672</c:v>
                </c:pt>
                <c:pt idx="226">
                  <c:v>7.191027128396648</c:v>
                </c:pt>
                <c:pt idx="227">
                  <c:v>7.1911890777722736</c:v>
                </c:pt>
                <c:pt idx="228">
                  <c:v>7.1920964909549934</c:v>
                </c:pt>
                <c:pt idx="229">
                  <c:v>7.1931771222739371</c:v>
                </c:pt>
                <c:pt idx="230">
                  <c:v>7.1945177180565842</c:v>
                </c:pt>
                <c:pt idx="231">
                  <c:v>7.1951393550345877</c:v>
                </c:pt>
                <c:pt idx="232">
                  <c:v>7.1958139261224607</c:v>
                </c:pt>
                <c:pt idx="233">
                  <c:v>7.1969363620451876</c:v>
                </c:pt>
                <c:pt idx="234">
                  <c:v>7.1980699277460429</c:v>
                </c:pt>
                <c:pt idx="235">
                  <c:v>7.1986268195806247</c:v>
                </c:pt>
                <c:pt idx="236">
                  <c:v>7.2002090840552233</c:v>
                </c:pt>
                <c:pt idx="237">
                  <c:v>7.2011283157883073</c:v>
                </c:pt>
                <c:pt idx="238">
                  <c:v>7.2014179351682914</c:v>
                </c:pt>
                <c:pt idx="239">
                  <c:v>7.2025062392140544</c:v>
                </c:pt>
                <c:pt idx="240">
                  <c:v>7.2038460634863188</c:v>
                </c:pt>
                <c:pt idx="241">
                  <c:v>7.2043766634508106</c:v>
                </c:pt>
                <c:pt idx="242">
                  <c:v>7.2057843277672395</c:v>
                </c:pt>
                <c:pt idx="243">
                  <c:v>7.2062203752514833</c:v>
                </c:pt>
                <c:pt idx="244">
                  <c:v>7.2070132166276277</c:v>
                </c:pt>
                <c:pt idx="245">
                  <c:v>7.2080226291213201</c:v>
                </c:pt>
                <c:pt idx="246">
                  <c:v>7.208952788269742</c:v>
                </c:pt>
                <c:pt idx="247">
                  <c:v>7.2101836493227331</c:v>
                </c:pt>
                <c:pt idx="248">
                  <c:v>7.2108050858452639</c:v>
                </c:pt>
                <c:pt idx="249">
                  <c:v>7.2119217299147529</c:v>
                </c:pt>
                <c:pt idx="250">
                  <c:v>7.2125989690143069</c:v>
                </c:pt>
                <c:pt idx="251">
                  <c:v>7.2128864032764355</c:v>
                </c:pt>
                <c:pt idx="252">
                  <c:v>7.2135865007629825</c:v>
                </c:pt>
                <c:pt idx="253">
                  <c:v>7.2139387514684445</c:v>
                </c:pt>
                <c:pt idx="254">
                  <c:v>7.2143428832018541</c:v>
                </c:pt>
                <c:pt idx="255">
                  <c:v>7.214772690643299</c:v>
                </c:pt>
                <c:pt idx="256">
                  <c:v>7.215000139836647</c:v>
                </c:pt>
                <c:pt idx="257">
                  <c:v>7.2152500261321952</c:v>
                </c:pt>
                <c:pt idx="258">
                  <c:v>7.2159970021616449</c:v>
                </c:pt>
                <c:pt idx="259">
                  <c:v>7.2161853943725305</c:v>
                </c:pt>
                <c:pt idx="260">
                  <c:v>7.2165224600491547</c:v>
                </c:pt>
                <c:pt idx="261">
                  <c:v>7.2168439039226051</c:v>
                </c:pt>
                <c:pt idx="262">
                  <c:v>7.2175379897829295</c:v>
                </c:pt>
                <c:pt idx="263">
                  <c:v>7.2179762650710657</c:v>
                </c:pt>
                <c:pt idx="264">
                  <c:v>7.2182019987486772</c:v>
                </c:pt>
                <c:pt idx="265">
                  <c:v>7.2185937551047603</c:v>
                </c:pt>
                <c:pt idx="266">
                  <c:v>7.2190487448973286</c:v>
                </c:pt>
                <c:pt idx="267">
                  <c:v>7.2193923768669714</c:v>
                </c:pt>
                <c:pt idx="268">
                  <c:v>7.2196407317563471</c:v>
                </c:pt>
                <c:pt idx="269">
                  <c:v>7.2201410923710023</c:v>
                </c:pt>
                <c:pt idx="270">
                  <c:v>7.2205110472557656</c:v>
                </c:pt>
                <c:pt idx="271">
                  <c:v>7.2208819026455151</c:v>
                </c:pt>
                <c:pt idx="272">
                  <c:v>7.2211560645686799</c:v>
                </c:pt>
                <c:pt idx="273">
                  <c:v>7.221858510174739</c:v>
                </c:pt>
                <c:pt idx="274">
                  <c:v>7.2222768195617046</c:v>
                </c:pt>
                <c:pt idx="275">
                  <c:v>7.2224985695519042</c:v>
                </c:pt>
                <c:pt idx="276">
                  <c:v>7.2228419422323764</c:v>
                </c:pt>
                <c:pt idx="277">
                  <c:v>7.223463906689533</c:v>
                </c:pt>
                <c:pt idx="278">
                  <c:v>7.2238215001321056</c:v>
                </c:pt>
                <c:pt idx="279">
                  <c:v>7.2242963405698424</c:v>
                </c:pt>
                <c:pt idx="280">
                  <c:v>7.2243749666954056</c:v>
                </c:pt>
                <c:pt idx="281">
                  <c:v>7.2248124745838727</c:v>
                </c:pt>
                <c:pt idx="282">
                  <c:v>7.2254662821420048</c:v>
                </c:pt>
                <c:pt idx="283">
                  <c:v>7.2256457081560148</c:v>
                </c:pt>
                <c:pt idx="284">
                  <c:v>7.2261898346120432</c:v>
                </c:pt>
                <c:pt idx="285">
                  <c:v>7.2264483054772759</c:v>
                </c:pt>
                <c:pt idx="286">
                  <c:v>7.2270543088522361</c:v>
                </c:pt>
                <c:pt idx="287">
                  <c:v>7.2273443852067114</c:v>
                </c:pt>
                <c:pt idx="288">
                  <c:v>7.227802459790353</c:v>
                </c:pt>
                <c:pt idx="289">
                  <c:v>7.2280780446675363</c:v>
                </c:pt>
                <c:pt idx="290">
                  <c:v>7.228492813543709</c:v>
                </c:pt>
                <c:pt idx="291">
                  <c:v>7.2288858978668804</c:v>
                </c:pt>
                <c:pt idx="292">
                  <c:v>7.229323093006764</c:v>
                </c:pt>
                <c:pt idx="293">
                  <c:v>7.2294919280325605</c:v>
                </c:pt>
                <c:pt idx="294">
                  <c:v>7.2302095502467054</c:v>
                </c:pt>
                <c:pt idx="295">
                  <c:v>7.2307315541275585</c:v>
                </c:pt>
                <c:pt idx="296">
                  <c:v>7.2317299282597496</c:v>
                </c:pt>
                <c:pt idx="297">
                  <c:v>7.2333421175271724</c:v>
                </c:pt>
                <c:pt idx="298">
                  <c:v>7.2343057993900759</c:v>
                </c:pt>
                <c:pt idx="299">
                  <c:v>7.2364402409873225</c:v>
                </c:pt>
                <c:pt idx="300">
                  <c:v>7.2370576014214869</c:v>
                </c:pt>
                <c:pt idx="301">
                  <c:v>7.2383683339760214</c:v>
                </c:pt>
                <c:pt idx="302">
                  <c:v>7.2394484267999744</c:v>
                </c:pt>
                <c:pt idx="303">
                  <c:v>7.2414634679972529</c:v>
                </c:pt>
                <c:pt idx="304">
                  <c:v>7.242707579540518</c:v>
                </c:pt>
                <c:pt idx="305">
                  <c:v>7.2438507811016128</c:v>
                </c:pt>
                <c:pt idx="306">
                  <c:v>7.2459850744603784</c:v>
                </c:pt>
                <c:pt idx="307">
                  <c:v>7.2471494799447269</c:v>
                </c:pt>
                <c:pt idx="308">
                  <c:v>7.2487740606951681</c:v>
                </c:pt>
                <c:pt idx="309">
                  <c:v>7.2492140657906319</c:v>
                </c:pt>
                <c:pt idx="310">
                  <c:v>7.2502965976588749</c:v>
                </c:pt>
                <c:pt idx="311">
                  <c:v>7.2522318187720458</c:v>
                </c:pt>
                <c:pt idx="312">
                  <c:v>7.252920852974392</c:v>
                </c:pt>
                <c:pt idx="313">
                  <c:v>7.2547045655363238</c:v>
                </c:pt>
                <c:pt idx="314">
                  <c:v>7.2557978570948141</c:v>
                </c:pt>
                <c:pt idx="315">
                  <c:v>7.2583243193989357</c:v>
                </c:pt>
                <c:pt idx="316">
                  <c:v>7.2585962701234594</c:v>
                </c:pt>
                <c:pt idx="317">
                  <c:v>7.2601529777078291</c:v>
                </c:pt>
                <c:pt idx="318">
                  <c:v>7.2616245132443762</c:v>
                </c:pt>
                <c:pt idx="319">
                  <c:v>7.2636485069726584</c:v>
                </c:pt>
                <c:pt idx="320">
                  <c:v>7.2640736485353319</c:v>
                </c:pt>
                <c:pt idx="321">
                  <c:v>7.2657575224092108</c:v>
                </c:pt>
                <c:pt idx="322">
                  <c:v>7.2675908717504809</c:v>
                </c:pt>
                <c:pt idx="323">
                  <c:v>7.2689803830519875</c:v>
                </c:pt>
                <c:pt idx="324">
                  <c:v>7.2695081272700008</c:v>
                </c:pt>
                <c:pt idx="325">
                  <c:v>7.2707008347364415</c:v>
                </c:pt>
                <c:pt idx="326">
                  <c:v>7.2725097729551207</c:v>
                </c:pt>
                <c:pt idx="327">
                  <c:v>7.2745436484842472</c:v>
                </c:pt>
                <c:pt idx="328">
                  <c:v>7.2756983027500066</c:v>
                </c:pt>
                <c:pt idx="329">
                  <c:v>7.2771934399767311</c:v>
                </c:pt>
                <c:pt idx="330">
                  <c:v>7.2782043041117088</c:v>
                </c:pt>
                <c:pt idx="331">
                  <c:v>7.2791238731187065</c:v>
                </c:pt>
                <c:pt idx="332">
                  <c:v>7.2801542261607581</c:v>
                </c:pt>
                <c:pt idx="333">
                  <c:v>7.2826405036118</c:v>
                </c:pt>
                <c:pt idx="334">
                  <c:v>7.2836029058732477</c:v>
                </c:pt>
                <c:pt idx="335">
                  <c:v>7.2845627839936773</c:v>
                </c:pt>
                <c:pt idx="336">
                  <c:v>7.2856527804587872</c:v>
                </c:pt>
                <c:pt idx="337">
                  <c:v>7.2882700234409628</c:v>
                </c:pt>
                <c:pt idx="338">
                  <c:v>7.2891732973944769</c:v>
                </c:pt>
                <c:pt idx="339">
                  <c:v>7.2897880671435473</c:v>
                </c:pt>
                <c:pt idx="340">
                  <c:v>7.2918031862268231</c:v>
                </c:pt>
                <c:pt idx="341">
                  <c:v>7.2934978570531204</c:v>
                </c:pt>
                <c:pt idx="342">
                  <c:v>7.3182152443215003</c:v>
                </c:pt>
                <c:pt idx="343">
                  <c:v>7.3252739430729372</c:v>
                </c:pt>
                <c:pt idx="344">
                  <c:v>7.3367022045183194</c:v>
                </c:pt>
                <c:pt idx="345">
                  <c:v>7.3615623938551176</c:v>
                </c:pt>
                <c:pt idx="346">
                  <c:v>7.3712303205848126</c:v>
                </c:pt>
                <c:pt idx="347">
                  <c:v>7.3774587491534849</c:v>
                </c:pt>
                <c:pt idx="348">
                  <c:v>7.3953486556190073</c:v>
                </c:pt>
                <c:pt idx="349">
                  <c:v>7.4039337139089927</c:v>
                </c:pt>
                <c:pt idx="350">
                  <c:v>7.4199697309913262</c:v>
                </c:pt>
                <c:pt idx="351">
                  <c:v>7.4319949517789183</c:v>
                </c:pt>
                <c:pt idx="352">
                  <c:v>7.4492385297138046</c:v>
                </c:pt>
                <c:pt idx="353">
                  <c:v>7.4707620779059871</c:v>
                </c:pt>
                <c:pt idx="354">
                  <c:v>7.4745644745711566</c:v>
                </c:pt>
                <c:pt idx="355">
                  <c:v>7.4986754086541083</c:v>
                </c:pt>
                <c:pt idx="356">
                  <c:v>7.4998446170899138</c:v>
                </c:pt>
                <c:pt idx="357">
                  <c:v>7.5255552475915062</c:v>
                </c:pt>
                <c:pt idx="358">
                  <c:v>7.5302183023730453</c:v>
                </c:pt>
                <c:pt idx="359">
                  <c:v>7.5433070216331419</c:v>
                </c:pt>
                <c:pt idx="360">
                  <c:v>7.5617919183735172</c:v>
                </c:pt>
                <c:pt idx="361">
                  <c:v>7.5800118905051512</c:v>
                </c:pt>
                <c:pt idx="362">
                  <c:v>7.5944407009025543</c:v>
                </c:pt>
                <c:pt idx="363">
                  <c:v>7.606188596464948</c:v>
                </c:pt>
                <c:pt idx="364">
                  <c:v>7.6190168781804593</c:v>
                </c:pt>
                <c:pt idx="365">
                  <c:v>7.6265352193393792</c:v>
                </c:pt>
                <c:pt idx="366">
                  <c:v>7.643511785859241</c:v>
                </c:pt>
                <c:pt idx="367">
                  <c:v>7.6647179073142766</c:v>
                </c:pt>
                <c:pt idx="368">
                  <c:v>7.6680276400230154</c:v>
                </c:pt>
                <c:pt idx="369">
                  <c:v>7.6865639132405263</c:v>
                </c:pt>
                <c:pt idx="370">
                  <c:v>7.7003349974993975</c:v>
                </c:pt>
                <c:pt idx="371">
                  <c:v>7.7192589707486423</c:v>
                </c:pt>
                <c:pt idx="372">
                  <c:v>7.7277319588959648</c:v>
                </c:pt>
                <c:pt idx="373">
                  <c:v>7.7356943952867923</c:v>
                </c:pt>
                <c:pt idx="374">
                  <c:v>7.7536298186495243</c:v>
                </c:pt>
                <c:pt idx="375">
                  <c:v>7.7735582371393228</c:v>
                </c:pt>
                <c:pt idx="376">
                  <c:v>7.7772971113170435</c:v>
                </c:pt>
                <c:pt idx="377">
                  <c:v>7.8003649699917013</c:v>
                </c:pt>
                <c:pt idx="378">
                  <c:v>7.8084633635013576</c:v>
                </c:pt>
                <c:pt idx="379">
                  <c:v>7.8222321807469868</c:v>
                </c:pt>
                <c:pt idx="380">
                  <c:v>7.8309122771688235</c:v>
                </c:pt>
                <c:pt idx="381">
                  <c:v>7.8460997515020381</c:v>
                </c:pt>
                <c:pt idx="382">
                  <c:v>7.8635632056410589</c:v>
                </c:pt>
                <c:pt idx="383">
                  <c:v>7.8804874596562753</c:v>
                </c:pt>
                <c:pt idx="384">
                  <c:v>7.8949419177935685</c:v>
                </c:pt>
                <c:pt idx="385">
                  <c:v>7.9049234625139198</c:v>
                </c:pt>
                <c:pt idx="386">
                  <c:v>7.9189694421819947</c:v>
                </c:pt>
                <c:pt idx="387">
                  <c:v>7.9200191071235082</c:v>
                </c:pt>
                <c:pt idx="388">
                  <c:v>7.9226421631929895</c:v>
                </c:pt>
                <c:pt idx="389">
                  <c:v>7.9266000811020056</c:v>
                </c:pt>
                <c:pt idx="390">
                  <c:v>7.9284543574390138</c:v>
                </c:pt>
                <c:pt idx="391">
                  <c:v>7.9315714268713329</c:v>
                </c:pt>
                <c:pt idx="392">
                  <c:v>7.9340635032323537</c:v>
                </c:pt>
                <c:pt idx="393">
                  <c:v>7.9391198608917417</c:v>
                </c:pt>
                <c:pt idx="394">
                  <c:v>7.9415630749249182</c:v>
                </c:pt>
                <c:pt idx="395">
                  <c:v>7.9428954488029078</c:v>
                </c:pt>
                <c:pt idx="396">
                  <c:v>7.9478139429156531</c:v>
                </c:pt>
                <c:pt idx="397">
                  <c:v>7.950041712665354</c:v>
                </c:pt>
                <c:pt idx="398">
                  <c:v>7.9544121300775013</c:v>
                </c:pt>
                <c:pt idx="399">
                  <c:v>7.9567088245935063</c:v>
                </c:pt>
                <c:pt idx="400">
                  <c:v>7.9579570328169718</c:v>
                </c:pt>
                <c:pt idx="401">
                  <c:v>7.9610092232734768</c:v>
                </c:pt>
                <c:pt idx="402">
                  <c:v>7.9636515979636222</c:v>
                </c:pt>
                <c:pt idx="403">
                  <c:v>7.968576524411076</c:v>
                </c:pt>
                <c:pt idx="404">
                  <c:v>7.9701226406178973</c:v>
                </c:pt>
                <c:pt idx="405">
                  <c:v>7.9742278038556922</c:v>
                </c:pt>
                <c:pt idx="406">
                  <c:v>7.9761827109402423</c:v>
                </c:pt>
                <c:pt idx="407">
                  <c:v>7.9791455863505316</c:v>
                </c:pt>
                <c:pt idx="408">
                  <c:v>7.9832055993349504</c:v>
                </c:pt>
                <c:pt idx="409">
                  <c:v>7.9847544196476239</c:v>
                </c:pt>
                <c:pt idx="410">
                  <c:v>7.9891743500738697</c:v>
                </c:pt>
                <c:pt idx="411">
                  <c:v>7.9923905259503929</c:v>
                </c:pt>
                <c:pt idx="412">
                  <c:v>7.9939275892087807</c:v>
                </c:pt>
                <c:pt idx="413">
                  <c:v>7.9958627896699488</c:v>
                </c:pt>
                <c:pt idx="414">
                  <c:v>8.0011323403626999</c:v>
                </c:pt>
                <c:pt idx="415">
                  <c:v>8.0019271273524968</c:v>
                </c:pt>
                <c:pt idx="416">
                  <c:v>8.0044105060724675</c:v>
                </c:pt>
                <c:pt idx="417">
                  <c:v>8.0086628802729436</c:v>
                </c:pt>
                <c:pt idx="418">
                  <c:v>8.0104783890827402</c:v>
                </c:pt>
                <c:pt idx="419">
                  <c:v>8.0145227702532296</c:v>
                </c:pt>
                <c:pt idx="420">
                  <c:v>8.017465767916736</c:v>
                </c:pt>
                <c:pt idx="421">
                  <c:v>8.0187792181293513</c:v>
                </c:pt>
                <c:pt idx="422">
                  <c:v>8.0242373294776357</c:v>
                </c:pt>
                <c:pt idx="423">
                  <c:v>8.0248818724665139</c:v>
                </c:pt>
                <c:pt idx="424">
                  <c:v>8.0282807948916179</c:v>
                </c:pt>
                <c:pt idx="425">
                  <c:v>8.0308693865641807</c:v>
                </c:pt>
                <c:pt idx="426">
                  <c:v>8.0357153701366979</c:v>
                </c:pt>
                <c:pt idx="427">
                  <c:v>8.0366880462730812</c:v>
                </c:pt>
                <c:pt idx="428">
                  <c:v>8.0392914334785424</c:v>
                </c:pt>
                <c:pt idx="429">
                  <c:v>8.0433511707882648</c:v>
                </c:pt>
                <c:pt idx="430">
                  <c:v>8.0476191618671589</c:v>
                </c:pt>
                <c:pt idx="431">
                  <c:v>8.0971350653980796</c:v>
                </c:pt>
                <c:pt idx="432">
                  <c:v>8.330039767657416</c:v>
                </c:pt>
                <c:pt idx="433">
                  <c:v>8.6080991234608426</c:v>
                </c:pt>
                <c:pt idx="434">
                  <c:v>8.836693539801491</c:v>
                </c:pt>
                <c:pt idx="435">
                  <c:v>9.0192854532008599</c:v>
                </c:pt>
                <c:pt idx="436">
                  <c:v>9.273280958159317</c:v>
                </c:pt>
                <c:pt idx="437">
                  <c:v>9.6613316540001453</c:v>
                </c:pt>
                <c:pt idx="438">
                  <c:v>9.8442132005973662</c:v>
                </c:pt>
                <c:pt idx="439">
                  <c:v>10.120667482539931</c:v>
                </c:pt>
                <c:pt idx="440">
                  <c:v>10.366492163278952</c:v>
                </c:pt>
                <c:pt idx="441">
                  <c:v>10.530102371432795</c:v>
                </c:pt>
                <c:pt idx="442">
                  <c:v>10.728545893797648</c:v>
                </c:pt>
                <c:pt idx="443">
                  <c:v>11.095547231073223</c:v>
                </c:pt>
                <c:pt idx="444">
                  <c:v>11.233067809456241</c:v>
                </c:pt>
                <c:pt idx="445">
                  <c:v>11.547169783979506</c:v>
                </c:pt>
                <c:pt idx="446">
                  <c:v>11.791625763253982</c:v>
                </c:pt>
                <c:pt idx="447">
                  <c:v>12.095183413595784</c:v>
                </c:pt>
                <c:pt idx="448">
                  <c:v>12.313504834077841</c:v>
                </c:pt>
                <c:pt idx="449">
                  <c:v>12.708667236494117</c:v>
                </c:pt>
                <c:pt idx="450">
                  <c:v>12.831968901665832</c:v>
                </c:pt>
                <c:pt idx="451">
                  <c:v>13.145956732498401</c:v>
                </c:pt>
                <c:pt idx="452">
                  <c:v>13.500865854056553</c:v>
                </c:pt>
                <c:pt idx="453">
                  <c:v>13.795625774900547</c:v>
                </c:pt>
                <c:pt idx="454">
                  <c:v>13.931492173308321</c:v>
                </c:pt>
                <c:pt idx="455">
                  <c:v>14.266877334879153</c:v>
                </c:pt>
                <c:pt idx="456">
                  <c:v>14.568699817566479</c:v>
                </c:pt>
                <c:pt idx="457">
                  <c:v>14.784959221523954</c:v>
                </c:pt>
                <c:pt idx="458">
                  <c:v>14.930562085462313</c:v>
                </c:pt>
                <c:pt idx="459">
                  <c:v>15.34345453168164</c:v>
                </c:pt>
                <c:pt idx="460">
                  <c:v>15.399931121863133</c:v>
                </c:pt>
                <c:pt idx="461">
                  <c:v>15.399933379086193</c:v>
                </c:pt>
                <c:pt idx="462">
                  <c:v>15.399934368382727</c:v>
                </c:pt>
                <c:pt idx="463">
                  <c:v>15.399936961691431</c:v>
                </c:pt>
                <c:pt idx="464">
                  <c:v>15.399938533854264</c:v>
                </c:pt>
                <c:pt idx="465">
                  <c:v>15.39993919849532</c:v>
                </c:pt>
                <c:pt idx="466">
                  <c:v>15.399941285470771</c:v>
                </c:pt>
                <c:pt idx="467">
                  <c:v>15.399942887046731</c:v>
                </c:pt>
                <c:pt idx="468">
                  <c:v>15.399945675519497</c:v>
                </c:pt>
                <c:pt idx="469">
                  <c:v>15.399947360368277</c:v>
                </c:pt>
                <c:pt idx="470">
                  <c:v>15.399947604812628</c:v>
                </c:pt>
                <c:pt idx="471">
                  <c:v>15.399949328526828</c:v>
                </c:pt>
                <c:pt idx="472">
                  <c:v>15.399952168492701</c:v>
                </c:pt>
                <c:pt idx="473">
                  <c:v>15.399952881989611</c:v>
                </c:pt>
                <c:pt idx="474">
                  <c:v>15.39995476225744</c:v>
                </c:pt>
                <c:pt idx="475">
                  <c:v>15.39995732802824</c:v>
                </c:pt>
                <c:pt idx="476">
                  <c:v>15.399959447581187</c:v>
                </c:pt>
                <c:pt idx="477">
                  <c:v>15.399961121715343</c:v>
                </c:pt>
                <c:pt idx="478">
                  <c:v>15.399961941438992</c:v>
                </c:pt>
                <c:pt idx="479">
                  <c:v>15.399964071954933</c:v>
                </c:pt>
                <c:pt idx="480">
                  <c:v>15.3999656799995</c:v>
                </c:pt>
                <c:pt idx="481">
                  <c:v>15.399967340587132</c:v>
                </c:pt>
                <c:pt idx="482">
                  <c:v>15.399969231915501</c:v>
                </c:pt>
                <c:pt idx="483">
                  <c:v>15.399970410898518</c:v>
                </c:pt>
                <c:pt idx="484">
                  <c:v>15.399972316095123</c:v>
                </c:pt>
                <c:pt idx="485">
                  <c:v>15.399975219467141</c:v>
                </c:pt>
                <c:pt idx="486">
                  <c:v>15.399976549457888</c:v>
                </c:pt>
                <c:pt idx="487">
                  <c:v>15.399978310825004</c:v>
                </c:pt>
                <c:pt idx="488">
                  <c:v>15.399980391904162</c:v>
                </c:pt>
                <c:pt idx="489">
                  <c:v>15.399981778517017</c:v>
                </c:pt>
                <c:pt idx="490">
                  <c:v>15.399984106725331</c:v>
                </c:pt>
                <c:pt idx="491">
                  <c:v>15.399984815379904</c:v>
                </c:pt>
                <c:pt idx="492">
                  <c:v>15.399986950049385</c:v>
                </c:pt>
                <c:pt idx="493">
                  <c:v>15.399989266871014</c:v>
                </c:pt>
                <c:pt idx="494">
                  <c:v>15.399990962986411</c:v>
                </c:pt>
                <c:pt idx="495">
                  <c:v>15.399992069180641</c:v>
                </c:pt>
                <c:pt idx="496">
                  <c:v>15.399993843264104</c:v>
                </c:pt>
                <c:pt idx="497">
                  <c:v>15.399995875848211</c:v>
                </c:pt>
                <c:pt idx="498">
                  <c:v>15.399997394858355</c:v>
                </c:pt>
                <c:pt idx="499">
                  <c:v>15.399999269651822</c:v>
                </c:pt>
              </c:numCache>
            </c:numRef>
          </c:xVal>
          <c:yVal>
            <c:numRef>
              <c:f>'SimData1 and 2'!$K$10:$K$509</c:f>
              <c:numCache>
                <c:formatCode>General</c:formatCode>
                <c:ptCount val="500"/>
                <c:pt idx="0">
                  <c:v>0</c:v>
                </c:pt>
                <c:pt idx="1">
                  <c:v>2.004008016032064E-3</c:v>
                </c:pt>
                <c:pt idx="2">
                  <c:v>4.0080160320641279E-3</c:v>
                </c:pt>
                <c:pt idx="3">
                  <c:v>6.0120240480961915E-3</c:v>
                </c:pt>
                <c:pt idx="4">
                  <c:v>8.0160320641282558E-3</c:v>
                </c:pt>
                <c:pt idx="5">
                  <c:v>1.002004008016032E-2</c:v>
                </c:pt>
                <c:pt idx="6">
                  <c:v>1.2024048096192385E-2</c:v>
                </c:pt>
                <c:pt idx="7">
                  <c:v>1.4028056112224449E-2</c:v>
                </c:pt>
                <c:pt idx="8">
                  <c:v>1.6032064128256512E-2</c:v>
                </c:pt>
                <c:pt idx="9">
                  <c:v>1.8036072144288574E-2</c:v>
                </c:pt>
                <c:pt idx="10">
                  <c:v>2.0040080160320637E-2</c:v>
                </c:pt>
                <c:pt idx="11">
                  <c:v>2.20440881763527E-2</c:v>
                </c:pt>
                <c:pt idx="12">
                  <c:v>2.4048096192384762E-2</c:v>
                </c:pt>
                <c:pt idx="13">
                  <c:v>2.6052104208416825E-2</c:v>
                </c:pt>
                <c:pt idx="14">
                  <c:v>2.8056112224448888E-2</c:v>
                </c:pt>
                <c:pt idx="15">
                  <c:v>3.006012024048095E-2</c:v>
                </c:pt>
                <c:pt idx="16">
                  <c:v>3.2064128256513016E-2</c:v>
                </c:pt>
                <c:pt idx="17">
                  <c:v>3.4068136272545083E-2</c:v>
                </c:pt>
                <c:pt idx="18">
                  <c:v>3.6072144288577149E-2</c:v>
                </c:pt>
                <c:pt idx="19">
                  <c:v>3.8076152304609215E-2</c:v>
                </c:pt>
                <c:pt idx="20">
                  <c:v>4.0080160320641281E-2</c:v>
                </c:pt>
                <c:pt idx="21">
                  <c:v>4.2084168336673347E-2</c:v>
                </c:pt>
                <c:pt idx="22">
                  <c:v>4.4088176352705413E-2</c:v>
                </c:pt>
                <c:pt idx="23">
                  <c:v>4.6092184368737479E-2</c:v>
                </c:pt>
                <c:pt idx="24">
                  <c:v>4.8096192384769546E-2</c:v>
                </c:pt>
                <c:pt idx="25">
                  <c:v>5.0100200400801612E-2</c:v>
                </c:pt>
                <c:pt idx="26">
                  <c:v>5.2104208416833678E-2</c:v>
                </c:pt>
                <c:pt idx="27">
                  <c:v>5.4108216432865744E-2</c:v>
                </c:pt>
                <c:pt idx="28">
                  <c:v>5.611222444889781E-2</c:v>
                </c:pt>
                <c:pt idx="29">
                  <c:v>5.8116232464929876E-2</c:v>
                </c:pt>
                <c:pt idx="30">
                  <c:v>6.0120240480961942E-2</c:v>
                </c:pt>
                <c:pt idx="31">
                  <c:v>6.2124248496994008E-2</c:v>
                </c:pt>
                <c:pt idx="32">
                  <c:v>6.4128256513026075E-2</c:v>
                </c:pt>
                <c:pt idx="33">
                  <c:v>6.6132264529058141E-2</c:v>
                </c:pt>
                <c:pt idx="34">
                  <c:v>6.8136272545090207E-2</c:v>
                </c:pt>
                <c:pt idx="35">
                  <c:v>7.0140280561122273E-2</c:v>
                </c:pt>
                <c:pt idx="36">
                  <c:v>7.2144288577154339E-2</c:v>
                </c:pt>
                <c:pt idx="37">
                  <c:v>7.4148296593186405E-2</c:v>
                </c:pt>
                <c:pt idx="38">
                  <c:v>7.6152304609218471E-2</c:v>
                </c:pt>
                <c:pt idx="39">
                  <c:v>7.8156312625250537E-2</c:v>
                </c:pt>
                <c:pt idx="40">
                  <c:v>8.0160320641282604E-2</c:v>
                </c:pt>
                <c:pt idx="41">
                  <c:v>8.216432865731467E-2</c:v>
                </c:pt>
                <c:pt idx="42">
                  <c:v>8.4168336673346736E-2</c:v>
                </c:pt>
                <c:pt idx="43">
                  <c:v>8.6172344689378802E-2</c:v>
                </c:pt>
                <c:pt idx="44">
                  <c:v>8.8176352705410868E-2</c:v>
                </c:pt>
                <c:pt idx="45">
                  <c:v>9.0180360721442934E-2</c:v>
                </c:pt>
                <c:pt idx="46">
                  <c:v>9.2184368737475E-2</c:v>
                </c:pt>
                <c:pt idx="47">
                  <c:v>9.4188376753507067E-2</c:v>
                </c:pt>
                <c:pt idx="48">
                  <c:v>9.6192384769539133E-2</c:v>
                </c:pt>
                <c:pt idx="49">
                  <c:v>9.8196392785571199E-2</c:v>
                </c:pt>
                <c:pt idx="50">
                  <c:v>0.10020040080160326</c:v>
                </c:pt>
                <c:pt idx="51">
                  <c:v>0.10220440881763533</c:v>
                </c:pt>
                <c:pt idx="52">
                  <c:v>0.1042084168336674</c:v>
                </c:pt>
                <c:pt idx="53">
                  <c:v>0.10621242484969946</c:v>
                </c:pt>
                <c:pt idx="54">
                  <c:v>0.10821643286573153</c:v>
                </c:pt>
                <c:pt idx="55">
                  <c:v>0.1102204408817636</c:v>
                </c:pt>
                <c:pt idx="56">
                  <c:v>0.11222444889779566</c:v>
                </c:pt>
                <c:pt idx="57">
                  <c:v>0.11422845691382773</c:v>
                </c:pt>
                <c:pt idx="58">
                  <c:v>0.11623246492985979</c:v>
                </c:pt>
                <c:pt idx="59">
                  <c:v>0.11823647294589186</c:v>
                </c:pt>
                <c:pt idx="60">
                  <c:v>0.12024048096192393</c:v>
                </c:pt>
                <c:pt idx="61">
                  <c:v>0.12224448897795599</c:v>
                </c:pt>
                <c:pt idx="62">
                  <c:v>0.12424849699398806</c:v>
                </c:pt>
                <c:pt idx="63">
                  <c:v>0.12625250501002011</c:v>
                </c:pt>
                <c:pt idx="64">
                  <c:v>0.12825651302605218</c:v>
                </c:pt>
                <c:pt idx="65">
                  <c:v>0.13026052104208424</c:v>
                </c:pt>
                <c:pt idx="66">
                  <c:v>0.13226452905811631</c:v>
                </c:pt>
                <c:pt idx="67">
                  <c:v>0.13426853707414838</c:v>
                </c:pt>
                <c:pt idx="68">
                  <c:v>0.13627254509018044</c:v>
                </c:pt>
                <c:pt idx="69">
                  <c:v>0.13827655310621251</c:v>
                </c:pt>
                <c:pt idx="70">
                  <c:v>0.14028056112224457</c:v>
                </c:pt>
                <c:pt idx="71">
                  <c:v>0.14228456913827664</c:v>
                </c:pt>
                <c:pt idx="72">
                  <c:v>0.14428857715430871</c:v>
                </c:pt>
                <c:pt idx="73">
                  <c:v>0.14629258517034077</c:v>
                </c:pt>
                <c:pt idx="74">
                  <c:v>0.14829659318637284</c:v>
                </c:pt>
                <c:pt idx="75">
                  <c:v>0.1503006012024049</c:v>
                </c:pt>
                <c:pt idx="76">
                  <c:v>0.15230460921843697</c:v>
                </c:pt>
                <c:pt idx="77">
                  <c:v>0.15430861723446904</c:v>
                </c:pt>
                <c:pt idx="78">
                  <c:v>0.1563126252505011</c:v>
                </c:pt>
                <c:pt idx="79">
                  <c:v>0.15831663326653317</c:v>
                </c:pt>
                <c:pt idx="80">
                  <c:v>0.16032064128256523</c:v>
                </c:pt>
                <c:pt idx="81">
                  <c:v>0.1623246492985973</c:v>
                </c:pt>
                <c:pt idx="82">
                  <c:v>0.16432865731462937</c:v>
                </c:pt>
                <c:pt idx="83">
                  <c:v>0.16633266533066143</c:v>
                </c:pt>
                <c:pt idx="84">
                  <c:v>0.1683366733466935</c:v>
                </c:pt>
                <c:pt idx="85">
                  <c:v>0.17034068136272557</c:v>
                </c:pt>
                <c:pt idx="86">
                  <c:v>0.17234468937875763</c:v>
                </c:pt>
                <c:pt idx="87">
                  <c:v>0.1743486973947897</c:v>
                </c:pt>
                <c:pt idx="88">
                  <c:v>0.17635270541082176</c:v>
                </c:pt>
                <c:pt idx="89">
                  <c:v>0.17835671342685383</c:v>
                </c:pt>
                <c:pt idx="90">
                  <c:v>0.1803607214428859</c:v>
                </c:pt>
                <c:pt idx="91">
                  <c:v>0.18236472945891796</c:v>
                </c:pt>
                <c:pt idx="92">
                  <c:v>0.18436873747495003</c:v>
                </c:pt>
                <c:pt idx="93">
                  <c:v>0.18637274549098209</c:v>
                </c:pt>
                <c:pt idx="94">
                  <c:v>0.18837675350701416</c:v>
                </c:pt>
                <c:pt idx="95">
                  <c:v>0.19038076152304623</c:v>
                </c:pt>
                <c:pt idx="96">
                  <c:v>0.19238476953907829</c:v>
                </c:pt>
                <c:pt idx="97">
                  <c:v>0.19438877755511036</c:v>
                </c:pt>
                <c:pt idx="98">
                  <c:v>0.19639278557114243</c:v>
                </c:pt>
                <c:pt idx="99">
                  <c:v>0.19839679358717449</c:v>
                </c:pt>
                <c:pt idx="100">
                  <c:v>0.20040080160320656</c:v>
                </c:pt>
                <c:pt idx="101">
                  <c:v>0.20240480961923862</c:v>
                </c:pt>
                <c:pt idx="102">
                  <c:v>0.20440881763527069</c:v>
                </c:pt>
                <c:pt idx="103">
                  <c:v>0.20641282565130276</c:v>
                </c:pt>
                <c:pt idx="104">
                  <c:v>0.20841683366733482</c:v>
                </c:pt>
                <c:pt idx="105">
                  <c:v>0.21042084168336689</c:v>
                </c:pt>
                <c:pt idx="106">
                  <c:v>0.21242484969939895</c:v>
                </c:pt>
                <c:pt idx="107">
                  <c:v>0.21442885771543102</c:v>
                </c:pt>
                <c:pt idx="108">
                  <c:v>0.21643286573146309</c:v>
                </c:pt>
                <c:pt idx="109">
                  <c:v>0.21843687374749515</c:v>
                </c:pt>
                <c:pt idx="110">
                  <c:v>0.22044088176352722</c:v>
                </c:pt>
                <c:pt idx="111">
                  <c:v>0.22244488977955928</c:v>
                </c:pt>
                <c:pt idx="112">
                  <c:v>0.22444889779559135</c:v>
                </c:pt>
                <c:pt idx="113">
                  <c:v>0.22645290581162342</c:v>
                </c:pt>
                <c:pt idx="114">
                  <c:v>0.22845691382765548</c:v>
                </c:pt>
                <c:pt idx="115">
                  <c:v>0.23046092184368755</c:v>
                </c:pt>
                <c:pt idx="116">
                  <c:v>0.23246492985971962</c:v>
                </c:pt>
                <c:pt idx="117">
                  <c:v>0.23446893787575168</c:v>
                </c:pt>
                <c:pt idx="118">
                  <c:v>0.23647294589178375</c:v>
                </c:pt>
                <c:pt idx="119">
                  <c:v>0.23847695390781581</c:v>
                </c:pt>
                <c:pt idx="120">
                  <c:v>0.24048096192384788</c:v>
                </c:pt>
                <c:pt idx="121">
                  <c:v>0.24248496993987995</c:v>
                </c:pt>
                <c:pt idx="122">
                  <c:v>0.24448897795591201</c:v>
                </c:pt>
                <c:pt idx="123">
                  <c:v>0.24649298597194408</c:v>
                </c:pt>
                <c:pt idx="124">
                  <c:v>0.24849699398797614</c:v>
                </c:pt>
                <c:pt idx="125">
                  <c:v>0.25050100200400821</c:v>
                </c:pt>
                <c:pt idx="126">
                  <c:v>0.25250501002004028</c:v>
                </c:pt>
                <c:pt idx="127">
                  <c:v>0.25450901803607234</c:v>
                </c:pt>
                <c:pt idx="128">
                  <c:v>0.25651302605210441</c:v>
                </c:pt>
                <c:pt idx="129">
                  <c:v>0.25851703406813648</c:v>
                </c:pt>
                <c:pt idx="130">
                  <c:v>0.26052104208416854</c:v>
                </c:pt>
                <c:pt idx="131">
                  <c:v>0.26252505010020061</c:v>
                </c:pt>
                <c:pt idx="132">
                  <c:v>0.26452905811623267</c:v>
                </c:pt>
                <c:pt idx="133">
                  <c:v>0.26653306613226474</c:v>
                </c:pt>
                <c:pt idx="134">
                  <c:v>0.26853707414829681</c:v>
                </c:pt>
                <c:pt idx="135">
                  <c:v>0.27054108216432887</c:v>
                </c:pt>
                <c:pt idx="136">
                  <c:v>0.27254509018036094</c:v>
                </c:pt>
                <c:pt idx="137">
                  <c:v>0.274549098196393</c:v>
                </c:pt>
                <c:pt idx="138">
                  <c:v>0.27655310621242507</c:v>
                </c:pt>
                <c:pt idx="139">
                  <c:v>0.27855711422845714</c:v>
                </c:pt>
                <c:pt idx="140">
                  <c:v>0.2805611222444892</c:v>
                </c:pt>
                <c:pt idx="141">
                  <c:v>0.28256513026052127</c:v>
                </c:pt>
                <c:pt idx="142">
                  <c:v>0.28456913827655334</c:v>
                </c:pt>
                <c:pt idx="143">
                  <c:v>0.2865731462925854</c:v>
                </c:pt>
                <c:pt idx="144">
                  <c:v>0.28857715430861747</c:v>
                </c:pt>
                <c:pt idx="145">
                  <c:v>0.29058116232464953</c:v>
                </c:pt>
                <c:pt idx="146">
                  <c:v>0.2925851703406816</c:v>
                </c:pt>
                <c:pt idx="147">
                  <c:v>0.29458917835671367</c:v>
                </c:pt>
                <c:pt idx="148">
                  <c:v>0.29659318637274573</c:v>
                </c:pt>
                <c:pt idx="149">
                  <c:v>0.2985971943887778</c:v>
                </c:pt>
                <c:pt idx="150">
                  <c:v>0.30060120240480986</c:v>
                </c:pt>
                <c:pt idx="151">
                  <c:v>0.30260521042084193</c:v>
                </c:pt>
                <c:pt idx="152">
                  <c:v>0.304609218436874</c:v>
                </c:pt>
                <c:pt idx="153">
                  <c:v>0.30661322645290606</c:v>
                </c:pt>
                <c:pt idx="154">
                  <c:v>0.30861723446893813</c:v>
                </c:pt>
                <c:pt idx="155">
                  <c:v>0.31062124248497019</c:v>
                </c:pt>
                <c:pt idx="156">
                  <c:v>0.31262525050100226</c:v>
                </c:pt>
                <c:pt idx="157">
                  <c:v>0.31462925851703433</c:v>
                </c:pt>
                <c:pt idx="158">
                  <c:v>0.31663326653306639</c:v>
                </c:pt>
                <c:pt idx="159">
                  <c:v>0.31863727454909846</c:v>
                </c:pt>
                <c:pt idx="160">
                  <c:v>0.32064128256513053</c:v>
                </c:pt>
                <c:pt idx="161">
                  <c:v>0.32264529058116259</c:v>
                </c:pt>
                <c:pt idx="162">
                  <c:v>0.32464929859719466</c:v>
                </c:pt>
                <c:pt idx="163">
                  <c:v>0.32665330661322672</c:v>
                </c:pt>
                <c:pt idx="164">
                  <c:v>0.32865731462925879</c:v>
                </c:pt>
                <c:pt idx="165">
                  <c:v>0.33066132264529086</c:v>
                </c:pt>
                <c:pt idx="166">
                  <c:v>0.33266533066132292</c:v>
                </c:pt>
                <c:pt idx="167">
                  <c:v>0.33466933867735499</c:v>
                </c:pt>
                <c:pt idx="168">
                  <c:v>0.33667334669338705</c:v>
                </c:pt>
                <c:pt idx="169">
                  <c:v>0.33867735470941912</c:v>
                </c:pt>
                <c:pt idx="170">
                  <c:v>0.34068136272545119</c:v>
                </c:pt>
                <c:pt idx="171">
                  <c:v>0.34268537074148325</c:v>
                </c:pt>
                <c:pt idx="172">
                  <c:v>0.34468937875751532</c:v>
                </c:pt>
                <c:pt idx="173">
                  <c:v>0.34669338677354739</c:v>
                </c:pt>
                <c:pt idx="174">
                  <c:v>0.34869739478957945</c:v>
                </c:pt>
                <c:pt idx="175">
                  <c:v>0.35070140280561152</c:v>
                </c:pt>
                <c:pt idx="176">
                  <c:v>0.35270541082164358</c:v>
                </c:pt>
                <c:pt idx="177">
                  <c:v>0.35470941883767565</c:v>
                </c:pt>
                <c:pt idx="178">
                  <c:v>0.35671342685370772</c:v>
                </c:pt>
                <c:pt idx="179">
                  <c:v>0.35871743486973978</c:v>
                </c:pt>
                <c:pt idx="180">
                  <c:v>0.36072144288577185</c:v>
                </c:pt>
                <c:pt idx="181">
                  <c:v>0.36272545090180391</c:v>
                </c:pt>
                <c:pt idx="182">
                  <c:v>0.36472945891783598</c:v>
                </c:pt>
                <c:pt idx="183">
                  <c:v>0.36673346693386805</c:v>
                </c:pt>
                <c:pt idx="184">
                  <c:v>0.36873747494990011</c:v>
                </c:pt>
                <c:pt idx="185">
                  <c:v>0.37074148296593218</c:v>
                </c:pt>
                <c:pt idx="186">
                  <c:v>0.37274549098196424</c:v>
                </c:pt>
                <c:pt idx="187">
                  <c:v>0.37474949899799631</c:v>
                </c:pt>
                <c:pt idx="188">
                  <c:v>0.37675350701402838</c:v>
                </c:pt>
                <c:pt idx="189">
                  <c:v>0.37875751503006044</c:v>
                </c:pt>
                <c:pt idx="190">
                  <c:v>0.38076152304609251</c:v>
                </c:pt>
                <c:pt idx="191">
                  <c:v>0.38276553106212458</c:v>
                </c:pt>
                <c:pt idx="192">
                  <c:v>0.38476953907815664</c:v>
                </c:pt>
                <c:pt idx="193">
                  <c:v>0.38677354709418871</c:v>
                </c:pt>
                <c:pt idx="194">
                  <c:v>0.38877755511022077</c:v>
                </c:pt>
                <c:pt idx="195">
                  <c:v>0.39078156312625284</c:v>
                </c:pt>
                <c:pt idx="196">
                  <c:v>0.39278557114228491</c:v>
                </c:pt>
                <c:pt idx="197">
                  <c:v>0.39478957915831697</c:v>
                </c:pt>
                <c:pt idx="198">
                  <c:v>0.39679358717434904</c:v>
                </c:pt>
                <c:pt idx="199">
                  <c:v>0.3987975951903811</c:v>
                </c:pt>
                <c:pt idx="200">
                  <c:v>0.40080160320641317</c:v>
                </c:pt>
                <c:pt idx="201">
                  <c:v>0.40280561122244524</c:v>
                </c:pt>
                <c:pt idx="202">
                  <c:v>0.4048096192384773</c:v>
                </c:pt>
                <c:pt idx="203">
                  <c:v>0.40681362725450937</c:v>
                </c:pt>
                <c:pt idx="204">
                  <c:v>0.40881763527054144</c:v>
                </c:pt>
                <c:pt idx="205">
                  <c:v>0.4108216432865735</c:v>
                </c:pt>
                <c:pt idx="206">
                  <c:v>0.41282565130260557</c:v>
                </c:pt>
                <c:pt idx="207">
                  <c:v>0.41482965931863763</c:v>
                </c:pt>
                <c:pt idx="208">
                  <c:v>0.4168336673346697</c:v>
                </c:pt>
                <c:pt idx="209">
                  <c:v>0.41883767535070177</c:v>
                </c:pt>
                <c:pt idx="210">
                  <c:v>0.42084168336673383</c:v>
                </c:pt>
                <c:pt idx="211">
                  <c:v>0.4228456913827659</c:v>
                </c:pt>
                <c:pt idx="212">
                  <c:v>0.42484969939879796</c:v>
                </c:pt>
                <c:pt idx="213">
                  <c:v>0.42685370741483003</c:v>
                </c:pt>
                <c:pt idx="214">
                  <c:v>0.4288577154308621</c:v>
                </c:pt>
                <c:pt idx="215">
                  <c:v>0.43086172344689416</c:v>
                </c:pt>
                <c:pt idx="216">
                  <c:v>0.43286573146292623</c:v>
                </c:pt>
                <c:pt idx="217">
                  <c:v>0.43486973947895829</c:v>
                </c:pt>
                <c:pt idx="218">
                  <c:v>0.43687374749499036</c:v>
                </c:pt>
                <c:pt idx="219">
                  <c:v>0.43887775551102243</c:v>
                </c:pt>
                <c:pt idx="220">
                  <c:v>0.44088176352705449</c:v>
                </c:pt>
                <c:pt idx="221">
                  <c:v>0.44288577154308656</c:v>
                </c:pt>
                <c:pt idx="222">
                  <c:v>0.44488977955911863</c:v>
                </c:pt>
                <c:pt idx="223">
                  <c:v>0.44689378757515069</c:v>
                </c:pt>
                <c:pt idx="224">
                  <c:v>0.44889779559118276</c:v>
                </c:pt>
                <c:pt idx="225">
                  <c:v>0.45090180360721482</c:v>
                </c:pt>
                <c:pt idx="226">
                  <c:v>0.45290581162324689</c:v>
                </c:pt>
                <c:pt idx="227">
                  <c:v>0.45490981963927896</c:v>
                </c:pt>
                <c:pt idx="228">
                  <c:v>0.45691382765531102</c:v>
                </c:pt>
                <c:pt idx="229">
                  <c:v>0.45891783567134309</c:v>
                </c:pt>
                <c:pt idx="230">
                  <c:v>0.46092184368737515</c:v>
                </c:pt>
                <c:pt idx="231">
                  <c:v>0.46292585170340722</c:v>
                </c:pt>
                <c:pt idx="232">
                  <c:v>0.46492985971943929</c:v>
                </c:pt>
                <c:pt idx="233">
                  <c:v>0.46693386773547135</c:v>
                </c:pt>
                <c:pt idx="234">
                  <c:v>0.46893787575150342</c:v>
                </c:pt>
                <c:pt idx="235">
                  <c:v>0.47094188376753549</c:v>
                </c:pt>
                <c:pt idx="236">
                  <c:v>0.47294589178356755</c:v>
                </c:pt>
                <c:pt idx="237">
                  <c:v>0.47494989979959962</c:v>
                </c:pt>
                <c:pt idx="238">
                  <c:v>0.47695390781563168</c:v>
                </c:pt>
                <c:pt idx="239">
                  <c:v>0.47895791583166375</c:v>
                </c:pt>
                <c:pt idx="240">
                  <c:v>0.48096192384769582</c:v>
                </c:pt>
                <c:pt idx="241">
                  <c:v>0.48296593186372788</c:v>
                </c:pt>
                <c:pt idx="242">
                  <c:v>0.48496993987975995</c:v>
                </c:pt>
                <c:pt idx="243">
                  <c:v>0.48697394789579201</c:v>
                </c:pt>
                <c:pt idx="244">
                  <c:v>0.48897795591182408</c:v>
                </c:pt>
                <c:pt idx="245">
                  <c:v>0.49098196392785615</c:v>
                </c:pt>
                <c:pt idx="246">
                  <c:v>0.49298597194388821</c:v>
                </c:pt>
                <c:pt idx="247">
                  <c:v>0.49498997995992028</c:v>
                </c:pt>
                <c:pt idx="248">
                  <c:v>0.49699398797595234</c:v>
                </c:pt>
                <c:pt idx="249">
                  <c:v>0.49899799599198441</c:v>
                </c:pt>
                <c:pt idx="250">
                  <c:v>0.50100200400801642</c:v>
                </c:pt>
                <c:pt idx="251">
                  <c:v>0.50300601202404849</c:v>
                </c:pt>
                <c:pt idx="252">
                  <c:v>0.50501002004008055</c:v>
                </c:pt>
                <c:pt idx="253">
                  <c:v>0.50701402805611262</c:v>
                </c:pt>
                <c:pt idx="254">
                  <c:v>0.50901803607214469</c:v>
                </c:pt>
                <c:pt idx="255">
                  <c:v>0.51102204408817675</c:v>
                </c:pt>
                <c:pt idx="256">
                  <c:v>0.51302605210420882</c:v>
                </c:pt>
                <c:pt idx="257">
                  <c:v>0.51503006012024088</c:v>
                </c:pt>
                <c:pt idx="258">
                  <c:v>0.51703406813627295</c:v>
                </c:pt>
                <c:pt idx="259">
                  <c:v>0.51903807615230502</c:v>
                </c:pt>
                <c:pt idx="260">
                  <c:v>0.52104208416833708</c:v>
                </c:pt>
                <c:pt idx="261">
                  <c:v>0.52304609218436915</c:v>
                </c:pt>
                <c:pt idx="262">
                  <c:v>0.52505010020040122</c:v>
                </c:pt>
                <c:pt idx="263">
                  <c:v>0.52705410821643328</c:v>
                </c:pt>
                <c:pt idx="264">
                  <c:v>0.52905811623246535</c:v>
                </c:pt>
                <c:pt idx="265">
                  <c:v>0.53106212424849741</c:v>
                </c:pt>
                <c:pt idx="266">
                  <c:v>0.53306613226452948</c:v>
                </c:pt>
                <c:pt idx="267">
                  <c:v>0.53507014028056155</c:v>
                </c:pt>
                <c:pt idx="268">
                  <c:v>0.53707414829659361</c:v>
                </c:pt>
                <c:pt idx="269">
                  <c:v>0.53907815631262568</c:v>
                </c:pt>
                <c:pt idx="270">
                  <c:v>0.54108216432865774</c:v>
                </c:pt>
                <c:pt idx="271">
                  <c:v>0.54308617234468981</c:v>
                </c:pt>
                <c:pt idx="272">
                  <c:v>0.54509018036072188</c:v>
                </c:pt>
                <c:pt idx="273">
                  <c:v>0.54709418837675394</c:v>
                </c:pt>
                <c:pt idx="274">
                  <c:v>0.54909819639278601</c:v>
                </c:pt>
                <c:pt idx="275">
                  <c:v>0.55110220440881807</c:v>
                </c:pt>
                <c:pt idx="276">
                  <c:v>0.55310621242485014</c:v>
                </c:pt>
                <c:pt idx="277">
                  <c:v>0.55511022044088221</c:v>
                </c:pt>
                <c:pt idx="278">
                  <c:v>0.55711422845691427</c:v>
                </c:pt>
                <c:pt idx="279">
                  <c:v>0.55911823647294634</c:v>
                </c:pt>
                <c:pt idx="280">
                  <c:v>0.56112224448897841</c:v>
                </c:pt>
                <c:pt idx="281">
                  <c:v>0.56312625250501047</c:v>
                </c:pt>
                <c:pt idx="282">
                  <c:v>0.56513026052104254</c:v>
                </c:pt>
                <c:pt idx="283">
                  <c:v>0.5671342685370746</c:v>
                </c:pt>
                <c:pt idx="284">
                  <c:v>0.56913827655310667</c:v>
                </c:pt>
                <c:pt idx="285">
                  <c:v>0.57114228456913874</c:v>
                </c:pt>
                <c:pt idx="286">
                  <c:v>0.5731462925851708</c:v>
                </c:pt>
                <c:pt idx="287">
                  <c:v>0.57515030060120287</c:v>
                </c:pt>
                <c:pt idx="288">
                  <c:v>0.57715430861723493</c:v>
                </c:pt>
                <c:pt idx="289">
                  <c:v>0.579158316633267</c:v>
                </c:pt>
                <c:pt idx="290">
                  <c:v>0.58116232464929907</c:v>
                </c:pt>
                <c:pt idx="291">
                  <c:v>0.58316633266533113</c:v>
                </c:pt>
                <c:pt idx="292">
                  <c:v>0.5851703406813632</c:v>
                </c:pt>
                <c:pt idx="293">
                  <c:v>0.58717434869739527</c:v>
                </c:pt>
                <c:pt idx="294">
                  <c:v>0.58917835671342733</c:v>
                </c:pt>
                <c:pt idx="295">
                  <c:v>0.5911823647294594</c:v>
                </c:pt>
                <c:pt idx="296">
                  <c:v>0.59318637274549146</c:v>
                </c:pt>
                <c:pt idx="297">
                  <c:v>0.59519038076152353</c:v>
                </c:pt>
                <c:pt idx="298">
                  <c:v>0.5971943887775556</c:v>
                </c:pt>
                <c:pt idx="299">
                  <c:v>0.59919839679358766</c:v>
                </c:pt>
                <c:pt idx="300">
                  <c:v>0.60120240480961973</c:v>
                </c:pt>
                <c:pt idx="301">
                  <c:v>0.60320641282565179</c:v>
                </c:pt>
                <c:pt idx="302">
                  <c:v>0.60521042084168386</c:v>
                </c:pt>
                <c:pt idx="303">
                  <c:v>0.60721442885771593</c:v>
                </c:pt>
                <c:pt idx="304">
                  <c:v>0.60921843687374799</c:v>
                </c:pt>
                <c:pt idx="305">
                  <c:v>0.61122244488978006</c:v>
                </c:pt>
                <c:pt idx="306">
                  <c:v>0.61322645290581212</c:v>
                </c:pt>
                <c:pt idx="307">
                  <c:v>0.61523046092184419</c:v>
                </c:pt>
                <c:pt idx="308">
                  <c:v>0.61723446893787626</c:v>
                </c:pt>
                <c:pt idx="309">
                  <c:v>0.61923847695390832</c:v>
                </c:pt>
                <c:pt idx="310">
                  <c:v>0.62124248496994039</c:v>
                </c:pt>
                <c:pt idx="311">
                  <c:v>0.62324649298597246</c:v>
                </c:pt>
                <c:pt idx="312">
                  <c:v>0.62525050100200452</c:v>
                </c:pt>
                <c:pt idx="313">
                  <c:v>0.62725450901803659</c:v>
                </c:pt>
                <c:pt idx="314">
                  <c:v>0.62925851703406865</c:v>
                </c:pt>
                <c:pt idx="315">
                  <c:v>0.63126252505010072</c:v>
                </c:pt>
                <c:pt idx="316">
                  <c:v>0.63326653306613279</c:v>
                </c:pt>
                <c:pt idx="317">
                  <c:v>0.63527054108216485</c:v>
                </c:pt>
                <c:pt idx="318">
                  <c:v>0.63727454909819692</c:v>
                </c:pt>
                <c:pt idx="319">
                  <c:v>0.63927855711422898</c:v>
                </c:pt>
                <c:pt idx="320">
                  <c:v>0.64128256513026105</c:v>
                </c:pt>
                <c:pt idx="321">
                  <c:v>0.64328657314629312</c:v>
                </c:pt>
                <c:pt idx="322">
                  <c:v>0.64529058116232518</c:v>
                </c:pt>
                <c:pt idx="323">
                  <c:v>0.64729458917835725</c:v>
                </c:pt>
                <c:pt idx="324">
                  <c:v>0.64929859719438932</c:v>
                </c:pt>
                <c:pt idx="325">
                  <c:v>0.65130260521042138</c:v>
                </c:pt>
                <c:pt idx="326">
                  <c:v>0.65330661322645345</c:v>
                </c:pt>
                <c:pt idx="327">
                  <c:v>0.65531062124248551</c:v>
                </c:pt>
                <c:pt idx="328">
                  <c:v>0.65731462925851758</c:v>
                </c:pt>
                <c:pt idx="329">
                  <c:v>0.65931863727454965</c:v>
                </c:pt>
                <c:pt idx="330">
                  <c:v>0.66132264529058171</c:v>
                </c:pt>
                <c:pt idx="331">
                  <c:v>0.66332665330661378</c:v>
                </c:pt>
                <c:pt idx="332">
                  <c:v>0.66533066132264584</c:v>
                </c:pt>
                <c:pt idx="333">
                  <c:v>0.66733466933867791</c:v>
                </c:pt>
                <c:pt idx="334">
                  <c:v>0.66933867735470998</c:v>
                </c:pt>
                <c:pt idx="335">
                  <c:v>0.67134268537074204</c:v>
                </c:pt>
                <c:pt idx="336">
                  <c:v>0.67334669338677411</c:v>
                </c:pt>
                <c:pt idx="337">
                  <c:v>0.67535070140280618</c:v>
                </c:pt>
                <c:pt idx="338">
                  <c:v>0.67735470941883824</c:v>
                </c:pt>
                <c:pt idx="339">
                  <c:v>0.67935871743487031</c:v>
                </c:pt>
                <c:pt idx="340">
                  <c:v>0.68136272545090237</c:v>
                </c:pt>
                <c:pt idx="341">
                  <c:v>0.68336673346693444</c:v>
                </c:pt>
                <c:pt idx="342">
                  <c:v>0.68537074148296651</c:v>
                </c:pt>
                <c:pt idx="343">
                  <c:v>0.68737474949899857</c:v>
                </c:pt>
                <c:pt idx="344">
                  <c:v>0.68937875751503064</c:v>
                </c:pt>
                <c:pt idx="345">
                  <c:v>0.6913827655310627</c:v>
                </c:pt>
                <c:pt idx="346">
                  <c:v>0.69338677354709477</c:v>
                </c:pt>
                <c:pt idx="347">
                  <c:v>0.69539078156312684</c:v>
                </c:pt>
                <c:pt idx="348">
                  <c:v>0.6973947895791589</c:v>
                </c:pt>
                <c:pt idx="349">
                  <c:v>0.69939879759519097</c:v>
                </c:pt>
                <c:pt idx="350">
                  <c:v>0.70140280561122303</c:v>
                </c:pt>
                <c:pt idx="351">
                  <c:v>0.7034068136272551</c:v>
                </c:pt>
                <c:pt idx="352">
                  <c:v>0.70541082164328717</c:v>
                </c:pt>
                <c:pt idx="353">
                  <c:v>0.70741482965931923</c:v>
                </c:pt>
                <c:pt idx="354">
                  <c:v>0.7094188376753513</c:v>
                </c:pt>
                <c:pt idx="355">
                  <c:v>0.71142284569138337</c:v>
                </c:pt>
                <c:pt idx="356">
                  <c:v>0.71342685370741543</c:v>
                </c:pt>
                <c:pt idx="357">
                  <c:v>0.7154308617234475</c:v>
                </c:pt>
                <c:pt idx="358">
                  <c:v>0.71743486973947956</c:v>
                </c:pt>
                <c:pt idx="359">
                  <c:v>0.71943887775551163</c:v>
                </c:pt>
                <c:pt idx="360">
                  <c:v>0.7214428857715437</c:v>
                </c:pt>
                <c:pt idx="361">
                  <c:v>0.72344689378757576</c:v>
                </c:pt>
                <c:pt idx="362">
                  <c:v>0.72545090180360783</c:v>
                </c:pt>
                <c:pt idx="363">
                  <c:v>0.72745490981963989</c:v>
                </c:pt>
                <c:pt idx="364">
                  <c:v>0.72945891783567196</c:v>
                </c:pt>
                <c:pt idx="365">
                  <c:v>0.73146292585170403</c:v>
                </c:pt>
                <c:pt idx="366">
                  <c:v>0.73346693386773609</c:v>
                </c:pt>
                <c:pt idx="367">
                  <c:v>0.73547094188376816</c:v>
                </c:pt>
                <c:pt idx="368">
                  <c:v>0.73747494989980023</c:v>
                </c:pt>
                <c:pt idx="369">
                  <c:v>0.73947895791583229</c:v>
                </c:pt>
                <c:pt idx="370">
                  <c:v>0.74148296593186436</c:v>
                </c:pt>
                <c:pt idx="371">
                  <c:v>0.74348697394789642</c:v>
                </c:pt>
                <c:pt idx="372">
                  <c:v>0.74549098196392849</c:v>
                </c:pt>
                <c:pt idx="373">
                  <c:v>0.74749498997996056</c:v>
                </c:pt>
                <c:pt idx="374">
                  <c:v>0.74949899799599262</c:v>
                </c:pt>
                <c:pt idx="375">
                  <c:v>0.75150300601202469</c:v>
                </c:pt>
                <c:pt idx="376">
                  <c:v>0.75350701402805675</c:v>
                </c:pt>
                <c:pt idx="377">
                  <c:v>0.75551102204408882</c:v>
                </c:pt>
                <c:pt idx="378">
                  <c:v>0.75751503006012089</c:v>
                </c:pt>
                <c:pt idx="379">
                  <c:v>0.75951903807615295</c:v>
                </c:pt>
                <c:pt idx="380">
                  <c:v>0.76152304609218502</c:v>
                </c:pt>
                <c:pt idx="381">
                  <c:v>0.76352705410821708</c:v>
                </c:pt>
                <c:pt idx="382">
                  <c:v>0.76553106212424915</c:v>
                </c:pt>
                <c:pt idx="383">
                  <c:v>0.76753507014028122</c:v>
                </c:pt>
                <c:pt idx="384">
                  <c:v>0.76953907815631328</c:v>
                </c:pt>
                <c:pt idx="385">
                  <c:v>0.77154308617234535</c:v>
                </c:pt>
                <c:pt idx="386">
                  <c:v>0.77354709418837742</c:v>
                </c:pt>
                <c:pt idx="387">
                  <c:v>0.77555110220440948</c:v>
                </c:pt>
                <c:pt idx="388">
                  <c:v>0.77755511022044155</c:v>
                </c:pt>
                <c:pt idx="389">
                  <c:v>0.77955911823647361</c:v>
                </c:pt>
                <c:pt idx="390">
                  <c:v>0.78156312625250568</c:v>
                </c:pt>
                <c:pt idx="391">
                  <c:v>0.78356713426853775</c:v>
                </c:pt>
                <c:pt idx="392">
                  <c:v>0.78557114228456981</c:v>
                </c:pt>
                <c:pt idx="393">
                  <c:v>0.78757515030060188</c:v>
                </c:pt>
                <c:pt idx="394">
                  <c:v>0.78957915831663394</c:v>
                </c:pt>
                <c:pt idx="395">
                  <c:v>0.79158316633266601</c:v>
                </c:pt>
                <c:pt idx="396">
                  <c:v>0.79358717434869808</c:v>
                </c:pt>
                <c:pt idx="397">
                  <c:v>0.79559118236473014</c:v>
                </c:pt>
                <c:pt idx="398">
                  <c:v>0.79759519038076221</c:v>
                </c:pt>
                <c:pt idx="399">
                  <c:v>0.79959919839679428</c:v>
                </c:pt>
                <c:pt idx="400">
                  <c:v>0.80160320641282634</c:v>
                </c:pt>
                <c:pt idx="401">
                  <c:v>0.80360721442885841</c:v>
                </c:pt>
                <c:pt idx="402">
                  <c:v>0.80561122244489047</c:v>
                </c:pt>
                <c:pt idx="403">
                  <c:v>0.80761523046092254</c:v>
                </c:pt>
                <c:pt idx="404">
                  <c:v>0.80961923847695461</c:v>
                </c:pt>
                <c:pt idx="405">
                  <c:v>0.81162324649298667</c:v>
                </c:pt>
                <c:pt idx="406">
                  <c:v>0.81362725450901874</c:v>
                </c:pt>
                <c:pt idx="407">
                  <c:v>0.8156312625250508</c:v>
                </c:pt>
                <c:pt idx="408">
                  <c:v>0.81763527054108287</c:v>
                </c:pt>
                <c:pt idx="409">
                  <c:v>0.81963927855711494</c:v>
                </c:pt>
                <c:pt idx="410">
                  <c:v>0.821643286573147</c:v>
                </c:pt>
                <c:pt idx="411">
                  <c:v>0.82364729458917907</c:v>
                </c:pt>
                <c:pt idx="412">
                  <c:v>0.82565130260521113</c:v>
                </c:pt>
                <c:pt idx="413">
                  <c:v>0.8276553106212432</c:v>
                </c:pt>
                <c:pt idx="414">
                  <c:v>0.82965931863727527</c:v>
                </c:pt>
                <c:pt idx="415">
                  <c:v>0.83166332665330733</c:v>
                </c:pt>
                <c:pt idx="416">
                  <c:v>0.8336673346693394</c:v>
                </c:pt>
                <c:pt idx="417">
                  <c:v>0.83567134268537147</c:v>
                </c:pt>
                <c:pt idx="418">
                  <c:v>0.83767535070140353</c:v>
                </c:pt>
                <c:pt idx="419">
                  <c:v>0.8396793587174356</c:v>
                </c:pt>
                <c:pt idx="420">
                  <c:v>0.84168336673346766</c:v>
                </c:pt>
                <c:pt idx="421">
                  <c:v>0.84368737474949973</c:v>
                </c:pt>
                <c:pt idx="422">
                  <c:v>0.8456913827655318</c:v>
                </c:pt>
                <c:pt idx="423">
                  <c:v>0.84769539078156386</c:v>
                </c:pt>
                <c:pt idx="424">
                  <c:v>0.84969939879759593</c:v>
                </c:pt>
                <c:pt idx="425">
                  <c:v>0.85170340681362799</c:v>
                </c:pt>
                <c:pt idx="426">
                  <c:v>0.85370741482966006</c:v>
                </c:pt>
                <c:pt idx="427">
                  <c:v>0.85571142284569213</c:v>
                </c:pt>
                <c:pt idx="428">
                  <c:v>0.85771543086172419</c:v>
                </c:pt>
                <c:pt idx="429">
                  <c:v>0.85971943887775626</c:v>
                </c:pt>
                <c:pt idx="430">
                  <c:v>0.86172344689378833</c:v>
                </c:pt>
                <c:pt idx="431">
                  <c:v>0.86372745490982039</c:v>
                </c:pt>
                <c:pt idx="432">
                  <c:v>0.86573146292585246</c:v>
                </c:pt>
                <c:pt idx="433">
                  <c:v>0.86773547094188452</c:v>
                </c:pt>
                <c:pt idx="434">
                  <c:v>0.86973947895791659</c:v>
                </c:pt>
                <c:pt idx="435">
                  <c:v>0.87174348697394866</c:v>
                </c:pt>
                <c:pt idx="436">
                  <c:v>0.87374749498998072</c:v>
                </c:pt>
                <c:pt idx="437">
                  <c:v>0.87575150300601279</c:v>
                </c:pt>
                <c:pt idx="438">
                  <c:v>0.87775551102204485</c:v>
                </c:pt>
                <c:pt idx="439">
                  <c:v>0.87975951903807692</c:v>
                </c:pt>
                <c:pt idx="440">
                  <c:v>0.88176352705410899</c:v>
                </c:pt>
                <c:pt idx="441">
                  <c:v>0.88376753507014105</c:v>
                </c:pt>
                <c:pt idx="442">
                  <c:v>0.88577154308617312</c:v>
                </c:pt>
                <c:pt idx="443">
                  <c:v>0.88777555110220518</c:v>
                </c:pt>
                <c:pt idx="444">
                  <c:v>0.88977955911823725</c:v>
                </c:pt>
                <c:pt idx="445">
                  <c:v>0.89178356713426932</c:v>
                </c:pt>
                <c:pt idx="446">
                  <c:v>0.89378757515030138</c:v>
                </c:pt>
                <c:pt idx="447">
                  <c:v>0.89579158316633345</c:v>
                </c:pt>
                <c:pt idx="448">
                  <c:v>0.89779559118236552</c:v>
                </c:pt>
                <c:pt idx="449">
                  <c:v>0.89979959919839758</c:v>
                </c:pt>
                <c:pt idx="450">
                  <c:v>0.90180360721442965</c:v>
                </c:pt>
                <c:pt idx="451">
                  <c:v>0.90380761523046171</c:v>
                </c:pt>
                <c:pt idx="452">
                  <c:v>0.90581162324649378</c:v>
                </c:pt>
                <c:pt idx="453">
                  <c:v>0.90781563126252585</c:v>
                </c:pt>
                <c:pt idx="454">
                  <c:v>0.90981963927855791</c:v>
                </c:pt>
                <c:pt idx="455">
                  <c:v>0.91182364729458998</c:v>
                </c:pt>
                <c:pt idx="456">
                  <c:v>0.91382765531062204</c:v>
                </c:pt>
                <c:pt idx="457">
                  <c:v>0.91583166332665411</c:v>
                </c:pt>
                <c:pt idx="458">
                  <c:v>0.91783567134268618</c:v>
                </c:pt>
                <c:pt idx="459">
                  <c:v>0.91983967935871824</c:v>
                </c:pt>
                <c:pt idx="460">
                  <c:v>0.92184368737475031</c:v>
                </c:pt>
                <c:pt idx="461">
                  <c:v>0.92384769539078238</c:v>
                </c:pt>
                <c:pt idx="462">
                  <c:v>0.92585170340681444</c:v>
                </c:pt>
                <c:pt idx="463">
                  <c:v>0.92785571142284651</c:v>
                </c:pt>
                <c:pt idx="464">
                  <c:v>0.92985971943887857</c:v>
                </c:pt>
                <c:pt idx="465">
                  <c:v>0.93186372745491064</c:v>
                </c:pt>
                <c:pt idx="466">
                  <c:v>0.93386773547094271</c:v>
                </c:pt>
                <c:pt idx="467">
                  <c:v>0.93587174348697477</c:v>
                </c:pt>
                <c:pt idx="468">
                  <c:v>0.93787575150300684</c:v>
                </c:pt>
                <c:pt idx="469">
                  <c:v>0.9398797595190389</c:v>
                </c:pt>
                <c:pt idx="470">
                  <c:v>0.94188376753507097</c:v>
                </c:pt>
                <c:pt idx="471">
                  <c:v>0.94388777555110304</c:v>
                </c:pt>
                <c:pt idx="472">
                  <c:v>0.9458917835671351</c:v>
                </c:pt>
                <c:pt idx="473">
                  <c:v>0.94789579158316717</c:v>
                </c:pt>
                <c:pt idx="474">
                  <c:v>0.94989979959919923</c:v>
                </c:pt>
                <c:pt idx="475">
                  <c:v>0.9519038076152313</c:v>
                </c:pt>
                <c:pt idx="476">
                  <c:v>0.95390781563126337</c:v>
                </c:pt>
                <c:pt idx="477">
                  <c:v>0.95591182364729543</c:v>
                </c:pt>
                <c:pt idx="478">
                  <c:v>0.9579158316633275</c:v>
                </c:pt>
                <c:pt idx="479">
                  <c:v>0.95991983967935957</c:v>
                </c:pt>
                <c:pt idx="480">
                  <c:v>0.96192384769539163</c:v>
                </c:pt>
                <c:pt idx="481">
                  <c:v>0.9639278557114237</c:v>
                </c:pt>
                <c:pt idx="482">
                  <c:v>0.96593186372745576</c:v>
                </c:pt>
                <c:pt idx="483">
                  <c:v>0.96793587174348783</c:v>
                </c:pt>
                <c:pt idx="484">
                  <c:v>0.9699398797595199</c:v>
                </c:pt>
                <c:pt idx="485">
                  <c:v>0.97194388777555196</c:v>
                </c:pt>
                <c:pt idx="486">
                  <c:v>0.97394789579158403</c:v>
                </c:pt>
                <c:pt idx="487">
                  <c:v>0.97595190380761609</c:v>
                </c:pt>
                <c:pt idx="488">
                  <c:v>0.97795591182364816</c:v>
                </c:pt>
                <c:pt idx="489">
                  <c:v>0.97995991983968023</c:v>
                </c:pt>
                <c:pt idx="490">
                  <c:v>0.98196392785571229</c:v>
                </c:pt>
                <c:pt idx="491">
                  <c:v>0.98396793587174436</c:v>
                </c:pt>
                <c:pt idx="492">
                  <c:v>0.98597194388777643</c:v>
                </c:pt>
                <c:pt idx="493">
                  <c:v>0.98797595190380849</c:v>
                </c:pt>
                <c:pt idx="494">
                  <c:v>0.98997995991984056</c:v>
                </c:pt>
                <c:pt idx="495">
                  <c:v>0.99198396793587262</c:v>
                </c:pt>
                <c:pt idx="496">
                  <c:v>0.99398797595190469</c:v>
                </c:pt>
                <c:pt idx="497">
                  <c:v>0.99599198396793676</c:v>
                </c:pt>
                <c:pt idx="498">
                  <c:v>0.99799599198396882</c:v>
                </c:pt>
                <c:pt idx="499">
                  <c:v>1.0000000000000009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3E3-4D99-AA5A-F96FE06F4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82688"/>
        <c:axId val="162884224"/>
      </c:scatterChart>
      <c:valAx>
        <c:axId val="162882688"/>
        <c:scaling>
          <c:orientation val="minMax"/>
          <c:max val="16"/>
          <c:min val="3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884224"/>
        <c:crosses val="autoZero"/>
        <c:crossBetween val="midCat"/>
      </c:valAx>
      <c:valAx>
        <c:axId val="162884224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Prob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88268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0</xdr:row>
      <xdr:rowOff>142875</xdr:rowOff>
    </xdr:from>
    <xdr:to>
      <xdr:col>12</xdr:col>
      <xdr:colOff>304800</xdr:colOff>
      <xdr:row>21</xdr:row>
      <xdr:rowOff>28575</xdr:rowOff>
    </xdr:to>
    <xdr:graphicFrame macro="">
      <xdr:nvGraphicFramePr>
        <xdr:cNvPr id="40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topLeftCell="A46" workbookViewId="0">
      <selection activeCell="J46" sqref="J46"/>
    </sheetView>
  </sheetViews>
  <sheetFormatPr defaultRowHeight="12.75" x14ac:dyDescent="0.2"/>
  <cols>
    <col min="1" max="1" width="11.28515625" customWidth="1"/>
  </cols>
  <sheetData>
    <row r="1" spans="1:17" x14ac:dyDescent="0.2">
      <c r="A1" s="3" t="str">
        <f>_xll.WBNAME()</f>
        <v>L_16_Uncertainty_EmpDist.xlsx</v>
      </c>
    </row>
    <row r="2" spans="1:17" x14ac:dyDescent="0.2">
      <c r="E2" s="7" t="s">
        <v>15</v>
      </c>
      <c r="N2" s="7" t="s">
        <v>16</v>
      </c>
    </row>
    <row r="3" spans="1:17" x14ac:dyDescent="0.2">
      <c r="A3" s="3" t="s">
        <v>0</v>
      </c>
      <c r="B3" s="3" t="s">
        <v>1</v>
      </c>
      <c r="C3" s="3" t="s">
        <v>2</v>
      </c>
      <c r="D3" s="3" t="s">
        <v>3</v>
      </c>
    </row>
    <row r="4" spans="1:17" x14ac:dyDescent="0.2">
      <c r="A4" s="3">
        <v>1</v>
      </c>
      <c r="B4" s="3">
        <v>2.7810000000000001</v>
      </c>
      <c r="C4" s="4">
        <v>5730.5645451276496</v>
      </c>
      <c r="D4" s="5">
        <v>7.35</v>
      </c>
      <c r="E4" t="s">
        <v>14</v>
      </c>
      <c r="N4" t="s">
        <v>14</v>
      </c>
    </row>
    <row r="5" spans="1:17" x14ac:dyDescent="0.2">
      <c r="A5" s="3">
        <v>2</v>
      </c>
      <c r="B5" s="3">
        <v>3.1320000000000001</v>
      </c>
      <c r="C5" s="4">
        <v>5736.2068965517201</v>
      </c>
      <c r="D5" s="5">
        <v>6.7</v>
      </c>
      <c r="E5" t="s">
        <v>8</v>
      </c>
      <c r="N5" t="s">
        <v>8</v>
      </c>
    </row>
    <row r="6" spans="1:17" x14ac:dyDescent="0.2">
      <c r="A6" s="3">
        <v>3</v>
      </c>
      <c r="B6" s="3">
        <v>2.8330000000000002</v>
      </c>
      <c r="C6" s="4">
        <v>5510.4129897635003</v>
      </c>
      <c r="D6" s="5">
        <v>7.58</v>
      </c>
      <c r="E6" s="6" t="s">
        <v>4</v>
      </c>
      <c r="F6" s="6" t="str">
        <f>Sheet1!$B$3</f>
        <v>Harvested</v>
      </c>
      <c r="G6" s="6" t="str">
        <f>Sheet1!$C$3</f>
        <v>Yield t</v>
      </c>
      <c r="H6" s="6" t="str">
        <f>Sheet1!$D$3</f>
        <v xml:space="preserve">Price </v>
      </c>
      <c r="N6" s="6" t="s">
        <v>4</v>
      </c>
      <c r="O6" s="6" t="str">
        <f>Sheet1!$B$3</f>
        <v>Harvested</v>
      </c>
      <c r="P6" s="6" t="str">
        <f>Sheet1!$C$3</f>
        <v>Yield t</v>
      </c>
      <c r="Q6" s="6" t="str">
        <f>Sheet1!$D$3</f>
        <v xml:space="preserve">Price </v>
      </c>
    </row>
    <row r="7" spans="1:17" x14ac:dyDescent="0.2">
      <c r="A7" s="3">
        <v>4</v>
      </c>
      <c r="B7" s="3">
        <v>3.3159999999999998</v>
      </c>
      <c r="C7" s="4">
        <v>5964.3848009650201</v>
      </c>
      <c r="D7" s="5">
        <v>6.5</v>
      </c>
      <c r="E7">
        <v>1</v>
      </c>
      <c r="F7">
        <f>Sheet1!B$4-(F$20+$E$7*F$19)</f>
        <v>-0.14320454545454586</v>
      </c>
      <c r="G7">
        <f>Sheet1!C$4-(G$20+$E$7*G$19)</f>
        <v>77.545327981035371</v>
      </c>
      <c r="H7">
        <f>Sheet1!D$4-(H$20+$E$7*H$19)</f>
        <v>0.294545454545454</v>
      </c>
      <c r="N7">
        <v>1</v>
      </c>
      <c r="O7">
        <f>Sheet1!B$4-(O$20+$N$7*O$19)</f>
        <v>-0.14320454545454586</v>
      </c>
      <c r="P7">
        <f>Sheet1!C$4-(P$20+$N$7*P$19)</f>
        <v>77.545327981035371</v>
      </c>
      <c r="Q7">
        <f>Sheet1!D$4-(Q$20+$N$7*Q$19)</f>
        <v>0.294545454545454</v>
      </c>
    </row>
    <row r="8" spans="1:17" x14ac:dyDescent="0.2">
      <c r="A8" s="3">
        <v>5</v>
      </c>
      <c r="B8" s="3">
        <v>3.093</v>
      </c>
      <c r="C8" s="4">
        <v>5621.4354995150297</v>
      </c>
      <c r="D8" s="5">
        <v>7.98</v>
      </c>
      <c r="E8">
        <v>2</v>
      </c>
      <c r="F8">
        <f>Sheet1!B$5-(F$20+$E$8*F$19)</f>
        <v>0.17220909090909053</v>
      </c>
      <c r="G8">
        <f>Sheet1!C$5-(G$20+$E$8*G$19)</f>
        <v>42.18112405078773</v>
      </c>
      <c r="H8">
        <f>Sheet1!D$5-(H$20+$E$8*H$19)</f>
        <v>-0.52781818181818174</v>
      </c>
      <c r="N8">
        <v>2</v>
      </c>
      <c r="O8">
        <f>Sheet1!B$5-(O$20+$N$8*O$19)</f>
        <v>0.17220909090909053</v>
      </c>
      <c r="P8">
        <f>Sheet1!C$5-(P$20+$N$8*P$19)</f>
        <v>42.18112405078773</v>
      </c>
      <c r="Q8">
        <f>Sheet1!D$5-(Q$20+$N$8*Q$19)</f>
        <v>-0.52781818181818174</v>
      </c>
    </row>
    <row r="9" spans="1:17" x14ac:dyDescent="0.2">
      <c r="A9" s="3">
        <v>6</v>
      </c>
      <c r="B9" s="3">
        <v>2.8039999999999998</v>
      </c>
      <c r="C9" s="4">
        <v>6119.7931526390903</v>
      </c>
      <c r="D9" s="5">
        <v>6.78</v>
      </c>
      <c r="E9">
        <v>3</v>
      </c>
      <c r="F9">
        <f>Sheet1!B$6-(F$20+$E$9*F$19)</f>
        <v>-0.16237727272727298</v>
      </c>
      <c r="G9">
        <f>Sheet1!C$6-(G$20+$E$9*G$19)</f>
        <v>-224.61933809175025</v>
      </c>
      <c r="H9">
        <f>Sheet1!D$6-(H$20+$E$9*H$19)</f>
        <v>0.17981818181818099</v>
      </c>
      <c r="N9">
        <v>3</v>
      </c>
      <c r="O9">
        <f>Sheet1!B$6-(O$20+$N$9*O$19)</f>
        <v>-0.16237727272727298</v>
      </c>
      <c r="P9">
        <f>Sheet1!C$6-(P$20+$N$9*P$19)</f>
        <v>-224.61933809175025</v>
      </c>
      <c r="Q9">
        <f>Sheet1!D$6-(Q$20+$N$9*Q$19)</f>
        <v>0.17981818181818099</v>
      </c>
    </row>
    <row r="10" spans="1:17" x14ac:dyDescent="0.2">
      <c r="A10" s="3">
        <v>7</v>
      </c>
      <c r="B10" s="3">
        <v>3.1030000000000002</v>
      </c>
      <c r="C10" s="4">
        <v>5897.2607154366697</v>
      </c>
      <c r="D10" s="5">
        <v>9.15</v>
      </c>
      <c r="E10">
        <v>4</v>
      </c>
      <c r="F10">
        <f>Sheet1!B$7-(F$20+$E$10*F$19)</f>
        <v>0.28503636363636309</v>
      </c>
      <c r="G10">
        <f>Sheet1!C$7-(G$20+$E$10*G$19)</f>
        <v>188.34591775545232</v>
      </c>
      <c r="H10">
        <f>Sheet1!D$7-(H$20+$E$10*H$19)</f>
        <v>-1.0725454545454554</v>
      </c>
      <c r="N10">
        <v>4</v>
      </c>
      <c r="O10">
        <f>Sheet1!B$7-(O$20+$N$10*O$19)</f>
        <v>0.28503636363636309</v>
      </c>
      <c r="P10">
        <f>Sheet1!C$7-(P$20+$N$10*P$19)</f>
        <v>188.34591775545232</v>
      </c>
      <c r="Q10">
        <f>Sheet1!D$7-(Q$20+$N$10*Q$19)</f>
        <v>-1.0725454545454554</v>
      </c>
    </row>
    <row r="11" spans="1:17" x14ac:dyDescent="0.2">
      <c r="A11" s="3">
        <v>8</v>
      </c>
      <c r="B11" s="3">
        <v>3.2570000000000001</v>
      </c>
      <c r="C11" s="4">
        <v>5662.97206017808</v>
      </c>
      <c r="D11" s="5">
        <v>9.9600000000000009</v>
      </c>
      <c r="E11">
        <v>5</v>
      </c>
      <c r="F11">
        <f>Sheet1!B$8-(F$20+$E$11*F$19)</f>
        <v>2.644999999999964E-2</v>
      </c>
      <c r="G11">
        <f>Sheet1!C$8-(G$20+$E$11*G$19)</f>
        <v>-195.60993904885618</v>
      </c>
      <c r="H11">
        <f>Sheet1!D$8-(H$20+$E$11*H$19)</f>
        <v>0.2350909090909088</v>
      </c>
      <c r="N11">
        <v>5</v>
      </c>
      <c r="O11">
        <f>Sheet1!B$8-(O$20+$N$11*O$19)</f>
        <v>2.644999999999964E-2</v>
      </c>
      <c r="P11">
        <f>Sheet1!C$8-(P$20+$N$11*P$19)</f>
        <v>-195.60993904885618</v>
      </c>
      <c r="Q11">
        <f>Sheet1!D$8-(Q$20+$N$11*Q$19)</f>
        <v>0.2350909090909088</v>
      </c>
    </row>
    <row r="12" spans="1:17" x14ac:dyDescent="0.2">
      <c r="A12" s="3">
        <v>9</v>
      </c>
      <c r="B12" s="3">
        <v>3.512</v>
      </c>
      <c r="C12" s="4">
        <v>5866.3724373576297</v>
      </c>
      <c r="D12" s="5">
        <v>9.6999999999999993</v>
      </c>
      <c r="E12">
        <v>6</v>
      </c>
      <c r="F12">
        <f>Sheet1!B$9-(F$20+$E$12*F$19)</f>
        <v>-0.29813636363636453</v>
      </c>
      <c r="G12">
        <f>Sheet1!C$9-(G$20+$E$12*G$19)</f>
        <v>261.74115872088623</v>
      </c>
      <c r="H12">
        <f>Sheet1!D$9-(H$20+$E$12*H$19)</f>
        <v>-1.1372727272727277</v>
      </c>
      <c r="N12">
        <v>6</v>
      </c>
      <c r="O12">
        <f>Sheet1!B$9-(O$20+$N$12*O$19)</f>
        <v>-0.29813636363636453</v>
      </c>
      <c r="P12">
        <f>Sheet1!C$9-(P$20+$N$12*P$19)</f>
        <v>261.74115872088623</v>
      </c>
      <c r="Q12">
        <f>Sheet1!D$9-(Q$20+$N$12*Q$19)</f>
        <v>-1.1372727272727277</v>
      </c>
    </row>
    <row r="13" spans="1:17" x14ac:dyDescent="0.2">
      <c r="A13" s="3">
        <v>10</v>
      </c>
      <c r="B13" s="3">
        <v>3.044</v>
      </c>
      <c r="C13" s="4">
        <v>6278.3508541392903</v>
      </c>
      <c r="D13" s="5">
        <v>8.89</v>
      </c>
      <c r="E13">
        <v>7</v>
      </c>
      <c r="F13">
        <f>Sheet1!B$10-(F$20+$E$13*F$19)</f>
        <v>-3.4722727272727738E-2</v>
      </c>
      <c r="G13">
        <f>Sheet1!C$10-(G$20+$E$13*G$19)</f>
        <v>-1.7978338358525434</v>
      </c>
      <c r="H13">
        <f>Sheet1!D$10-(H$20+$E$13*H$19)</f>
        <v>1.0603636363636362</v>
      </c>
      <c r="N13">
        <v>7</v>
      </c>
      <c r="O13">
        <f>Sheet1!B$10-(O$20+$N$13*O$19)</f>
        <v>-3.4722727272727738E-2</v>
      </c>
      <c r="P13">
        <f>Sheet1!C$10-(P$20+$N$13*P$19)</f>
        <v>-1.7978338358525434</v>
      </c>
      <c r="Q13">
        <f>Sheet1!D$10-(Q$20+$N$13*Q$19)</f>
        <v>1.0603636363636362</v>
      </c>
    </row>
    <row r="14" spans="1:17" x14ac:dyDescent="0.2">
      <c r="A14" s="3">
        <v>11</v>
      </c>
      <c r="B14" s="3">
        <v>3.2484999999999999</v>
      </c>
      <c r="C14" s="4">
        <v>6050.8179814265604</v>
      </c>
      <c r="D14" s="5">
        <v>6.5</v>
      </c>
      <c r="E14">
        <v>8</v>
      </c>
      <c r="F14">
        <f>Sheet1!B$11-(F$20+$E$14*F$19)</f>
        <v>8.3690909090908594E-2</v>
      </c>
      <c r="G14">
        <f>Sheet1!C$11-(G$20+$E$14*G$19)</f>
        <v>-277.09304444876034</v>
      </c>
      <c r="H14">
        <f>Sheet1!D$11-(H$20+$E$14*H$19)</f>
        <v>1.6980000000000004</v>
      </c>
      <c r="N14">
        <v>8</v>
      </c>
      <c r="O14">
        <f>Sheet1!B$11-(O$20+$N$14*O$19)</f>
        <v>8.3690909090908594E-2</v>
      </c>
      <c r="P14">
        <f>Sheet1!C$11-(P$20+$N$14*P$19)</f>
        <v>-277.09304444876034</v>
      </c>
      <c r="Q14">
        <f>Sheet1!D$11-(Q$20+$N$14*Q$19)</f>
        <v>1.6980000000000004</v>
      </c>
    </row>
    <row r="15" spans="1:17" x14ac:dyDescent="0.2">
      <c r="E15">
        <v>9</v>
      </c>
      <c r="F15">
        <f>Sheet1!B$12-(F$20+$E$15*F$19)</f>
        <v>0.3031045454545449</v>
      </c>
      <c r="G15">
        <f>Sheet1!C$12-(G$20+$E$15*G$19)</f>
        <v>-114.69922262352884</v>
      </c>
      <c r="H15">
        <f>Sheet1!D$12-(H$20+$E$15*H$19)</f>
        <v>1.2656363636363626</v>
      </c>
      <c r="N15">
        <v>9</v>
      </c>
      <c r="O15">
        <f>Sheet1!B$12-(O$20+$N$15*O$19)</f>
        <v>0.3031045454545449</v>
      </c>
      <c r="P15">
        <f>Sheet1!C$12-(P$20+$N$15*P$19)</f>
        <v>-114.69922262352884</v>
      </c>
      <c r="Q15">
        <f>Sheet1!D$12-(Q$20+$N$15*Q$19)</f>
        <v>1.2656363636363626</v>
      </c>
    </row>
    <row r="16" spans="1:17" x14ac:dyDescent="0.2">
      <c r="E16">
        <v>10</v>
      </c>
      <c r="F16">
        <f>Sheet1!B$13-(F$20+$E$16*F$19)</f>
        <v>-0.20048181818181865</v>
      </c>
      <c r="G16">
        <f>Sheet1!C$13-(G$20+$E$16*G$19)</f>
        <v>256.27263880381361</v>
      </c>
      <c r="H16">
        <f>Sheet1!D$13-(H$20+$E$16*H$19)</f>
        <v>0.28327272727272756</v>
      </c>
      <c r="N16">
        <v>10</v>
      </c>
      <c r="O16">
        <f>Sheet1!B$13-(O$20+$N$16*O$19)</f>
        <v>-0.20048181818181865</v>
      </c>
      <c r="P16">
        <f>Sheet1!C$13-(P$20+$N$16*P$19)</f>
        <v>256.27263880381361</v>
      </c>
      <c r="Q16">
        <f>Sheet1!D$13-(Q$20+$N$16*Q$19)</f>
        <v>0.28327272727272756</v>
      </c>
    </row>
    <row r="17" spans="5:17" x14ac:dyDescent="0.2">
      <c r="E17" s="6">
        <v>11</v>
      </c>
      <c r="F17" s="6">
        <f>Sheet1!B$14-(F$20+$E$17*F$19)</f>
        <v>-3.1568181818182328E-2</v>
      </c>
      <c r="G17" s="6">
        <f>Sheet1!C$14-(G$20+$E$17*G$19)</f>
        <v>-12.266789263234386</v>
      </c>
      <c r="H17" s="6">
        <f>Sheet1!D$14-(H$20+$E$17*H$19)</f>
        <v>-2.2790909090909093</v>
      </c>
      <c r="N17" s="6">
        <v>11</v>
      </c>
      <c r="O17" s="6">
        <f>Sheet1!B$14-(O$20+$N$17*O$19)</f>
        <v>-3.1568181818182328E-2</v>
      </c>
      <c r="P17" s="6">
        <f>Sheet1!C$14-(P$20+$N$17*P$19)</f>
        <v>-12.266789263234386</v>
      </c>
      <c r="Q17" s="6">
        <f>Sheet1!D$14-(Q$20+$N$17*Q$19)</f>
        <v>-2.2790909090909093</v>
      </c>
    </row>
    <row r="18" spans="5:17" x14ac:dyDescent="0.2">
      <c r="E18" t="s">
        <v>5</v>
      </c>
      <c r="F18">
        <f>AVERAGE(Sheet1!B$4:B$14)</f>
        <v>3.1021363636363644</v>
      </c>
      <c r="G18" s="2">
        <f>AVERAGE(Sheet1!C$4:C$14)</f>
        <v>5858.0519939182041</v>
      </c>
      <c r="H18" s="1">
        <f>AVERAGE(Sheet1!D$4:D$14)</f>
        <v>7.9172727272727279</v>
      </c>
      <c r="N18" t="s">
        <v>5</v>
      </c>
      <c r="O18">
        <f>AVERAGE(Sheet1!B$4:B$14)</f>
        <v>3.1021363636363644</v>
      </c>
      <c r="P18" s="2">
        <f>AVERAGE(Sheet1!C$4:C$14)</f>
        <v>5858.0519939182041</v>
      </c>
      <c r="Q18" s="1">
        <f>AVERAGE(Sheet1!D$4:D$14)</f>
        <v>7.9172727272727279</v>
      </c>
    </row>
    <row r="19" spans="5:17" x14ac:dyDescent="0.2">
      <c r="E19" t="s">
        <v>9</v>
      </c>
      <c r="F19">
        <f>SLOPE(Sheet1!B$4:B$14,$E$7:$E$17)</f>
        <v>3.5586363636363624E-2</v>
      </c>
      <c r="G19">
        <f>SLOPE(Sheet1!C$4:C$14,$E$7:$E$17)</f>
        <v>41.006555354318031</v>
      </c>
      <c r="H19">
        <f>SLOPE(Sheet1!D$4:D$14,$E$7:$E$17)</f>
        <v>0.17236363636363641</v>
      </c>
      <c r="N19" t="s">
        <v>9</v>
      </c>
      <c r="O19">
        <f>SLOPE(Sheet1!B$4:B$14,$N$7:$N$17)</f>
        <v>3.5586363636363624E-2</v>
      </c>
      <c r="P19">
        <f>SLOPE(Sheet1!C$4:C$14,$N$7:$N$17)</f>
        <v>41.006555354318031</v>
      </c>
      <c r="Q19">
        <f>SLOPE(Sheet1!D$4:D$14,$N$7:$N$17)</f>
        <v>0.17236363636363641</v>
      </c>
    </row>
    <row r="20" spans="5:17" x14ac:dyDescent="0.2">
      <c r="E20" t="s">
        <v>10</v>
      </c>
      <c r="F20">
        <f>INTERCEPT(Sheet1!B$4:B$14,$E$7:$E$17)</f>
        <v>2.8886181818181824</v>
      </c>
      <c r="G20">
        <f>INTERCEPT(Sheet1!C$4:C$14,$E$7:$E$17)</f>
        <v>5612.0126617922961</v>
      </c>
      <c r="H20">
        <f>INTERCEPT(Sheet1!D$4:D$14,$E$7:$E$17)</f>
        <v>6.8830909090909094</v>
      </c>
      <c r="N20" t="s">
        <v>10</v>
      </c>
      <c r="O20">
        <f>INTERCEPT(Sheet1!B$4:B$14,$N$7:$N$17)</f>
        <v>2.8886181818181824</v>
      </c>
      <c r="P20">
        <f>INTERCEPT(Sheet1!C$4:C$14,$N$7:$N$17)</f>
        <v>5612.0126617922961</v>
      </c>
      <c r="Q20">
        <f>INTERCEPT(Sheet1!D$4:D$14,$N$7:$N$17)</f>
        <v>6.8830909090909094</v>
      </c>
    </row>
    <row r="21" spans="5:17" x14ac:dyDescent="0.2">
      <c r="E21" t="s">
        <v>6</v>
      </c>
      <c r="F21">
        <f>CORREL(F$7:F$16,F$8:F$17)</f>
        <v>-0.32212969388273738</v>
      </c>
      <c r="G21">
        <f>CORREL(G$7:G$16,G$8:G$17)</f>
        <v>-0.38878545327767156</v>
      </c>
      <c r="H21">
        <f>CORREL(H$7:H$16,H$8:H$17)</f>
        <v>0.14856006813693426</v>
      </c>
      <c r="N21" t="s">
        <v>6</v>
      </c>
      <c r="O21">
        <f>CORREL(O$7:O$16,O$8:O$17)</f>
        <v>-0.32212969388273738</v>
      </c>
      <c r="P21">
        <f>CORREL(P$7:P$16,P$8:P$17)</f>
        <v>-0.38878545327767156</v>
      </c>
      <c r="Q21">
        <f>CORREL(Q$7:Q$16,Q$8:Q$17)</f>
        <v>0.14856006813693426</v>
      </c>
    </row>
    <row r="23" spans="5:17" x14ac:dyDescent="0.2">
      <c r="E23" t="s">
        <v>11</v>
      </c>
      <c r="N23" t="s">
        <v>11</v>
      </c>
    </row>
    <row r="24" spans="5:17" x14ac:dyDescent="0.2">
      <c r="E24" s="6" t="s">
        <v>4</v>
      </c>
      <c r="F24" s="6" t="str">
        <f>Sheet1!$B$3</f>
        <v>Harvested</v>
      </c>
      <c r="G24" s="6" t="str">
        <f>Sheet1!$C$3</f>
        <v>Yield t</v>
      </c>
      <c r="H24" s="6" t="str">
        <f>Sheet1!$D$3</f>
        <v xml:space="preserve">Price </v>
      </c>
      <c r="N24" s="6" t="s">
        <v>4</v>
      </c>
      <c r="O24" s="6" t="str">
        <f>Sheet1!$B$3</f>
        <v>Harvested</v>
      </c>
      <c r="P24" s="6" t="str">
        <f>Sheet1!$C$3</f>
        <v>Yield t</v>
      </c>
      <c r="Q24" s="6" t="str">
        <f>Sheet1!$D$3</f>
        <v xml:space="preserve">Price </v>
      </c>
    </row>
    <row r="25" spans="5:17" x14ac:dyDescent="0.2">
      <c r="E25">
        <v>1</v>
      </c>
      <c r="F25">
        <f>(Sheet1!B$4-(F$20+$E$7*F$19))/(F$20+$E$7*F$19)</f>
        <v>-4.8972136944779206E-2</v>
      </c>
      <c r="G25">
        <f>(Sheet1!C$4-(G$20+$E$7*G$19))/(G$20+$E$7*G$19)</f>
        <v>1.3717506522147772E-2</v>
      </c>
      <c r="H25">
        <f>(Sheet1!D$4-(H$20+$E$7*H$19))/(H$20+$E$7*H$19)</f>
        <v>4.174719752609192E-2</v>
      </c>
      <c r="N25">
        <v>1</v>
      </c>
      <c r="O25">
        <f>(Sheet1!B$4-(O$20+$N$7*O$19))/(O$20+$N$7*O$19)</f>
        <v>-4.8972136944779206E-2</v>
      </c>
      <c r="P25">
        <f>(Sheet1!C$4-(P$20+$N$7*P$19))/(P$20+$N$7*P$19)</f>
        <v>1.3717506522147772E-2</v>
      </c>
      <c r="Q25">
        <f>(Sheet1!D$4-(Q$20+$N$7*Q$19))/(Q$20+$N$7*Q$19)</f>
        <v>4.174719752609192E-2</v>
      </c>
    </row>
    <row r="26" spans="5:17" x14ac:dyDescent="0.2">
      <c r="E26">
        <v>2</v>
      </c>
      <c r="F26">
        <f>(Sheet1!B$5-(F$20+$E$8*F$19))/(F$20+$E$8*F$19)</f>
        <v>5.8182856897139403E-2</v>
      </c>
      <c r="G26">
        <f>(Sheet1!C$5-(G$20+$E$8*G$19))/(G$20+$E$8*G$19)</f>
        <v>7.4079615611330326E-3</v>
      </c>
      <c r="H26">
        <f>(Sheet1!D$5-(H$20+$E$8*H$19))/(H$20+$E$8*H$19)</f>
        <v>-7.3025935149548457E-2</v>
      </c>
      <c r="N26">
        <v>2</v>
      </c>
      <c r="O26">
        <f>(Sheet1!B$5-(O$20+$N$8*O$19))/(O$20+$N$8*O$19)</f>
        <v>5.8182856897139403E-2</v>
      </c>
      <c r="P26">
        <f>(Sheet1!C$5-(P$20+$N$8*P$19))/(P$20+$N$8*P$19)</f>
        <v>7.4079615611330326E-3</v>
      </c>
      <c r="Q26">
        <f>(Sheet1!D$5-(Q$20+$N$8*Q$19))/(Q$20+$N$8*Q$19)</f>
        <v>-7.3025935149548457E-2</v>
      </c>
    </row>
    <row r="27" spans="5:17" x14ac:dyDescent="0.2">
      <c r="E27">
        <v>3</v>
      </c>
      <c r="F27">
        <f>(Sheet1!B$6-(F$20+$E$9*F$19))/(F$20+$E$9*F$19)</f>
        <v>-5.4209289162239466E-2</v>
      </c>
      <c r="G27">
        <f>(Sheet1!C$6-(G$20+$E$9*G$19))/(G$20+$E$9*G$19)</f>
        <v>-3.9166185167041928E-2</v>
      </c>
      <c r="H27">
        <f>(Sheet1!D$6-(H$20+$E$9*H$19))/(H$20+$E$9*H$19)</f>
        <v>2.4299157268863059E-2</v>
      </c>
      <c r="N27">
        <v>3</v>
      </c>
      <c r="O27">
        <f>(Sheet1!B$6-(O$20+$N$9*O$19))/(O$20+$N$9*O$19)</f>
        <v>-5.4209289162239466E-2</v>
      </c>
      <c r="P27">
        <f>(Sheet1!C$6-(P$20+$N$9*P$19))/(P$20+$N$9*P$19)</f>
        <v>-3.9166185167041928E-2</v>
      </c>
      <c r="Q27">
        <f>(Sheet1!D$6-(Q$20+$N$9*Q$19))/(Q$20+$N$9*Q$19)</f>
        <v>2.4299157268863059E-2</v>
      </c>
    </row>
    <row r="28" spans="5:17" x14ac:dyDescent="0.2">
      <c r="E28">
        <v>4</v>
      </c>
      <c r="F28">
        <f>(Sheet1!B$7-(F$20+$E$10*F$19))/(F$20+$E$10*F$19)</f>
        <v>9.4041498953227998E-2</v>
      </c>
      <c r="G28">
        <f>(Sheet1!C$7-(G$20+$E$10*G$19))/(G$20+$E$10*G$19)</f>
        <v>3.2608145748976379E-2</v>
      </c>
      <c r="H28">
        <f>(Sheet1!D$7-(H$20+$E$10*H$19))/(H$20+$E$10*H$19)</f>
        <v>-0.14163605368676327</v>
      </c>
      <c r="N28">
        <v>4</v>
      </c>
      <c r="O28">
        <f>(Sheet1!B$7-(O$20+$N$10*O$19))/(O$20+$N$10*O$19)</f>
        <v>9.4041498953227998E-2</v>
      </c>
      <c r="P28">
        <f>(Sheet1!C$7-(P$20+$N$10*P$19))/(P$20+$N$10*P$19)</f>
        <v>3.2608145748976379E-2</v>
      </c>
      <c r="Q28">
        <f>(Sheet1!D$7-(Q$20+$N$10*Q$19))/(Q$20+$N$10*Q$19)</f>
        <v>-0.14163605368676327</v>
      </c>
    </row>
    <row r="29" spans="5:17" x14ac:dyDescent="0.2">
      <c r="E29">
        <v>5</v>
      </c>
      <c r="F29">
        <f>(Sheet1!B$8-(F$20+$E$11*F$19))/(F$20+$E$11*F$19)</f>
        <v>8.6253281374833735E-3</v>
      </c>
      <c r="G29">
        <f>(Sheet1!C$8-(G$20+$E$11*G$19))/(G$20+$E$11*G$19)</f>
        <v>-3.3627026144933882E-2</v>
      </c>
      <c r="H29">
        <f>(Sheet1!D$8-(H$20+$E$11*H$19))/(H$20+$E$11*H$19)</f>
        <v>3.0354250299316814E-2</v>
      </c>
      <c r="N29">
        <v>5</v>
      </c>
      <c r="O29">
        <f>(Sheet1!B$8-(O$20+$N$11*O$19))/(O$20+$N$11*O$19)</f>
        <v>8.6253281374833735E-3</v>
      </c>
      <c r="P29">
        <f>(Sheet1!C$8-(P$20+$N$11*P$19))/(P$20+$N$11*P$19)</f>
        <v>-3.3627026144933882E-2</v>
      </c>
      <c r="Q29">
        <f>(Sheet1!D$8-(Q$20+$N$11*Q$19))/(Q$20+$N$11*Q$19)</f>
        <v>3.0354250299316814E-2</v>
      </c>
    </row>
    <row r="30" spans="5:17" x14ac:dyDescent="0.2">
      <c r="E30">
        <v>6</v>
      </c>
      <c r="F30">
        <f>(Sheet1!B$9-(F$20+$E$12*F$19))/(F$20+$E$12*F$19)</f>
        <v>-9.6106788576787519E-2</v>
      </c>
      <c r="G30">
        <f>(Sheet1!C$9-(G$20+$E$12*G$19))/(G$20+$E$12*G$19)</f>
        <v>4.4680579652182056E-2</v>
      </c>
      <c r="H30">
        <f>(Sheet1!D$9-(H$20+$E$12*H$19))/(H$20+$E$12*H$19)</f>
        <v>-0.14364450568377543</v>
      </c>
      <c r="N30">
        <v>6</v>
      </c>
      <c r="O30">
        <f>(Sheet1!B$9-(O$20+$N$12*O$19))/(O$20+$N$12*O$19)</f>
        <v>-9.6106788576787519E-2</v>
      </c>
      <c r="P30">
        <f>(Sheet1!C$9-(P$20+$N$12*P$19))/(P$20+$N$12*P$19)</f>
        <v>4.4680579652182056E-2</v>
      </c>
      <c r="Q30">
        <f>(Sheet1!D$9-(Q$20+$N$12*Q$19))/(Q$20+$N$12*Q$19)</f>
        <v>-0.14364450568377543</v>
      </c>
    </row>
    <row r="31" spans="5:17" x14ac:dyDescent="0.2">
      <c r="E31">
        <v>7</v>
      </c>
      <c r="F31">
        <f>(Sheet1!B$10-(F$20+$E$13*F$19))/(F$20+$E$13*F$19)</f>
        <v>-1.1066219131130279E-2</v>
      </c>
      <c r="G31">
        <f>(Sheet1!C$10-(G$20+$E$13*G$19))/(G$20+$E$13*G$19)</f>
        <v>-3.0476623021045518E-4</v>
      </c>
      <c r="H31">
        <f>(Sheet1!D$10-(H$20+$E$13*H$19))/(H$20+$E$13*H$19)</f>
        <v>0.13107679859753216</v>
      </c>
      <c r="N31">
        <v>7</v>
      </c>
      <c r="O31">
        <f>(Sheet1!B$10-(O$20+$N$13*O$19))/(O$20+$N$13*O$19)</f>
        <v>-1.1066219131130279E-2</v>
      </c>
      <c r="P31">
        <f>(Sheet1!C$10-(P$20+$N$13*P$19))/(P$20+$N$13*P$19)</f>
        <v>-3.0476623021045518E-4</v>
      </c>
      <c r="Q31">
        <f>(Sheet1!D$10-(Q$20+$N$13*Q$19))/(Q$20+$N$13*Q$19)</f>
        <v>0.13107679859753216</v>
      </c>
    </row>
    <row r="32" spans="5:17" x14ac:dyDescent="0.2">
      <c r="E32">
        <v>8</v>
      </c>
      <c r="F32">
        <f>(Sheet1!B$11-(F$20+$E$14*F$19))/(F$20+$E$14*F$19)</f>
        <v>2.6373387115256639E-2</v>
      </c>
      <c r="G32">
        <f>(Sheet1!C$11-(G$20+$E$14*G$19))/(G$20+$E$14*G$19)</f>
        <v>-4.6648149400404182E-2</v>
      </c>
      <c r="H32">
        <f>(Sheet1!D$11-(H$20+$E$14*H$19))/(H$20+$E$14*H$19)</f>
        <v>0.20551924473493105</v>
      </c>
      <c r="N32">
        <v>8</v>
      </c>
      <c r="O32">
        <f>(Sheet1!B$11-(O$20+$N$14*O$19))/(O$20+$N$14*O$19)</f>
        <v>2.6373387115256639E-2</v>
      </c>
      <c r="P32">
        <f>(Sheet1!C$11-(P$20+$N$14*P$19))/(P$20+$N$14*P$19)</f>
        <v>-4.6648149400404182E-2</v>
      </c>
      <c r="Q32">
        <f>(Sheet1!D$11-(Q$20+$N$14*Q$19))/(Q$20+$N$14*Q$19)</f>
        <v>0.20551924473493105</v>
      </c>
    </row>
    <row r="33" spans="5:17" x14ac:dyDescent="0.2">
      <c r="E33">
        <v>9</v>
      </c>
      <c r="F33">
        <f>(Sheet1!B$12-(F$20+$E$15*F$19))/(F$20+$E$15*F$19)</f>
        <v>9.4457594442720824E-2</v>
      </c>
      <c r="G33">
        <f>(Sheet1!C$12-(G$20+$E$15*G$19))/(G$20+$E$15*G$19)</f>
        <v>-1.9177035344848246E-2</v>
      </c>
      <c r="H33">
        <f>(Sheet1!D$12-(H$20+$E$15*H$19))/(H$20+$E$15*H$19)</f>
        <v>0.15005712561167506</v>
      </c>
      <c r="N33">
        <v>9</v>
      </c>
      <c r="O33">
        <f>(Sheet1!B$12-(O$20+$N$15*O$19))/(O$20+$N$15*O$19)</f>
        <v>9.4457594442720824E-2</v>
      </c>
      <c r="P33">
        <f>(Sheet1!C$12-(P$20+$N$15*P$19))/(P$20+$N$15*P$19)</f>
        <v>-1.9177035344848246E-2</v>
      </c>
      <c r="Q33">
        <f>(Sheet1!D$12-(Q$20+$N$15*Q$19))/(Q$20+$N$15*Q$19)</f>
        <v>0.15005712561167506</v>
      </c>
    </row>
    <row r="34" spans="5:17" x14ac:dyDescent="0.2">
      <c r="E34">
        <v>10</v>
      </c>
      <c r="F34">
        <f>(Sheet1!B$13-(F$20+$E$16*F$19))/(F$20+$E$16*F$19)</f>
        <v>-6.179162942394513E-2</v>
      </c>
      <c r="G34">
        <f>(Sheet1!C$13-(G$20+$E$16*G$19))/(G$20+$E$16*G$19)</f>
        <v>4.2555514830611881E-2</v>
      </c>
      <c r="H34">
        <f>(Sheet1!D$13-(H$20+$E$16*H$19))/(H$20+$E$16*H$19)</f>
        <v>3.2912943363542294E-2</v>
      </c>
      <c r="N34">
        <v>10</v>
      </c>
      <c r="O34">
        <f>(Sheet1!B$13-(O$20+$N$16*O$19))/(O$20+$N$16*O$19)</f>
        <v>-6.179162942394513E-2</v>
      </c>
      <c r="P34">
        <f>(Sheet1!C$13-(P$20+$N$16*P$19))/(P$20+$N$16*P$19)</f>
        <v>4.2555514830611881E-2</v>
      </c>
      <c r="Q34">
        <f>(Sheet1!D$13-(Q$20+$N$16*Q$19))/(Q$20+$N$16*Q$19)</f>
        <v>3.2912943363542294E-2</v>
      </c>
    </row>
    <row r="35" spans="5:17" x14ac:dyDescent="0.2">
      <c r="E35" s="6">
        <v>11</v>
      </c>
      <c r="F35" s="6">
        <f>(Sheet1!B$14-(F$20+$E$17*F$19))/(F$20+$E$17*F$19)</f>
        <v>-9.6242456157370777E-3</v>
      </c>
      <c r="G35" s="6">
        <f>(Sheet1!C$14-(G$20+$E$17*G$19))/(G$20+$E$17*G$19)</f>
        <v>-2.0231927685614064E-3</v>
      </c>
      <c r="H35" s="6">
        <f>(Sheet1!D$14-(H$20+$E$17*H$19))/(H$20+$E$17*H$19)</f>
        <v>-0.25960443201822514</v>
      </c>
      <c r="N35" s="6">
        <v>11</v>
      </c>
      <c r="O35" s="6">
        <f>(Sheet1!B$14-(O$20+$N$17*O$19))/(O$20+$N$17*O$19)</f>
        <v>-9.6242456157370777E-3</v>
      </c>
      <c r="P35" s="6">
        <f>(Sheet1!C$14-(P$20+$N$17*P$19))/(P$20+$N$17*P$19)</f>
        <v>-2.0231927685614064E-3</v>
      </c>
      <c r="Q35" s="6">
        <f>(Sheet1!D$14-(Q$20+$N$17*Q$19))/(Q$20+$N$17*Q$19)</f>
        <v>-0.25960443201822514</v>
      </c>
    </row>
    <row r="37" spans="5:17" x14ac:dyDescent="0.2">
      <c r="E37" t="s">
        <v>13</v>
      </c>
      <c r="N37" t="s">
        <v>13</v>
      </c>
    </row>
    <row r="38" spans="5:17" x14ac:dyDescent="0.2">
      <c r="F38" t="str">
        <f>Sheet1!$B$3</f>
        <v>Harvested</v>
      </c>
      <c r="G38" t="str">
        <f>Sheet1!$C$3</f>
        <v>Yield t</v>
      </c>
      <c r="H38" t="str">
        <f>Sheet1!$D$3</f>
        <v xml:space="preserve">Price </v>
      </c>
      <c r="O38" t="str">
        <f>Sheet1!$B$3</f>
        <v>Harvested</v>
      </c>
      <c r="P38" t="str">
        <f>Sheet1!$C$3</f>
        <v>Yield t</v>
      </c>
      <c r="Q38" t="str">
        <f>Sheet1!$D$3</f>
        <v xml:space="preserve">Price </v>
      </c>
    </row>
    <row r="39" spans="5:17" x14ac:dyDescent="0.2">
      <c r="E39" t="str">
        <f>Sheet1!$B$3</f>
        <v>Harvested</v>
      </c>
      <c r="F39">
        <f>CORREL(F$7:F$17,F$7:F$17)</f>
        <v>1</v>
      </c>
      <c r="G39">
        <f>CORREL(F$7:F$17,G$7:G$17)</f>
        <v>-0.28427059425688528</v>
      </c>
      <c r="H39">
        <f>CORREL(F$7:F$17,H$7:H$17)</f>
        <v>0.16478883487009369</v>
      </c>
      <c r="N39" t="str">
        <f>Sheet1!$B$3</f>
        <v>Harvested</v>
      </c>
      <c r="O39">
        <f>CORREL(O$7:O$17,O$7:O$17)</f>
        <v>1</v>
      </c>
      <c r="P39">
        <f>CORREL(O$7:O$17,P$7:P$17)</f>
        <v>-0.28427059425688528</v>
      </c>
      <c r="Q39">
        <f>CORREL(O$7:O$17,Q$7:Q$17)</f>
        <v>0.16478883487009369</v>
      </c>
    </row>
    <row r="40" spans="5:17" x14ac:dyDescent="0.2">
      <c r="E40" t="str">
        <f>Sheet1!$C$3</f>
        <v>Yield t</v>
      </c>
      <c r="G40">
        <f>CORREL(G$7:G$17,G$7:G$17)</f>
        <v>1</v>
      </c>
      <c r="H40">
        <f>CORREL(G$7:G$17,H$7:H$17)</f>
        <v>-0.497581980605663</v>
      </c>
      <c r="N40" t="str">
        <f>Sheet1!$C$3</f>
        <v>Yield t</v>
      </c>
      <c r="P40">
        <f>CORREL(P$7:P$17,P$7:P$17)</f>
        <v>1</v>
      </c>
      <c r="Q40">
        <f>CORREL(P$7:P$17,Q$7:Q$17)</f>
        <v>-0.497581980605663</v>
      </c>
    </row>
    <row r="41" spans="5:17" x14ac:dyDescent="0.2">
      <c r="E41" t="str">
        <f>Sheet1!$D$3</f>
        <v xml:space="preserve">Price </v>
      </c>
      <c r="H41">
        <f>CORREL(H$7:H$17,H$7:H$17)</f>
        <v>1</v>
      </c>
      <c r="N41" t="str">
        <f>Sheet1!$D$3</f>
        <v xml:space="preserve">Price </v>
      </c>
      <c r="Q41">
        <f>CORREL(Q$7:Q$17,Q$7:Q$17)</f>
        <v>1</v>
      </c>
    </row>
    <row r="43" spans="5:17" x14ac:dyDescent="0.2">
      <c r="E43" t="s">
        <v>12</v>
      </c>
      <c r="N43" t="s">
        <v>12</v>
      </c>
    </row>
    <row r="44" spans="5:17" x14ac:dyDescent="0.2">
      <c r="E44" s="6" t="s">
        <v>7</v>
      </c>
      <c r="F44" s="6" t="str">
        <f>Sheet1!$B$3</f>
        <v>Harvested</v>
      </c>
      <c r="G44" s="6" t="str">
        <f>Sheet1!$C$3</f>
        <v>Yield t</v>
      </c>
      <c r="H44" s="6" t="str">
        <f>Sheet1!$D$3</f>
        <v xml:space="preserve">Price </v>
      </c>
      <c r="N44" s="6" t="s">
        <v>7</v>
      </c>
      <c r="O44" s="6" t="str">
        <f>Sheet1!$B$3</f>
        <v>Harvested</v>
      </c>
      <c r="P44" s="6" t="str">
        <f>Sheet1!$C$3</f>
        <v>Yield t</v>
      </c>
      <c r="Q44" s="6" t="str">
        <f>Sheet1!$D$3</f>
        <v xml:space="preserve">Price </v>
      </c>
    </row>
    <row r="45" spans="5:17" x14ac:dyDescent="0.2">
      <c r="E45">
        <v>0</v>
      </c>
      <c r="F45">
        <f>IF(F$46&lt;0,F$46* 1.0001,F$46*0.9999)</f>
        <v>-9.6116399255645191E-2</v>
      </c>
      <c r="G45">
        <f>IF(G$46&lt;0,G$46* 1.0001,G$46*0.9999)</f>
        <v>-4.6652814215344222E-2</v>
      </c>
      <c r="H45">
        <f>IF(H$46&lt;0,H$46* 1.0001,H$46*0.9999)</f>
        <v>-0.25963039246142694</v>
      </c>
      <c r="K45" s="7" t="s">
        <v>17</v>
      </c>
      <c r="N45">
        <v>0</v>
      </c>
      <c r="O45">
        <f>IF(O$46&lt;0,O$46* 1.0001,O$46*0.9999)</f>
        <v>-9.6116399255645191E-2</v>
      </c>
      <c r="P45">
        <f>IF(P$46&lt;0,P$46* 1.0001,P$46*0.9999)</f>
        <v>-4.6652814215344222E-2</v>
      </c>
      <c r="Q45" s="8">
        <v>-0.5</v>
      </c>
    </row>
    <row r="46" spans="5:17" x14ac:dyDescent="0.2">
      <c r="E46">
        <v>4.5454546809196472E-2</v>
      </c>
      <c r="F46">
        <f>SMALL(F$25:F$35,$E$7)</f>
        <v>-9.6106788576787519E-2</v>
      </c>
      <c r="G46">
        <f>SMALL(G$25:G$35,$E$7)</f>
        <v>-4.6648149400404182E-2</v>
      </c>
      <c r="H46">
        <f>SMALL(H$25:H$35,$E$7)</f>
        <v>-0.25960443201822514</v>
      </c>
      <c r="K46" s="7" t="s">
        <v>18</v>
      </c>
      <c r="N46" s="3">
        <v>0.1</v>
      </c>
      <c r="O46">
        <f>SMALL(O$25:O$35,$N$7)</f>
        <v>-9.6106788576787519E-2</v>
      </c>
      <c r="P46">
        <f>SMALL(P$25:P$35,$N$7)</f>
        <v>-4.6648149400404182E-2</v>
      </c>
      <c r="Q46" s="8">
        <v>-0.49999900000000003</v>
      </c>
    </row>
    <row r="47" spans="5:17" x14ac:dyDescent="0.2">
      <c r="E47">
        <v>0.13636364042758942</v>
      </c>
      <c r="F47">
        <f>SMALL(F$25:F$35,$E$8)</f>
        <v>-6.179162942394513E-2</v>
      </c>
      <c r="G47">
        <f>SMALL(G$25:G$35,$E$8)</f>
        <v>-3.9166185167041928E-2</v>
      </c>
      <c r="H47">
        <f>SMALL(H$25:H$35,$E$8)</f>
        <v>-0.14364450568377543</v>
      </c>
      <c r="N47">
        <v>0.13636364042758942</v>
      </c>
      <c r="O47">
        <f>SMALL(O$25:O$35,$N$8)</f>
        <v>-6.179162942394513E-2</v>
      </c>
      <c r="P47">
        <f>SMALL(P$25:P$35,$N$8)</f>
        <v>-3.9166185167041928E-2</v>
      </c>
      <c r="Q47">
        <f>SMALL(Q$25:Q$35,$N$8)</f>
        <v>-0.14364450568377543</v>
      </c>
    </row>
    <row r="48" spans="5:17" x14ac:dyDescent="0.2">
      <c r="E48">
        <v>0.22727273404598236</v>
      </c>
      <c r="F48">
        <f>SMALL(F$25:F$35,$E$9)</f>
        <v>-5.4209289162239466E-2</v>
      </c>
      <c r="G48">
        <f>SMALL(G$25:G$35,$E$9)</f>
        <v>-3.3627026144933882E-2</v>
      </c>
      <c r="H48">
        <f>SMALL(H$25:H$35,$E$9)</f>
        <v>-0.14163605368676327</v>
      </c>
      <c r="N48">
        <v>0.22727273404598236</v>
      </c>
      <c r="O48">
        <f>SMALL(O$25:O$35,$N$9)</f>
        <v>-5.4209289162239466E-2</v>
      </c>
      <c r="P48">
        <f>SMALL(P$25:P$35,$N$9)</f>
        <v>-3.3627026144933882E-2</v>
      </c>
      <c r="Q48">
        <f>SMALL(Q$25:Q$35,$N$9)</f>
        <v>-0.14163605368676327</v>
      </c>
    </row>
    <row r="49" spans="5:18" x14ac:dyDescent="0.2">
      <c r="E49">
        <v>0.31818181276321411</v>
      </c>
      <c r="F49">
        <f>SMALL(F$25:F$35,$E$10)</f>
        <v>-4.8972136944779206E-2</v>
      </c>
      <c r="G49">
        <f>SMALL(G$25:G$35,$E$10)</f>
        <v>-1.9177035344848246E-2</v>
      </c>
      <c r="H49">
        <f>SMALL(H$25:H$35,$E$10)</f>
        <v>-7.3025935149548457E-2</v>
      </c>
      <c r="N49">
        <v>0.31818181276321411</v>
      </c>
      <c r="O49">
        <f>SMALL(O$25:O$35,$N$10)</f>
        <v>-4.8972136944779206E-2</v>
      </c>
      <c r="P49">
        <f>SMALL(P$25:P$35,$N$10)</f>
        <v>-1.9177035344848246E-2</v>
      </c>
      <c r="Q49">
        <f>SMALL(Q$25:Q$35,$N$10)</f>
        <v>-7.3025935149548457E-2</v>
      </c>
    </row>
    <row r="50" spans="5:18" x14ac:dyDescent="0.2">
      <c r="E50">
        <v>0.40909090638160706</v>
      </c>
      <c r="F50">
        <f>SMALL(F$25:F$35,$E$11)</f>
        <v>-1.1066219131130279E-2</v>
      </c>
      <c r="G50">
        <f>SMALL(G$25:G$35,$E$11)</f>
        <v>-2.0231927685614064E-3</v>
      </c>
      <c r="H50">
        <f>SMALL(H$25:H$35,$E$11)</f>
        <v>2.4299157268863059E-2</v>
      </c>
      <c r="N50">
        <v>0.40909090638160706</v>
      </c>
      <c r="O50">
        <f>SMALL(O$25:O$35,$N$11)</f>
        <v>-1.1066219131130279E-2</v>
      </c>
      <c r="P50">
        <f>SMALL(P$25:P$35,$N$11)</f>
        <v>-2.0231927685614064E-3</v>
      </c>
      <c r="Q50">
        <f>SMALL(Q$25:Q$35,$N$11)</f>
        <v>2.4299157268863059E-2</v>
      </c>
    </row>
    <row r="51" spans="5:18" x14ac:dyDescent="0.2">
      <c r="E51">
        <v>0.5</v>
      </c>
      <c r="F51">
        <f>SMALL(F$25:F$35,$E$12)</f>
        <v>-9.6242456157370777E-3</v>
      </c>
      <c r="G51">
        <f>SMALL(G$25:G$35,$E$12)</f>
        <v>-3.0476623021045518E-4</v>
      </c>
      <c r="H51">
        <f>SMALL(H$25:H$35,$E$12)</f>
        <v>3.0354250299316814E-2</v>
      </c>
      <c r="N51">
        <v>0.5</v>
      </c>
      <c r="O51">
        <f>SMALL(O$25:O$35,$N$12)</f>
        <v>-9.6242456157370777E-3</v>
      </c>
      <c r="P51">
        <f>SMALL(P$25:P$35,$N$12)</f>
        <v>-3.0476623021045518E-4</v>
      </c>
      <c r="Q51">
        <f>SMALL(Q$25:Q$35,$N$12)</f>
        <v>3.0354250299316814E-2</v>
      </c>
    </row>
    <row r="52" spans="5:18" x14ac:dyDescent="0.2">
      <c r="E52">
        <v>0.59090906381607056</v>
      </c>
      <c r="F52">
        <f>SMALL(F$25:F$35,$E$13)</f>
        <v>8.6253281374833735E-3</v>
      </c>
      <c r="G52">
        <f>SMALL(G$25:G$35,$E$13)</f>
        <v>7.4079615611330326E-3</v>
      </c>
      <c r="H52">
        <f>SMALL(H$25:H$35,$E$13)</f>
        <v>3.2912943363542294E-2</v>
      </c>
      <c r="N52">
        <v>0.59090906381607056</v>
      </c>
      <c r="O52">
        <f>SMALL(O$25:O$35,$N$13)</f>
        <v>8.6253281374833735E-3</v>
      </c>
      <c r="P52">
        <f>SMALL(P$25:P$35,$N$13)</f>
        <v>7.4079615611330326E-3</v>
      </c>
      <c r="Q52">
        <f>SMALL(Q$25:Q$35,$N$13)</f>
        <v>3.2912943363542294E-2</v>
      </c>
    </row>
    <row r="53" spans="5:18" x14ac:dyDescent="0.2">
      <c r="E53">
        <v>0.68181812763214111</v>
      </c>
      <c r="F53">
        <f>SMALL(F$25:F$35,$E$14)</f>
        <v>2.6373387115256639E-2</v>
      </c>
      <c r="G53">
        <f>SMALL(G$25:G$35,$E$14)</f>
        <v>1.3717506522147772E-2</v>
      </c>
      <c r="H53">
        <f>SMALL(H$25:H$35,$E$14)</f>
        <v>4.174719752609192E-2</v>
      </c>
      <c r="N53">
        <v>0.68181812763214111</v>
      </c>
      <c r="O53">
        <f>SMALL(O$25:O$35,$N$14)</f>
        <v>2.6373387115256639E-2</v>
      </c>
      <c r="P53">
        <f>SMALL(P$25:P$35,$N$14)</f>
        <v>1.3717506522147772E-2</v>
      </c>
      <c r="Q53">
        <f>SMALL(Q$25:Q$35,$N$14)</f>
        <v>4.174719752609192E-2</v>
      </c>
    </row>
    <row r="54" spans="5:18" x14ac:dyDescent="0.2">
      <c r="E54">
        <v>0.77272719144821167</v>
      </c>
      <c r="F54">
        <f>SMALL(F$25:F$35,$E$15)</f>
        <v>5.8182856897139403E-2</v>
      </c>
      <c r="G54">
        <f>SMALL(G$25:G$35,$E$15)</f>
        <v>3.2608145748976379E-2</v>
      </c>
      <c r="H54">
        <f>SMALL(H$25:H$35,$E$15)</f>
        <v>0.13107679859753216</v>
      </c>
      <c r="N54">
        <v>0.77272719144821167</v>
      </c>
      <c r="O54">
        <f>SMALL(O$25:O$35,$N$15)</f>
        <v>5.8182856897139403E-2</v>
      </c>
      <c r="P54">
        <f>SMALL(P$25:P$35,$N$15)</f>
        <v>3.2608145748976379E-2</v>
      </c>
      <c r="Q54">
        <f>SMALL(Q$25:Q$35,$N$15)</f>
        <v>0.13107679859753216</v>
      </c>
    </row>
    <row r="55" spans="5:18" x14ac:dyDescent="0.2">
      <c r="E55">
        <v>0.86363625526428223</v>
      </c>
      <c r="F55">
        <f>SMALL(F$25:F$35,$E$16)</f>
        <v>9.4041498953227998E-2</v>
      </c>
      <c r="G55">
        <f>SMALL(G$25:G$35,$E$16)</f>
        <v>4.2555514830611881E-2</v>
      </c>
      <c r="H55">
        <f>SMALL(H$25:H$35,$E$16)</f>
        <v>0.15005712561167506</v>
      </c>
      <c r="N55">
        <v>0.86363625526428223</v>
      </c>
      <c r="O55">
        <f>SMALL(O$25:O$35,$N$16)</f>
        <v>9.4041498953227998E-2</v>
      </c>
      <c r="P55">
        <f>SMALL(P$25:P$35,$N$16)</f>
        <v>4.2555514830611881E-2</v>
      </c>
      <c r="Q55">
        <f>SMALL(Q$25:Q$35,$N$16)</f>
        <v>0.15005712561167506</v>
      </c>
    </row>
    <row r="56" spans="5:18" x14ac:dyDescent="0.2">
      <c r="E56">
        <v>0.95454531908035278</v>
      </c>
      <c r="F56">
        <f>SMALL(F$25:F$35,$E$17)</f>
        <v>9.4457594442720824E-2</v>
      </c>
      <c r="G56">
        <f>SMALL(G$25:G$35,$E$17)</f>
        <v>4.4680579652182056E-2</v>
      </c>
      <c r="H56">
        <f>SMALL(H$25:H$35,$E$17)</f>
        <v>0.20551924473493105</v>
      </c>
      <c r="K56" s="7" t="s">
        <v>19</v>
      </c>
      <c r="N56" s="3">
        <v>0.92</v>
      </c>
      <c r="O56">
        <f>SMALL(O$25:O$35,$N$17)</f>
        <v>9.4457594442720824E-2</v>
      </c>
      <c r="P56">
        <f>SMALL(P$25:P$35,$N$17)</f>
        <v>4.4680579652182056E-2</v>
      </c>
      <c r="Q56" s="10">
        <v>1.1999899999999999</v>
      </c>
    </row>
    <row r="57" spans="5:18" x14ac:dyDescent="0.2">
      <c r="E57" s="6">
        <v>1</v>
      </c>
      <c r="F57" s="6">
        <f>IF(F$56&lt;0,F$56* 0.9999,F$56*1.0001)</f>
        <v>9.4467040202165092E-2</v>
      </c>
      <c r="G57" s="6">
        <f>IF(G$56&lt;0,G$56* 0.9999,G$56*1.0001)</f>
        <v>4.4685047710147273E-2</v>
      </c>
      <c r="H57" s="6">
        <f>IF(H$56&lt;0,H$56* 0.9999,H$56*1.0001)</f>
        <v>0.20553979665940453</v>
      </c>
      <c r="K57" s="7" t="s">
        <v>20</v>
      </c>
      <c r="N57" s="6">
        <v>1</v>
      </c>
      <c r="O57" s="6">
        <f>IF(O$56&lt;0,O$56* 0.9999,O$56*1.0001)</f>
        <v>9.4467040202165092E-2</v>
      </c>
      <c r="P57" s="6">
        <f>IF(P$56&lt;0,P$56* 0.9999,P$56*1.0001)</f>
        <v>4.4685047710147273E-2</v>
      </c>
      <c r="Q57" s="9">
        <v>1.2</v>
      </c>
    </row>
    <row r="59" spans="5:18" x14ac:dyDescent="0.2">
      <c r="F59">
        <v>4.2300000000000004</v>
      </c>
      <c r="G59">
        <v>6500</v>
      </c>
      <c r="H59">
        <v>7</v>
      </c>
      <c r="L59" s="7" t="s">
        <v>21</v>
      </c>
      <c r="O59">
        <v>4.2300000000000004</v>
      </c>
      <c r="P59">
        <v>6500</v>
      </c>
      <c r="Q59">
        <v>7</v>
      </c>
    </row>
    <row r="60" spans="5:18" x14ac:dyDescent="0.2">
      <c r="F60" t="str">
        <f>F44</f>
        <v>Harvested</v>
      </c>
      <c r="G60" t="str">
        <f>G44</f>
        <v>Yield t</v>
      </c>
      <c r="H60" s="7" t="s">
        <v>44</v>
      </c>
      <c r="O60" t="str">
        <f>O44</f>
        <v>Harvested</v>
      </c>
      <c r="P60" t="str">
        <f>P44</f>
        <v>Yield t</v>
      </c>
      <c r="Q60" s="7" t="s">
        <v>45</v>
      </c>
    </row>
    <row r="61" spans="5:18" x14ac:dyDescent="0.2">
      <c r="F61">
        <f ca="1">F59*(1+_xll.EMP(F45:F57,$N$45:$N$57))</f>
        <v>3.8234312538067323</v>
      </c>
      <c r="G61">
        <f ca="1">G59*(1+_xll.EMP(G45:G57,$N$45:$N$57))</f>
        <v>6491.3446988548885</v>
      </c>
      <c r="H61">
        <f ca="1">H59*(1+_xll.EMP(H45:H57,$N$45:$N$57))</f>
        <v>8.4387578870220636</v>
      </c>
      <c r="I61" t="str">
        <f ca="1">_xll.VFORMULA(H61)</f>
        <v>=H59*(1+EMP(H45:H57,$N$45:$N$57))</v>
      </c>
      <c r="L61" s="7" t="s">
        <v>22</v>
      </c>
      <c r="O61">
        <f ca="1">O59*(1+_xll.EMP(O45:O57,$N$45:$N$57))</f>
        <v>4.1281212583791387</v>
      </c>
      <c r="P61">
        <f ca="1">P59*(1+_xll.EMP(P45:P57,$N$45:$N$57))</f>
        <v>6196.758123359069</v>
      </c>
      <c r="Q61">
        <f ca="1">Q59*(1+_xll.EMP(Q45:Q57,$N$45:$N$57))</f>
        <v>4.8088331399044026</v>
      </c>
      <c r="R61" t="str">
        <f ca="1">_xll.VFORMULA(Q61)</f>
        <v>=Q59*(1+EMP(Q45:Q57,$N$45:$N$57))</v>
      </c>
    </row>
    <row r="62" spans="5:18" x14ac:dyDescent="0.2">
      <c r="I62" t="str">
        <f ca="1">_xll.VFORMULA(H62)</f>
        <v/>
      </c>
      <c r="R62" t="str">
        <f ca="1">_xll.VFORMULA(Q62)</f>
        <v/>
      </c>
    </row>
    <row r="63" spans="5:18" x14ac:dyDescent="0.2">
      <c r="F63">
        <f>F59*(1+F45)</f>
        <v>3.8234276311486211</v>
      </c>
      <c r="G63">
        <f>G59*(1+G45)</f>
        <v>6196.7567076002624</v>
      </c>
      <c r="H63">
        <f>H59*(1+H45)</f>
        <v>5.182587252770011</v>
      </c>
      <c r="I63" t="str">
        <f ca="1">_xll.VFORMULA(H63)</f>
        <v>=H59*(1+H45)</v>
      </c>
      <c r="L63" s="7" t="s">
        <v>39</v>
      </c>
      <c r="O63">
        <f>O59*(1+O45)</f>
        <v>3.8234276311486211</v>
      </c>
      <c r="P63">
        <f>P59*(1+P45)</f>
        <v>6196.7567076002624</v>
      </c>
      <c r="Q63">
        <f>Q59*(1+Q45)</f>
        <v>3.5</v>
      </c>
      <c r="R63" t="str">
        <f ca="1">_xll.VFORMULA(Q63)</f>
        <v>=Q59*(1+Q45)</v>
      </c>
    </row>
    <row r="64" spans="5:18" x14ac:dyDescent="0.2">
      <c r="F64">
        <f>F59*(1+F57)</f>
        <v>4.6295955800551587</v>
      </c>
      <c r="G64">
        <f>G59*(1+G57)</f>
        <v>6790.4528101159567</v>
      </c>
      <c r="H64">
        <f>H59*(1+H57)</f>
        <v>8.4387785766158316</v>
      </c>
      <c r="I64" t="str">
        <f ca="1">_xll.VFORMULA(H64)</f>
        <v>=H59*(1+H57)</v>
      </c>
      <c r="L64" s="7" t="s">
        <v>40</v>
      </c>
      <c r="O64">
        <f>O59*(1+O57)</f>
        <v>4.6295955800551587</v>
      </c>
      <c r="P64">
        <f>P59*(1+P57)</f>
        <v>6790.4528101159567</v>
      </c>
      <c r="Q64">
        <f>Q59*(1+Q57)</f>
        <v>15.400000000000002</v>
      </c>
      <c r="R64" t="str">
        <f ca="1">_xll.VFORMULA(Q64)</f>
        <v>=Q59*(1+Q57)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9"/>
  <sheetViews>
    <sheetView workbookViewId="0">
      <selection activeCell="A19" sqref="A19"/>
    </sheetView>
  </sheetViews>
  <sheetFormatPr defaultRowHeight="12.75" x14ac:dyDescent="0.2"/>
  <sheetData>
    <row r="1" spans="1:8" x14ac:dyDescent="0.2">
      <c r="A1" t="s">
        <v>48</v>
      </c>
    </row>
    <row r="2" spans="1:8" x14ac:dyDescent="0.2">
      <c r="A2" t="s">
        <v>23</v>
      </c>
      <c r="B2" t="str">
        <f ca="1">ADDRESS(ROW(Sheet1!$O$61),COLUMN(Sheet1!$O$61),4,,_xll.WSNAME(Sheet1!$O$61))</f>
        <v>Sheet1!O61</v>
      </c>
      <c r="C2" t="str">
        <f ca="1">ADDRESS(ROW(Sheet1!$P$61),COLUMN(Sheet1!$P$61),4,,_xll.WSNAME(Sheet1!$P$61))</f>
        <v>Sheet1!P61</v>
      </c>
      <c r="D2" t="str">
        <f ca="1">ADDRESS(ROW(Sheet1!$Q$61),COLUMN(Sheet1!$Q$61),4,,_xll.WSNAME(Sheet1!$Q$61))</f>
        <v>Sheet1!Q61</v>
      </c>
    </row>
    <row r="3" spans="1:8" x14ac:dyDescent="0.2">
      <c r="A3" t="s">
        <v>5</v>
      </c>
      <c r="B3">
        <f>AVERAGE(B9:B508)</f>
        <v>4.2260292756781883</v>
      </c>
      <c r="C3">
        <f>AVERAGE(C9:C508)</f>
        <v>6498.9104921845937</v>
      </c>
      <c r="D3">
        <f>AVERAGE(D9:D508)</f>
        <v>7.5386676663408254</v>
      </c>
    </row>
    <row r="4" spans="1:8" x14ac:dyDescent="0.2">
      <c r="A4" t="s">
        <v>24</v>
      </c>
      <c r="B4">
        <f>STDEV(B9:B508)</f>
        <v>0.25955153467828102</v>
      </c>
      <c r="C4">
        <f>STDEV(C9:C508)</f>
        <v>199.75835072227372</v>
      </c>
      <c r="D4">
        <f>STDEV(D9:D508)</f>
        <v>2.9353095388801327</v>
      </c>
    </row>
    <row r="5" spans="1:8" x14ac:dyDescent="0.2">
      <c r="A5" t="s">
        <v>25</v>
      </c>
      <c r="B5">
        <f>100*B4/B3</f>
        <v>6.141735367808792</v>
      </c>
      <c r="C5">
        <f>100*C4/C3</f>
        <v>3.07372060228399</v>
      </c>
      <c r="D5">
        <f>100*D4/D3</f>
        <v>38.936714931550959</v>
      </c>
      <c r="H5" s="7" t="s">
        <v>43</v>
      </c>
    </row>
    <row r="6" spans="1:8" x14ac:dyDescent="0.2">
      <c r="A6" t="s">
        <v>26</v>
      </c>
      <c r="B6">
        <f>MIN(B9:B508)</f>
        <v>3.8234280283129025</v>
      </c>
      <c r="C6">
        <f>MIN(C9:C508)</f>
        <v>6196.7567461595927</v>
      </c>
      <c r="D6">
        <f>MIN(D9:D508)</f>
        <v>3.5000001216774761</v>
      </c>
      <c r="E6" t="str">
        <f>Sheet1!L63</f>
        <v>Expectecd Minimum</v>
      </c>
      <c r="H6">
        <f>Sheet1!Q63</f>
        <v>3.5</v>
      </c>
    </row>
    <row r="7" spans="1:8" x14ac:dyDescent="0.2">
      <c r="A7" t="s">
        <v>27</v>
      </c>
      <c r="B7">
        <f>MAX(B9:B508)</f>
        <v>4.6295946347986705</v>
      </c>
      <c r="C7">
        <f>MAX(C9:C508)</f>
        <v>6790.452690654819</v>
      </c>
      <c r="D7">
        <f>MAX(D9:D508)</f>
        <v>15.399998432699965</v>
      </c>
      <c r="E7" t="str">
        <f>Sheet1!L64</f>
        <v>Expected Maximum</v>
      </c>
      <c r="H7">
        <f>Sheet1!Q64</f>
        <v>15.400000000000002</v>
      </c>
    </row>
    <row r="8" spans="1:8" x14ac:dyDescent="0.2">
      <c r="A8" t="s">
        <v>28</v>
      </c>
      <c r="B8" t="str">
        <f>Sheet1!$O$60</f>
        <v>Harvested</v>
      </c>
      <c r="C8" t="str">
        <f>Sheet1!$P$60</f>
        <v>Yield t</v>
      </c>
      <c r="D8" t="str">
        <f>Sheet1!$Q$60</f>
        <v>Price 2</v>
      </c>
    </row>
    <row r="9" spans="1:8" x14ac:dyDescent="0.2">
      <c r="A9">
        <v>1</v>
      </c>
      <c r="B9">
        <v>3.9042706212120533</v>
      </c>
      <c r="C9">
        <v>6580.1849381884922</v>
      </c>
      <c r="D9">
        <v>6.0055811055512009</v>
      </c>
    </row>
    <row r="10" spans="1:8" x14ac:dyDescent="0.2">
      <c r="A10">
        <v>2</v>
      </c>
      <c r="B10">
        <v>3.8234343769925525</v>
      </c>
      <c r="C10">
        <v>6755.4257780987837</v>
      </c>
      <c r="D10">
        <v>7.9805466331709951</v>
      </c>
      <c r="E10" t="s">
        <v>29</v>
      </c>
      <c r="H10">
        <v>3.51</v>
      </c>
    </row>
    <row r="11" spans="1:8" x14ac:dyDescent="0.2">
      <c r="A11">
        <v>3</v>
      </c>
      <c r="B11">
        <v>4.2080899285088629</v>
      </c>
      <c r="C11">
        <v>6299.2725842282771</v>
      </c>
      <c r="D11">
        <v>15.142736699170403</v>
      </c>
      <c r="E11" s="7" t="s">
        <v>41</v>
      </c>
      <c r="G11" t="str">
        <f>IF(ISBLANK($G10)=TRUE,"",_xll.EDF(C9:C508,$G10))</f>
        <v/>
      </c>
      <c r="H11">
        <f>IF(ISBLANK($H10)=TRUE,"",_xll.EDF(D9:D508,$H10))</f>
        <v>0.10020825823425591</v>
      </c>
    </row>
    <row r="12" spans="1:8" x14ac:dyDescent="0.2">
      <c r="A12">
        <v>4</v>
      </c>
      <c r="B12">
        <v>4.295526149202411</v>
      </c>
      <c r="C12">
        <v>6491.0551781238009</v>
      </c>
      <c r="D12">
        <v>3.500003327289547</v>
      </c>
      <c r="E12" t="s">
        <v>31</v>
      </c>
      <c r="H12">
        <v>15.35</v>
      </c>
    </row>
    <row r="13" spans="1:8" x14ac:dyDescent="0.2">
      <c r="A13">
        <v>5</v>
      </c>
      <c r="B13">
        <v>4.628225960789158</v>
      </c>
      <c r="C13">
        <v>6196.7595183434378</v>
      </c>
      <c r="D13">
        <v>7.9774049276525449</v>
      </c>
      <c r="E13" s="7" t="s">
        <v>42</v>
      </c>
      <c r="G13" t="str">
        <f>IF(ISBLANK($G12)=TRUE,"",_xll.EDF(C9:C508,$G12))</f>
        <v/>
      </c>
      <c r="H13">
        <f>IF(ISBLANK($H12)=TRUE,"",_xll.EDF(D9:D508,$H12))</f>
        <v>0.92161172362836363</v>
      </c>
    </row>
    <row r="14" spans="1:8" x14ac:dyDescent="0.2">
      <c r="A14">
        <v>6</v>
      </c>
      <c r="B14">
        <v>3.9404753380603159</v>
      </c>
      <c r="C14">
        <v>6523.3805004239612</v>
      </c>
      <c r="D14">
        <v>7.9202343359008403</v>
      </c>
    </row>
    <row r="15" spans="1:8" x14ac:dyDescent="0.2">
      <c r="A15">
        <v>7</v>
      </c>
      <c r="B15">
        <v>4.0749677742831745</v>
      </c>
      <c r="C15">
        <v>6273.7985310161721</v>
      </c>
      <c r="D15">
        <v>3.5000012415035648</v>
      </c>
    </row>
    <row r="16" spans="1:8" x14ac:dyDescent="0.2">
      <c r="A16">
        <v>8</v>
      </c>
      <c r="B16">
        <v>3.8234384261925829</v>
      </c>
      <c r="C16">
        <v>6540.8918936980663</v>
      </c>
      <c r="D16">
        <v>5.996472653036645</v>
      </c>
    </row>
    <row r="17" spans="1:4" x14ac:dyDescent="0.2">
      <c r="A17">
        <v>9</v>
      </c>
      <c r="B17">
        <v>4.1858488679105799</v>
      </c>
      <c r="C17">
        <v>6758.3820232274084</v>
      </c>
      <c r="D17">
        <v>7.4506548330336431</v>
      </c>
    </row>
    <row r="18" spans="1:4" x14ac:dyDescent="0.2">
      <c r="A18">
        <v>10</v>
      </c>
      <c r="B18">
        <v>4.2026199677958544</v>
      </c>
      <c r="C18">
        <v>6548.7668016841017</v>
      </c>
      <c r="D18">
        <v>7.9970958194289175</v>
      </c>
    </row>
    <row r="19" spans="1:4" x14ac:dyDescent="0.2">
      <c r="A19">
        <v>11</v>
      </c>
      <c r="B19">
        <v>3.9946731939571594</v>
      </c>
      <c r="C19">
        <v>6577.6029551815818</v>
      </c>
      <c r="D19">
        <v>15.399952968181104</v>
      </c>
    </row>
    <row r="20" spans="1:4" x14ac:dyDescent="0.2">
      <c r="A20">
        <v>12</v>
      </c>
      <c r="B20">
        <v>4.3241534679465774</v>
      </c>
      <c r="C20">
        <v>6641.622721200607</v>
      </c>
      <c r="D20">
        <v>6.389014670722986</v>
      </c>
    </row>
    <row r="21" spans="1:4" x14ac:dyDescent="0.2">
      <c r="A21">
        <v>13</v>
      </c>
      <c r="B21">
        <v>3.9818441456753058</v>
      </c>
      <c r="C21">
        <v>6269.6194173315025</v>
      </c>
      <c r="D21">
        <v>7.2407576391864952</v>
      </c>
    </row>
    <row r="22" spans="1:4" x14ac:dyDescent="0.2">
      <c r="A22">
        <v>14</v>
      </c>
      <c r="B22">
        <v>4.4066386263967789</v>
      </c>
      <c r="C22">
        <v>6512.2469073126231</v>
      </c>
      <c r="D22">
        <v>7.0345318342226184</v>
      </c>
    </row>
    <row r="23" spans="1:4" x14ac:dyDescent="0.2">
      <c r="A23">
        <v>15</v>
      </c>
      <c r="B23">
        <v>4.4721910459234406</v>
      </c>
      <c r="C23">
        <v>6344.56678956825</v>
      </c>
      <c r="D23">
        <v>8.0100556988040577</v>
      </c>
    </row>
    <row r="24" spans="1:4" x14ac:dyDescent="0.2">
      <c r="A24">
        <v>16</v>
      </c>
      <c r="B24">
        <v>4.2599457363980493</v>
      </c>
      <c r="C24">
        <v>6788.029474891574</v>
      </c>
      <c r="D24">
        <v>6.3745804419101928</v>
      </c>
    </row>
    <row r="25" spans="1:4" x14ac:dyDescent="0.2">
      <c r="A25">
        <v>17</v>
      </c>
      <c r="B25">
        <v>4.4612627274800367</v>
      </c>
      <c r="C25">
        <v>6196.7636102315091</v>
      </c>
      <c r="D25">
        <v>15.399943129118917</v>
      </c>
    </row>
    <row r="26" spans="1:4" x14ac:dyDescent="0.2">
      <c r="A26">
        <v>18</v>
      </c>
      <c r="B26">
        <v>3.8234280283129025</v>
      </c>
      <c r="C26">
        <v>6747.2462543434203</v>
      </c>
      <c r="D26">
        <v>7.3688648047744056</v>
      </c>
    </row>
    <row r="27" spans="1:4" x14ac:dyDescent="0.2">
      <c r="A27">
        <v>19</v>
      </c>
      <c r="B27">
        <v>4.1420774105238163</v>
      </c>
      <c r="C27">
        <v>6783.5380238206326</v>
      </c>
      <c r="D27">
        <v>6.0079001078725502</v>
      </c>
    </row>
    <row r="28" spans="1:4" x14ac:dyDescent="0.2">
      <c r="A28">
        <v>20</v>
      </c>
      <c r="B28">
        <v>4.6290178647975102</v>
      </c>
      <c r="C28">
        <v>6196.7666219040329</v>
      </c>
      <c r="D28">
        <v>7.2305273315636223</v>
      </c>
    </row>
    <row r="29" spans="1:4" x14ac:dyDescent="0.2">
      <c r="A29">
        <v>21</v>
      </c>
      <c r="B29">
        <v>4.3338047199900291</v>
      </c>
      <c r="C29">
        <v>6550.8211020842255</v>
      </c>
      <c r="D29">
        <v>5.9985618023932741</v>
      </c>
    </row>
    <row r="30" spans="1:4" x14ac:dyDescent="0.2">
      <c r="A30">
        <v>22</v>
      </c>
      <c r="B30">
        <v>4.6295700739017622</v>
      </c>
      <c r="C30">
        <v>6575.836449097028</v>
      </c>
      <c r="D30">
        <v>3.7952375534008382</v>
      </c>
    </row>
    <row r="31" spans="1:4" x14ac:dyDescent="0.2">
      <c r="A31">
        <v>23</v>
      </c>
      <c r="B31">
        <v>4.0700590841959841</v>
      </c>
      <c r="C31">
        <v>6488.2256719623902</v>
      </c>
      <c r="D31">
        <v>7.176224268782212</v>
      </c>
    </row>
    <row r="32" spans="1:4" x14ac:dyDescent="0.2">
      <c r="A32">
        <v>24</v>
      </c>
      <c r="B32">
        <v>3.8234336016532855</v>
      </c>
      <c r="C32">
        <v>6196.7601987898024</v>
      </c>
      <c r="D32">
        <v>6.0028749913516606</v>
      </c>
    </row>
    <row r="33" spans="1:4" x14ac:dyDescent="0.2">
      <c r="A33">
        <v>25</v>
      </c>
      <c r="B33">
        <v>4.1886838386547387</v>
      </c>
      <c r="C33">
        <v>6487.8099936377866</v>
      </c>
      <c r="D33">
        <v>5.8275257502907722</v>
      </c>
    </row>
    <row r="34" spans="1:4" x14ac:dyDescent="0.2">
      <c r="A34">
        <v>26</v>
      </c>
      <c r="B34">
        <v>3.8753135723358598</v>
      </c>
      <c r="C34">
        <v>6663.5921562515168</v>
      </c>
      <c r="D34">
        <v>6.9678194695501192</v>
      </c>
    </row>
    <row r="35" spans="1:4" x14ac:dyDescent="0.2">
      <c r="A35">
        <v>27</v>
      </c>
      <c r="B35">
        <v>4.3022272145561278</v>
      </c>
      <c r="C35">
        <v>6779.189332590754</v>
      </c>
      <c r="D35">
        <v>6.4821557401592793</v>
      </c>
    </row>
    <row r="36" spans="1:4" x14ac:dyDescent="0.2">
      <c r="A36">
        <v>28</v>
      </c>
      <c r="B36">
        <v>3.971042624155936</v>
      </c>
      <c r="C36">
        <v>6277.3602549470597</v>
      </c>
      <c r="D36">
        <v>7.2272248443776599</v>
      </c>
    </row>
    <row r="37" spans="1:4" x14ac:dyDescent="0.2">
      <c r="A37">
        <v>29</v>
      </c>
      <c r="B37">
        <v>4.4144532324326233</v>
      </c>
      <c r="C37">
        <v>6500.0305292487283</v>
      </c>
      <c r="D37">
        <v>15.399997203789056</v>
      </c>
    </row>
    <row r="38" spans="1:4" x14ac:dyDescent="0.2">
      <c r="A38">
        <v>30</v>
      </c>
      <c r="B38">
        <v>4.1743295812717793</v>
      </c>
      <c r="C38">
        <v>6570.9855505020032</v>
      </c>
      <c r="D38">
        <v>7.2332528349241603</v>
      </c>
    </row>
    <row r="39" spans="1:4" x14ac:dyDescent="0.2">
      <c r="A39">
        <v>31</v>
      </c>
      <c r="B39">
        <v>4.5506049959099881</v>
      </c>
      <c r="C39">
        <v>6790.4427962366353</v>
      </c>
      <c r="D39">
        <v>3.5000030411828735</v>
      </c>
    </row>
    <row r="40" spans="1:4" x14ac:dyDescent="0.2">
      <c r="A40">
        <v>32</v>
      </c>
      <c r="B40">
        <v>3.823435321167886</v>
      </c>
      <c r="C40">
        <v>6679.3027233524726</v>
      </c>
      <c r="D40">
        <v>6.2397499570036867</v>
      </c>
    </row>
    <row r="41" spans="1:4" x14ac:dyDescent="0.2">
      <c r="A41">
        <v>33</v>
      </c>
      <c r="B41">
        <v>4.6295590116633907</v>
      </c>
      <c r="C41">
        <v>6492.6826930957232</v>
      </c>
      <c r="D41">
        <v>6.7078375672625237</v>
      </c>
    </row>
    <row r="42" spans="1:4" x14ac:dyDescent="0.2">
      <c r="A42">
        <v>34</v>
      </c>
      <c r="B42">
        <v>4.6285274140804633</v>
      </c>
      <c r="C42">
        <v>6267.6973428770516</v>
      </c>
      <c r="D42">
        <v>15.399938957436634</v>
      </c>
    </row>
    <row r="43" spans="1:4" x14ac:dyDescent="0.2">
      <c r="A43">
        <v>35</v>
      </c>
      <c r="B43">
        <v>3.9841606810534618</v>
      </c>
      <c r="C43">
        <v>6560.4144299689642</v>
      </c>
      <c r="D43">
        <v>7.1881391143992426</v>
      </c>
    </row>
    <row r="44" spans="1:4" x14ac:dyDescent="0.2">
      <c r="A44">
        <v>36</v>
      </c>
      <c r="B44">
        <v>4.0150421870544983</v>
      </c>
      <c r="C44">
        <v>6569.0336499408368</v>
      </c>
      <c r="D44">
        <v>5.9999010381925189</v>
      </c>
    </row>
    <row r="45" spans="1:4" x14ac:dyDescent="0.2">
      <c r="A45">
        <v>37</v>
      </c>
      <c r="B45">
        <v>4.5892918806818868</v>
      </c>
      <c r="C45">
        <v>6759.895759459554</v>
      </c>
      <c r="D45">
        <v>3.5000053770428616</v>
      </c>
    </row>
    <row r="46" spans="1:4" x14ac:dyDescent="0.2">
      <c r="A46">
        <v>38</v>
      </c>
      <c r="B46">
        <v>4.6295645163210493</v>
      </c>
      <c r="C46">
        <v>6218.0917600718976</v>
      </c>
      <c r="D46">
        <v>15.399992439533964</v>
      </c>
    </row>
    <row r="47" spans="1:4" x14ac:dyDescent="0.2">
      <c r="A47">
        <v>39</v>
      </c>
      <c r="B47">
        <v>4.6286353262547237</v>
      </c>
      <c r="C47">
        <v>6676.6524007208773</v>
      </c>
      <c r="D47">
        <v>15.399967532332447</v>
      </c>
    </row>
    <row r="48" spans="1:4" x14ac:dyDescent="0.2">
      <c r="A48">
        <v>40</v>
      </c>
      <c r="B48">
        <v>4.1888436038552159</v>
      </c>
      <c r="C48">
        <v>6780.3366623889642</v>
      </c>
      <c r="D48">
        <v>7.2131023746190008</v>
      </c>
    </row>
    <row r="49" spans="1:4" x14ac:dyDescent="0.2">
      <c r="A49">
        <v>41</v>
      </c>
      <c r="B49">
        <v>4.629562987935377</v>
      </c>
      <c r="C49">
        <v>6441.6904823103996</v>
      </c>
      <c r="D49">
        <v>6.0084477423006835</v>
      </c>
    </row>
    <row r="50" spans="1:4" x14ac:dyDescent="0.2">
      <c r="A50">
        <v>42</v>
      </c>
      <c r="B50">
        <v>4.3122726599150498</v>
      </c>
      <c r="C50">
        <v>6211.2638014008789</v>
      </c>
      <c r="D50">
        <v>6.0075476659028801</v>
      </c>
    </row>
    <row r="51" spans="1:4" x14ac:dyDescent="0.2">
      <c r="A51">
        <v>43</v>
      </c>
      <c r="B51">
        <v>3.9910976509260618</v>
      </c>
      <c r="C51">
        <v>6580.4453621197245</v>
      </c>
      <c r="D51">
        <v>8.0485962151313686</v>
      </c>
    </row>
    <row r="52" spans="1:4" x14ac:dyDescent="0.2">
      <c r="A52">
        <v>44</v>
      </c>
      <c r="B52">
        <v>3.9747196220070893</v>
      </c>
      <c r="C52">
        <v>6745.4926893522261</v>
      </c>
      <c r="D52">
        <v>15.399936637596532</v>
      </c>
    </row>
    <row r="53" spans="1:4" x14ac:dyDescent="0.2">
      <c r="A53">
        <v>45</v>
      </c>
      <c r="B53">
        <v>4.0173469049134454</v>
      </c>
      <c r="C53">
        <v>6753.6818609992279</v>
      </c>
      <c r="D53">
        <v>7.2916744812209444</v>
      </c>
    </row>
    <row r="54" spans="1:4" x14ac:dyDescent="0.2">
      <c r="A54">
        <v>46</v>
      </c>
      <c r="B54">
        <v>4.2139376573434131</v>
      </c>
      <c r="C54">
        <v>6787.7683647096255</v>
      </c>
      <c r="D54">
        <v>7.0062834471506399</v>
      </c>
    </row>
    <row r="55" spans="1:4" x14ac:dyDescent="0.2">
      <c r="A55">
        <v>47</v>
      </c>
      <c r="B55">
        <v>4.2408791451354801</v>
      </c>
      <c r="C55">
        <v>6336.7424390646465</v>
      </c>
      <c r="D55">
        <v>7.2862212310456247</v>
      </c>
    </row>
    <row r="56" spans="1:4" x14ac:dyDescent="0.2">
      <c r="A56">
        <v>48</v>
      </c>
      <c r="B56">
        <v>4.0115922629024006</v>
      </c>
      <c r="C56">
        <v>6728.0721626437908</v>
      </c>
      <c r="D56">
        <v>8.1976840473346613</v>
      </c>
    </row>
    <row r="57" spans="1:4" x14ac:dyDescent="0.2">
      <c r="A57">
        <v>49</v>
      </c>
      <c r="B57">
        <v>4.0293888428691877</v>
      </c>
      <c r="C57">
        <v>6244.8779292099834</v>
      </c>
      <c r="D57">
        <v>6.2616525353182615</v>
      </c>
    </row>
    <row r="58" spans="1:4" x14ac:dyDescent="0.2">
      <c r="A58">
        <v>50</v>
      </c>
      <c r="B58">
        <v>4.2289739055136506</v>
      </c>
      <c r="C58">
        <v>6224.5270271009904</v>
      </c>
      <c r="D58">
        <v>14.881553359782774</v>
      </c>
    </row>
    <row r="59" spans="1:4" x14ac:dyDescent="0.2">
      <c r="A59">
        <v>51</v>
      </c>
      <c r="B59">
        <v>4.199875607196538</v>
      </c>
      <c r="C59">
        <v>6587.8059912634162</v>
      </c>
      <c r="D59">
        <v>7.2162423424118245</v>
      </c>
    </row>
    <row r="60" spans="1:4" x14ac:dyDescent="0.2">
      <c r="A60">
        <v>52</v>
      </c>
      <c r="B60">
        <v>4.3407615398306651</v>
      </c>
      <c r="C60">
        <v>6426.3133653054247</v>
      </c>
      <c r="D60">
        <v>15.39993302191715</v>
      </c>
    </row>
    <row r="61" spans="1:4" x14ac:dyDescent="0.2">
      <c r="A61">
        <v>53</v>
      </c>
      <c r="B61">
        <v>4.1597878551762202</v>
      </c>
      <c r="C61">
        <v>6451.7260499254116</v>
      </c>
      <c r="D61">
        <v>3.5000064774655102</v>
      </c>
    </row>
    <row r="62" spans="1:4" x14ac:dyDescent="0.2">
      <c r="A62">
        <v>54</v>
      </c>
      <c r="B62">
        <v>4.0435274266835588</v>
      </c>
      <c r="C62">
        <v>6254.4552659402816</v>
      </c>
      <c r="D62">
        <v>15.39997393906547</v>
      </c>
    </row>
    <row r="63" spans="1:4" x14ac:dyDescent="0.2">
      <c r="A63">
        <v>55</v>
      </c>
      <c r="B63">
        <v>4.2423972063279436</v>
      </c>
      <c r="C63">
        <v>6196.7810354717967</v>
      </c>
      <c r="D63">
        <v>7.2042139956525197</v>
      </c>
    </row>
    <row r="64" spans="1:4" x14ac:dyDescent="0.2">
      <c r="A64">
        <v>56</v>
      </c>
      <c r="B64">
        <v>4.5755929093655947</v>
      </c>
      <c r="C64">
        <v>6463.1396788448792</v>
      </c>
      <c r="D64">
        <v>13.72906379502078</v>
      </c>
    </row>
    <row r="65" spans="1:4" x14ac:dyDescent="0.2">
      <c r="A65">
        <v>57</v>
      </c>
      <c r="B65">
        <v>3.9884836870896083</v>
      </c>
      <c r="C65">
        <v>6534.40080395938</v>
      </c>
      <c r="D65">
        <v>7.201324745841303</v>
      </c>
    </row>
    <row r="66" spans="1:4" x14ac:dyDescent="0.2">
      <c r="A66">
        <v>58</v>
      </c>
      <c r="B66">
        <v>4.1868671714457895</v>
      </c>
      <c r="C66">
        <v>6196.7677234195435</v>
      </c>
      <c r="D66">
        <v>7.7604363688800522</v>
      </c>
    </row>
    <row r="67" spans="1:4" x14ac:dyDescent="0.2">
      <c r="A67">
        <v>59</v>
      </c>
      <c r="B67">
        <v>3.9493783251754326</v>
      </c>
      <c r="C67">
        <v>6778.205010027872</v>
      </c>
      <c r="D67">
        <v>6.3129337002070915</v>
      </c>
    </row>
    <row r="68" spans="1:4" x14ac:dyDescent="0.2">
      <c r="A68">
        <v>60</v>
      </c>
      <c r="B68">
        <v>4.467520321426405</v>
      </c>
      <c r="C68">
        <v>6782.6893707830704</v>
      </c>
      <c r="D68">
        <v>3.5000002057555522</v>
      </c>
    </row>
    <row r="69" spans="1:4" x14ac:dyDescent="0.2">
      <c r="A69">
        <v>61</v>
      </c>
      <c r="B69">
        <v>4.0661288516988412</v>
      </c>
      <c r="C69">
        <v>6493.7463439912917</v>
      </c>
      <c r="D69">
        <v>7.185669397417831</v>
      </c>
    </row>
    <row r="70" spans="1:4" x14ac:dyDescent="0.2">
      <c r="A70">
        <v>62</v>
      </c>
      <c r="B70">
        <v>4.1851894419889728</v>
      </c>
      <c r="C70">
        <v>6739.3165290018842</v>
      </c>
      <c r="D70">
        <v>6.3508919963054087</v>
      </c>
    </row>
    <row r="71" spans="1:4" x14ac:dyDescent="0.2">
      <c r="A71">
        <v>63</v>
      </c>
      <c r="B71">
        <v>4.6295933533364213</v>
      </c>
      <c r="C71">
        <v>6196.7719150844523</v>
      </c>
      <c r="D71">
        <v>3.5000050727554055</v>
      </c>
    </row>
    <row r="72" spans="1:4" x14ac:dyDescent="0.2">
      <c r="A72">
        <v>64</v>
      </c>
      <c r="B72">
        <v>4.1885162682960742</v>
      </c>
      <c r="C72">
        <v>6780.8733624221341</v>
      </c>
      <c r="D72">
        <v>3.5000056199757661</v>
      </c>
    </row>
    <row r="73" spans="1:4" x14ac:dyDescent="0.2">
      <c r="A73">
        <v>65</v>
      </c>
      <c r="B73">
        <v>4.3300670675249071</v>
      </c>
      <c r="C73">
        <v>6270.6498468081309</v>
      </c>
      <c r="D73">
        <v>7.9262833705915483</v>
      </c>
    </row>
    <row r="74" spans="1:4" x14ac:dyDescent="0.2">
      <c r="A74">
        <v>66</v>
      </c>
      <c r="B74">
        <v>4.1641770794306279</v>
      </c>
      <c r="C74">
        <v>6790.446035027946</v>
      </c>
      <c r="D74">
        <v>6.6461307592597736</v>
      </c>
    </row>
    <row r="75" spans="1:4" x14ac:dyDescent="0.2">
      <c r="A75">
        <v>67</v>
      </c>
      <c r="B75">
        <v>4.1264156871824618</v>
      </c>
      <c r="C75">
        <v>6565.8996963512373</v>
      </c>
      <c r="D75">
        <v>3.5000040909238885</v>
      </c>
    </row>
    <row r="76" spans="1:4" x14ac:dyDescent="0.2">
      <c r="A76">
        <v>68</v>
      </c>
      <c r="B76">
        <v>4.1882192202181479</v>
      </c>
      <c r="C76">
        <v>6306.6868118043003</v>
      </c>
      <c r="D76">
        <v>3.50000385335606</v>
      </c>
    </row>
    <row r="77" spans="1:4" x14ac:dyDescent="0.2">
      <c r="A77">
        <v>69</v>
      </c>
      <c r="B77">
        <v>4.1845072504427687</v>
      </c>
      <c r="C77">
        <v>6777.0777098311664</v>
      </c>
      <c r="D77">
        <v>7.2185620155650998</v>
      </c>
    </row>
    <row r="78" spans="1:4" x14ac:dyDescent="0.2">
      <c r="A78">
        <v>70</v>
      </c>
      <c r="B78">
        <v>4.1839028325357752</v>
      </c>
      <c r="C78">
        <v>6400.5708775006833</v>
      </c>
      <c r="D78">
        <v>7.5813426475072596</v>
      </c>
    </row>
    <row r="79" spans="1:4" x14ac:dyDescent="0.2">
      <c r="A79">
        <v>71</v>
      </c>
      <c r="B79">
        <v>3.8234583481380886</v>
      </c>
      <c r="C79">
        <v>6514.032923982857</v>
      </c>
      <c r="D79">
        <v>7.9331965198933529</v>
      </c>
    </row>
    <row r="80" spans="1:4" x14ac:dyDescent="0.2">
      <c r="A80">
        <v>72</v>
      </c>
      <c r="B80">
        <v>4.3447259663649778</v>
      </c>
      <c r="C80">
        <v>6761.8013410406429</v>
      </c>
      <c r="D80">
        <v>3.5000017821403295</v>
      </c>
    </row>
    <row r="81" spans="1:4" x14ac:dyDescent="0.2">
      <c r="A81">
        <v>73</v>
      </c>
      <c r="B81">
        <v>3.8234649758954902</v>
      </c>
      <c r="C81">
        <v>6277.9097590834144</v>
      </c>
      <c r="D81">
        <v>7.2759643445798483</v>
      </c>
    </row>
    <row r="82" spans="1:4" x14ac:dyDescent="0.2">
      <c r="A82">
        <v>74</v>
      </c>
      <c r="B82">
        <v>4.6290628935821339</v>
      </c>
      <c r="C82">
        <v>6221.2497649410216</v>
      </c>
      <c r="D82">
        <v>4.7651356920620511</v>
      </c>
    </row>
    <row r="83" spans="1:4" x14ac:dyDescent="0.2">
      <c r="A83">
        <v>75</v>
      </c>
      <c r="B83">
        <v>4.5963702315585779</v>
      </c>
      <c r="C83">
        <v>6229.6194577047781</v>
      </c>
      <c r="D83">
        <v>3.5000025953810474</v>
      </c>
    </row>
    <row r="84" spans="1:4" x14ac:dyDescent="0.2">
      <c r="A84">
        <v>76</v>
      </c>
      <c r="B84">
        <v>4.2338351502115525</v>
      </c>
      <c r="C84">
        <v>6790.4238919519958</v>
      </c>
      <c r="D84">
        <v>8.002432800699415</v>
      </c>
    </row>
    <row r="85" spans="1:4" x14ac:dyDescent="0.2">
      <c r="A85">
        <v>77</v>
      </c>
      <c r="B85">
        <v>3.8234439593331015</v>
      </c>
      <c r="C85">
        <v>6613.9070042986732</v>
      </c>
      <c r="D85">
        <v>6.633965772657481</v>
      </c>
    </row>
    <row r="86" spans="1:4" x14ac:dyDescent="0.2">
      <c r="A86">
        <v>78</v>
      </c>
      <c r="B86">
        <v>4.2924838088335431</v>
      </c>
      <c r="C86">
        <v>6790.4370573253764</v>
      </c>
      <c r="D86">
        <v>15.399983260706559</v>
      </c>
    </row>
    <row r="87" spans="1:4" x14ac:dyDescent="0.2">
      <c r="A87">
        <v>79</v>
      </c>
      <c r="B87">
        <v>4.319870961672466</v>
      </c>
      <c r="C87">
        <v>6503.2610141596806</v>
      </c>
      <c r="D87">
        <v>7.2788968863472325</v>
      </c>
    </row>
    <row r="88" spans="1:4" x14ac:dyDescent="0.2">
      <c r="A88">
        <v>80</v>
      </c>
      <c r="B88">
        <v>4.004504461422151</v>
      </c>
      <c r="C88">
        <v>6282.4434153165566</v>
      </c>
      <c r="D88">
        <v>6.6870533247842472</v>
      </c>
    </row>
    <row r="89" spans="1:4" x14ac:dyDescent="0.2">
      <c r="A89">
        <v>81</v>
      </c>
      <c r="B89">
        <v>4.016272556613032</v>
      </c>
      <c r="C89">
        <v>6483.7076009578004</v>
      </c>
      <c r="D89">
        <v>7.1821170482560595</v>
      </c>
    </row>
    <row r="90" spans="1:4" x14ac:dyDescent="0.2">
      <c r="A90">
        <v>82</v>
      </c>
      <c r="B90">
        <v>3.8234604203507221</v>
      </c>
      <c r="C90">
        <v>6712.5036687545698</v>
      </c>
      <c r="D90">
        <v>7.9910623701748786</v>
      </c>
    </row>
    <row r="91" spans="1:4" x14ac:dyDescent="0.2">
      <c r="A91">
        <v>83</v>
      </c>
      <c r="B91">
        <v>4.5168771193931594</v>
      </c>
      <c r="C91">
        <v>6363.9112346639376</v>
      </c>
      <c r="D91">
        <v>6.0015108902511187</v>
      </c>
    </row>
    <row r="92" spans="1:4" x14ac:dyDescent="0.2">
      <c r="A92">
        <v>84</v>
      </c>
      <c r="B92">
        <v>3.8234485291996601</v>
      </c>
      <c r="C92">
        <v>6196.7837178601767</v>
      </c>
      <c r="D92">
        <v>7.5432311460804193</v>
      </c>
    </row>
    <row r="93" spans="1:4" x14ac:dyDescent="0.2">
      <c r="A93">
        <v>85</v>
      </c>
      <c r="B93">
        <v>3.9682662105519468</v>
      </c>
      <c r="C93">
        <v>6541.9453747542684</v>
      </c>
      <c r="D93">
        <v>6.4314949667790859</v>
      </c>
    </row>
    <row r="94" spans="1:4" x14ac:dyDescent="0.2">
      <c r="A94">
        <v>86</v>
      </c>
      <c r="B94">
        <v>4.6278134776396849</v>
      </c>
      <c r="C94">
        <v>6495.0530959873404</v>
      </c>
      <c r="D94">
        <v>3.5000001216774761</v>
      </c>
    </row>
    <row r="95" spans="1:4" x14ac:dyDescent="0.2">
      <c r="A95">
        <v>87</v>
      </c>
      <c r="B95">
        <v>4.007365911634813</v>
      </c>
      <c r="C95">
        <v>6750.7874845199103</v>
      </c>
      <c r="D95">
        <v>6.4454596200843257</v>
      </c>
    </row>
    <row r="96" spans="1:4" x14ac:dyDescent="0.2">
      <c r="A96">
        <v>88</v>
      </c>
      <c r="B96">
        <v>4.629589071982565</v>
      </c>
      <c r="C96">
        <v>6578.8884254975937</v>
      </c>
      <c r="D96">
        <v>7.9183286581099086</v>
      </c>
    </row>
    <row r="97" spans="1:4" x14ac:dyDescent="0.2">
      <c r="A97">
        <v>89</v>
      </c>
      <c r="B97">
        <v>4.5282534105288406</v>
      </c>
      <c r="C97">
        <v>6515.902806687347</v>
      </c>
      <c r="D97">
        <v>7.9226909090590247</v>
      </c>
    </row>
    <row r="98" spans="1:4" x14ac:dyDescent="0.2">
      <c r="A98">
        <v>90</v>
      </c>
      <c r="B98">
        <v>4.6278826343711419</v>
      </c>
      <c r="C98">
        <v>6784.5565972828381</v>
      </c>
      <c r="D98">
        <v>7.1929321418749224</v>
      </c>
    </row>
    <row r="99" spans="1:4" x14ac:dyDescent="0.2">
      <c r="A99">
        <v>91</v>
      </c>
      <c r="B99">
        <v>3.9134527027868149</v>
      </c>
      <c r="C99">
        <v>6196.7784365436046</v>
      </c>
      <c r="D99">
        <v>7.2720563256171218</v>
      </c>
    </row>
    <row r="100" spans="1:4" x14ac:dyDescent="0.2">
      <c r="A100">
        <v>92</v>
      </c>
      <c r="B100">
        <v>4.6295676987894474</v>
      </c>
      <c r="C100">
        <v>6656.6131901159069</v>
      </c>
      <c r="D100">
        <v>10.135671216252923</v>
      </c>
    </row>
    <row r="101" spans="1:4" x14ac:dyDescent="0.2">
      <c r="A101">
        <v>93</v>
      </c>
      <c r="B101">
        <v>3.9280386280019925</v>
      </c>
      <c r="C101">
        <v>6255.4310690956927</v>
      </c>
      <c r="D101">
        <v>7.2426413259540574</v>
      </c>
    </row>
    <row r="102" spans="1:4" x14ac:dyDescent="0.2">
      <c r="A102">
        <v>94</v>
      </c>
      <c r="B102">
        <v>4.6285797629619259</v>
      </c>
      <c r="C102">
        <v>6196.7587883189108</v>
      </c>
      <c r="D102">
        <v>3.5000007941118918</v>
      </c>
    </row>
    <row r="103" spans="1:4" x14ac:dyDescent="0.2">
      <c r="A103">
        <v>95</v>
      </c>
      <c r="B103">
        <v>4.6295279915018206</v>
      </c>
      <c r="C103">
        <v>6581.3232874989972</v>
      </c>
      <c r="D103">
        <v>7.2170213324143937</v>
      </c>
    </row>
    <row r="104" spans="1:4" x14ac:dyDescent="0.2">
      <c r="A104">
        <v>96</v>
      </c>
      <c r="B104">
        <v>4.2388140669481125</v>
      </c>
      <c r="C104">
        <v>6226.7029639158081</v>
      </c>
      <c r="D104">
        <v>7.4265868162155435</v>
      </c>
    </row>
    <row r="105" spans="1:4" x14ac:dyDescent="0.2">
      <c r="A105">
        <v>97</v>
      </c>
      <c r="B105">
        <v>4.143635495790738</v>
      </c>
      <c r="C105">
        <v>6672.4438935900434</v>
      </c>
      <c r="D105">
        <v>7.2713105521551071</v>
      </c>
    </row>
    <row r="106" spans="1:4" x14ac:dyDescent="0.2">
      <c r="A106">
        <v>98</v>
      </c>
      <c r="B106">
        <v>4.0950530034174832</v>
      </c>
      <c r="C106">
        <v>6486.5362158793305</v>
      </c>
      <c r="D106">
        <v>7.6336996069824661</v>
      </c>
    </row>
    <row r="107" spans="1:4" x14ac:dyDescent="0.2">
      <c r="A107">
        <v>99</v>
      </c>
      <c r="B107">
        <v>4.1844037471023006</v>
      </c>
      <c r="C107">
        <v>6538.0478769947385</v>
      </c>
      <c r="D107">
        <v>7.2811528872646392</v>
      </c>
    </row>
    <row r="108" spans="1:4" x14ac:dyDescent="0.2">
      <c r="A108">
        <v>100</v>
      </c>
      <c r="B108">
        <v>4.1850681980514972</v>
      </c>
      <c r="C108">
        <v>6392.5630052957586</v>
      </c>
      <c r="D108">
        <v>7.2156127544362283</v>
      </c>
    </row>
    <row r="109" spans="1:4" x14ac:dyDescent="0.2">
      <c r="A109">
        <v>101</v>
      </c>
      <c r="B109">
        <v>3.8234455100521494</v>
      </c>
      <c r="C109">
        <v>6196.7826480056792</v>
      </c>
      <c r="D109">
        <v>7.8432188752982626</v>
      </c>
    </row>
    <row r="110" spans="1:4" x14ac:dyDescent="0.2">
      <c r="A110">
        <v>102</v>
      </c>
      <c r="B110">
        <v>4.4703968887273371</v>
      </c>
      <c r="C110">
        <v>6556.8768273689675</v>
      </c>
      <c r="D110">
        <v>7.1008944777403045</v>
      </c>
    </row>
    <row r="111" spans="1:4" x14ac:dyDescent="0.2">
      <c r="A111">
        <v>103</v>
      </c>
      <c r="B111">
        <v>4.1801788425567574</v>
      </c>
      <c r="C111">
        <v>6389.7490950223173</v>
      </c>
      <c r="D111">
        <v>6.5169879199734604</v>
      </c>
    </row>
    <row r="112" spans="1:4" x14ac:dyDescent="0.2">
      <c r="A112">
        <v>104</v>
      </c>
      <c r="B112">
        <v>4.1119035808105471</v>
      </c>
      <c r="C112">
        <v>6325.5489762516618</v>
      </c>
      <c r="D112">
        <v>6.0356512750101423</v>
      </c>
    </row>
    <row r="113" spans="1:4" x14ac:dyDescent="0.2">
      <c r="A113">
        <v>105</v>
      </c>
      <c r="B113">
        <v>4.0016368774692559</v>
      </c>
      <c r="C113">
        <v>6408.7936644566353</v>
      </c>
      <c r="D113">
        <v>6.1378592116837085</v>
      </c>
    </row>
    <row r="114" spans="1:4" x14ac:dyDescent="0.2">
      <c r="A114">
        <v>106</v>
      </c>
      <c r="B114">
        <v>4.1532431462279309</v>
      </c>
      <c r="C114">
        <v>6275.9636980602027</v>
      </c>
      <c r="D114">
        <v>3.5000009018465006</v>
      </c>
    </row>
    <row r="115" spans="1:4" x14ac:dyDescent="0.2">
      <c r="A115">
        <v>107</v>
      </c>
      <c r="B115">
        <v>4.3102965081353553</v>
      </c>
      <c r="C115">
        <v>6356.4870301884321</v>
      </c>
      <c r="D115">
        <v>15.399961356580706</v>
      </c>
    </row>
    <row r="116" spans="1:4" x14ac:dyDescent="0.2">
      <c r="A116">
        <v>108</v>
      </c>
      <c r="B116">
        <v>3.9982998817376973</v>
      </c>
      <c r="C116">
        <v>6428.2872761389217</v>
      </c>
      <c r="D116">
        <v>6.2780799739805264</v>
      </c>
    </row>
    <row r="117" spans="1:4" x14ac:dyDescent="0.2">
      <c r="A117">
        <v>109</v>
      </c>
      <c r="B117">
        <v>4.6283557324577309</v>
      </c>
      <c r="C117">
        <v>6204.4716388893585</v>
      </c>
      <c r="D117">
        <v>9.3834880689983144</v>
      </c>
    </row>
    <row r="118" spans="1:4" x14ac:dyDescent="0.2">
      <c r="A118">
        <v>110</v>
      </c>
      <c r="B118">
        <v>3.9659483212121422</v>
      </c>
      <c r="C118">
        <v>6323.4421336779078</v>
      </c>
      <c r="D118">
        <v>7.9482269070292029</v>
      </c>
    </row>
    <row r="119" spans="1:4" x14ac:dyDescent="0.2">
      <c r="A119">
        <v>111</v>
      </c>
      <c r="B119">
        <v>4.5533897541072905</v>
      </c>
      <c r="C119">
        <v>6196.7758171025253</v>
      </c>
      <c r="D119">
        <v>7.239494082712298</v>
      </c>
    </row>
    <row r="120" spans="1:4" x14ac:dyDescent="0.2">
      <c r="A120">
        <v>112</v>
      </c>
      <c r="B120">
        <v>4.6295717378861445</v>
      </c>
      <c r="C120">
        <v>6555.477389093684</v>
      </c>
      <c r="D120">
        <v>6.1628264078690806</v>
      </c>
    </row>
    <row r="121" spans="1:4" x14ac:dyDescent="0.2">
      <c r="A121">
        <v>113</v>
      </c>
      <c r="B121">
        <v>4.2869429984381586</v>
      </c>
      <c r="C121">
        <v>6556.5569225168883</v>
      </c>
      <c r="D121">
        <v>7.2111528177319917</v>
      </c>
    </row>
    <row r="122" spans="1:4" x14ac:dyDescent="0.2">
      <c r="A122">
        <v>114</v>
      </c>
      <c r="B122">
        <v>4.1849654869316346</v>
      </c>
      <c r="C122">
        <v>6777.5433800044075</v>
      </c>
      <c r="D122">
        <v>7.1529606203623821</v>
      </c>
    </row>
    <row r="123" spans="1:4" x14ac:dyDescent="0.2">
      <c r="A123">
        <v>115</v>
      </c>
      <c r="B123">
        <v>3.9958070277968187</v>
      </c>
      <c r="C123">
        <v>6266.8102724439996</v>
      </c>
      <c r="D123">
        <v>6.5974040352171812</v>
      </c>
    </row>
    <row r="124" spans="1:4" x14ac:dyDescent="0.2">
      <c r="A124">
        <v>116</v>
      </c>
      <c r="B124">
        <v>3.8943328262880947</v>
      </c>
      <c r="C124">
        <v>6261.1366295535918</v>
      </c>
      <c r="D124">
        <v>5.9973690186557942</v>
      </c>
    </row>
    <row r="125" spans="1:4" x14ac:dyDescent="0.2">
      <c r="A125">
        <v>117</v>
      </c>
      <c r="B125">
        <v>4.0786964638141416</v>
      </c>
      <c r="C125">
        <v>6196.776868393008</v>
      </c>
      <c r="D125">
        <v>7.178515451306823</v>
      </c>
    </row>
    <row r="126" spans="1:4" x14ac:dyDescent="0.2">
      <c r="A126">
        <v>118</v>
      </c>
      <c r="B126">
        <v>4.0360304276616272</v>
      </c>
      <c r="C126">
        <v>6790.4434215213696</v>
      </c>
      <c r="D126">
        <v>6.002270356564102</v>
      </c>
    </row>
    <row r="127" spans="1:4" x14ac:dyDescent="0.2">
      <c r="A127">
        <v>119</v>
      </c>
      <c r="B127">
        <v>4.6288634050646262</v>
      </c>
      <c r="C127">
        <v>6659.8350983043556</v>
      </c>
      <c r="D127">
        <v>7.2227071212922773</v>
      </c>
    </row>
    <row r="128" spans="1:4" x14ac:dyDescent="0.2">
      <c r="A128">
        <v>120</v>
      </c>
      <c r="B128">
        <v>4.6291452869395648</v>
      </c>
      <c r="C128">
        <v>6790.452690654819</v>
      </c>
      <c r="D128">
        <v>7.195299718986039</v>
      </c>
    </row>
    <row r="129" spans="1:4" x14ac:dyDescent="0.2">
      <c r="A129">
        <v>121</v>
      </c>
      <c r="B129">
        <v>4.2954487763673033</v>
      </c>
      <c r="C129">
        <v>6455.2679483285729</v>
      </c>
      <c r="D129">
        <v>3.5000016469661999</v>
      </c>
    </row>
    <row r="130" spans="1:4" x14ac:dyDescent="0.2">
      <c r="A130">
        <v>122</v>
      </c>
      <c r="B130">
        <v>4.1876377512019536</v>
      </c>
      <c r="C130">
        <v>6631.1737435492041</v>
      </c>
      <c r="D130">
        <v>6.6633583863352186</v>
      </c>
    </row>
    <row r="131" spans="1:4" x14ac:dyDescent="0.2">
      <c r="A131">
        <v>123</v>
      </c>
      <c r="B131">
        <v>3.9729921824279169</v>
      </c>
      <c r="C131">
        <v>6490.6817995220053</v>
      </c>
      <c r="D131">
        <v>7.9402943378994495</v>
      </c>
    </row>
    <row r="132" spans="1:4" x14ac:dyDescent="0.2">
      <c r="A132">
        <v>124</v>
      </c>
      <c r="B132">
        <v>4.6283783924102293</v>
      </c>
      <c r="C132">
        <v>6724.4306698029759</v>
      </c>
      <c r="D132">
        <v>3.500000295398725</v>
      </c>
    </row>
    <row r="133" spans="1:4" x14ac:dyDescent="0.2">
      <c r="A133">
        <v>125</v>
      </c>
      <c r="B133">
        <v>4.3707765779468843</v>
      </c>
      <c r="C133">
        <v>6291.4313536063892</v>
      </c>
      <c r="D133">
        <v>15.399989615187465</v>
      </c>
    </row>
    <row r="134" spans="1:4" x14ac:dyDescent="0.2">
      <c r="A134">
        <v>126</v>
      </c>
      <c r="B134">
        <v>4.1869713695069724</v>
      </c>
      <c r="C134">
        <v>6627.6626529211762</v>
      </c>
      <c r="D134">
        <v>3.5000042518201369</v>
      </c>
    </row>
    <row r="135" spans="1:4" x14ac:dyDescent="0.2">
      <c r="A135">
        <v>127</v>
      </c>
      <c r="B135">
        <v>3.9764862479191763</v>
      </c>
      <c r="C135">
        <v>6533.2189985141049</v>
      </c>
      <c r="D135">
        <v>7.0701803925063205</v>
      </c>
    </row>
    <row r="136" spans="1:4" x14ac:dyDescent="0.2">
      <c r="A136">
        <v>128</v>
      </c>
      <c r="B136">
        <v>4.1857177358605249</v>
      </c>
      <c r="C136">
        <v>6386.0227482637556</v>
      </c>
      <c r="D136">
        <v>7.2263787978446841</v>
      </c>
    </row>
    <row r="137" spans="1:4" x14ac:dyDescent="0.2">
      <c r="A137">
        <v>129</v>
      </c>
      <c r="B137">
        <v>4.6279359707516496</v>
      </c>
      <c r="C137">
        <v>6490.3834547818506</v>
      </c>
      <c r="D137">
        <v>8.0356287133405484</v>
      </c>
    </row>
    <row r="138" spans="1:4" x14ac:dyDescent="0.2">
      <c r="A138">
        <v>130</v>
      </c>
      <c r="B138">
        <v>4.2841600437040608</v>
      </c>
      <c r="C138">
        <v>6790.4280952054678</v>
      </c>
      <c r="D138">
        <v>5.9972027895399442</v>
      </c>
    </row>
    <row r="139" spans="1:4" x14ac:dyDescent="0.2">
      <c r="A139">
        <v>131</v>
      </c>
      <c r="B139">
        <v>4.2477225369585385</v>
      </c>
      <c r="C139">
        <v>6585.9367167372911</v>
      </c>
      <c r="D139">
        <v>9.7448909071873917</v>
      </c>
    </row>
    <row r="140" spans="1:4" x14ac:dyDescent="0.2">
      <c r="A140">
        <v>132</v>
      </c>
      <c r="B140">
        <v>4.0209934017170408</v>
      </c>
      <c r="C140">
        <v>6786.499525216982</v>
      </c>
      <c r="D140">
        <v>15.399950332381769</v>
      </c>
    </row>
    <row r="141" spans="1:4" x14ac:dyDescent="0.2">
      <c r="A141">
        <v>133</v>
      </c>
      <c r="B141">
        <v>4.1219751453281459</v>
      </c>
      <c r="C141">
        <v>6588.4467687779961</v>
      </c>
      <c r="D141">
        <v>7.1938444078601309</v>
      </c>
    </row>
    <row r="142" spans="1:4" x14ac:dyDescent="0.2">
      <c r="A142">
        <v>134</v>
      </c>
      <c r="B142">
        <v>3.9752177380244231</v>
      </c>
      <c r="C142">
        <v>6495.1013683395249</v>
      </c>
      <c r="D142">
        <v>5.6397470301803851</v>
      </c>
    </row>
    <row r="143" spans="1:4" x14ac:dyDescent="0.2">
      <c r="A143">
        <v>135</v>
      </c>
      <c r="B143">
        <v>4.4344333079627019</v>
      </c>
      <c r="C143">
        <v>6648.5750007587312</v>
      </c>
      <c r="D143">
        <v>6.0063332270551602</v>
      </c>
    </row>
    <row r="144" spans="1:4" x14ac:dyDescent="0.2">
      <c r="A144">
        <v>136</v>
      </c>
      <c r="B144">
        <v>4.6283007943642156</v>
      </c>
      <c r="C144">
        <v>6497.3618574236925</v>
      </c>
      <c r="D144">
        <v>6.0059234861765276</v>
      </c>
    </row>
    <row r="145" spans="1:4" x14ac:dyDescent="0.2">
      <c r="A145">
        <v>137</v>
      </c>
      <c r="B145">
        <v>4.4876434097821347</v>
      </c>
      <c r="C145">
        <v>6633.2905017633248</v>
      </c>
      <c r="D145">
        <v>7.2877428345477639</v>
      </c>
    </row>
    <row r="146" spans="1:4" x14ac:dyDescent="0.2">
      <c r="A146">
        <v>138</v>
      </c>
      <c r="B146">
        <v>4.3357962053830379</v>
      </c>
      <c r="C146">
        <v>6510.8229827625064</v>
      </c>
      <c r="D146">
        <v>3.5000004859493989</v>
      </c>
    </row>
    <row r="147" spans="1:4" x14ac:dyDescent="0.2">
      <c r="A147">
        <v>139</v>
      </c>
      <c r="B147">
        <v>4.3789956958062888</v>
      </c>
      <c r="C147">
        <v>6471.0169314264631</v>
      </c>
      <c r="D147">
        <v>5.4373778333679699</v>
      </c>
    </row>
    <row r="148" spans="1:4" x14ac:dyDescent="0.2">
      <c r="A148">
        <v>140</v>
      </c>
      <c r="B148">
        <v>3.9970839837361987</v>
      </c>
      <c r="C148">
        <v>6768.4777695547327</v>
      </c>
      <c r="D148">
        <v>6.1990219130859492</v>
      </c>
    </row>
    <row r="149" spans="1:4" x14ac:dyDescent="0.2">
      <c r="A149">
        <v>141</v>
      </c>
      <c r="B149">
        <v>4.2821705209127483</v>
      </c>
      <c r="C149">
        <v>6356.8605947166207</v>
      </c>
      <c r="D149">
        <v>6.4244201411488762</v>
      </c>
    </row>
    <row r="150" spans="1:4" x14ac:dyDescent="0.2">
      <c r="A150">
        <v>142</v>
      </c>
      <c r="B150">
        <v>4.1866557626647865</v>
      </c>
      <c r="C150">
        <v>6278.9316707531461</v>
      </c>
      <c r="D150">
        <v>6.3273302032921945</v>
      </c>
    </row>
    <row r="151" spans="1:4" x14ac:dyDescent="0.2">
      <c r="A151">
        <v>143</v>
      </c>
      <c r="B151">
        <v>4.0134892616813316</v>
      </c>
      <c r="C151">
        <v>6756.905293910183</v>
      </c>
      <c r="D151">
        <v>6.7705174719575441</v>
      </c>
    </row>
    <row r="152" spans="1:4" x14ac:dyDescent="0.2">
      <c r="A152">
        <v>144</v>
      </c>
      <c r="B152">
        <v>4.2320637945751649</v>
      </c>
      <c r="C152">
        <v>6689.8571736951772</v>
      </c>
      <c r="D152">
        <v>15.399984777542219</v>
      </c>
    </row>
    <row r="153" spans="1:4" x14ac:dyDescent="0.2">
      <c r="A153">
        <v>145</v>
      </c>
      <c r="B153">
        <v>4.2066135920390249</v>
      </c>
      <c r="C153">
        <v>6708.3418749394159</v>
      </c>
      <c r="D153">
        <v>3.5000055351242829</v>
      </c>
    </row>
    <row r="154" spans="1:4" x14ac:dyDescent="0.2">
      <c r="A154">
        <v>146</v>
      </c>
      <c r="B154">
        <v>4.2774966565423114</v>
      </c>
      <c r="C154">
        <v>6196.7765298762515</v>
      </c>
      <c r="D154">
        <v>7.0430979996064362</v>
      </c>
    </row>
    <row r="155" spans="1:4" x14ac:dyDescent="0.2">
      <c r="A155">
        <v>147</v>
      </c>
      <c r="B155">
        <v>4.0839253847573929</v>
      </c>
      <c r="C155">
        <v>6703.0791413262587</v>
      </c>
      <c r="D155">
        <v>6.7973978381499762</v>
      </c>
    </row>
    <row r="156" spans="1:4" x14ac:dyDescent="0.2">
      <c r="A156">
        <v>148</v>
      </c>
      <c r="B156">
        <v>4.2310729454326603</v>
      </c>
      <c r="C156">
        <v>6493.3438075956292</v>
      </c>
      <c r="D156">
        <v>6.0800516684642654</v>
      </c>
    </row>
    <row r="157" spans="1:4" x14ac:dyDescent="0.2">
      <c r="A157">
        <v>149</v>
      </c>
      <c r="B157">
        <v>3.8234652760029011</v>
      </c>
      <c r="C157">
        <v>6521.7451534813372</v>
      </c>
      <c r="D157">
        <v>7.2352572122482091</v>
      </c>
    </row>
    <row r="158" spans="1:4" x14ac:dyDescent="0.2">
      <c r="A158">
        <v>150</v>
      </c>
      <c r="B158">
        <v>4.3103738250536399</v>
      </c>
      <c r="C158">
        <v>6496.5227860812174</v>
      </c>
      <c r="D158">
        <v>7.2217125136446079</v>
      </c>
    </row>
    <row r="159" spans="1:4" x14ac:dyDescent="0.2">
      <c r="A159">
        <v>151</v>
      </c>
      <c r="B159">
        <v>4.3842417909657092</v>
      </c>
      <c r="C159">
        <v>6349.5726798239848</v>
      </c>
      <c r="D159">
        <v>15.399965561564713</v>
      </c>
    </row>
    <row r="160" spans="1:4" x14ac:dyDescent="0.2">
      <c r="A160">
        <v>152</v>
      </c>
      <c r="B160">
        <v>4.1832731906392224</v>
      </c>
      <c r="C160">
        <v>6491.6251431367828</v>
      </c>
      <c r="D160">
        <v>7.2055558457373943</v>
      </c>
    </row>
    <row r="161" spans="1:4" x14ac:dyDescent="0.2">
      <c r="A161">
        <v>153</v>
      </c>
      <c r="B161">
        <v>3.9740460135260696</v>
      </c>
      <c r="C161">
        <v>6281.9398941749987</v>
      </c>
      <c r="D161">
        <v>7.2644382256179174</v>
      </c>
    </row>
    <row r="162" spans="1:4" x14ac:dyDescent="0.2">
      <c r="A162">
        <v>154</v>
      </c>
      <c r="B162">
        <v>3.9789301958045171</v>
      </c>
      <c r="C162">
        <v>6384.6054960572865</v>
      </c>
      <c r="D162">
        <v>15.399993782665923</v>
      </c>
    </row>
    <row r="163" spans="1:4" x14ac:dyDescent="0.2">
      <c r="A163">
        <v>155</v>
      </c>
      <c r="B163">
        <v>4.5478698539825517</v>
      </c>
      <c r="C163">
        <v>6259.3621728809203</v>
      </c>
      <c r="D163">
        <v>15.399941255805222</v>
      </c>
    </row>
    <row r="164" spans="1:4" x14ac:dyDescent="0.2">
      <c r="A164">
        <v>156</v>
      </c>
      <c r="B164">
        <v>4.4285782502291022</v>
      </c>
      <c r="C164">
        <v>6490.0693105414612</v>
      </c>
      <c r="D164">
        <v>6.77243178049393</v>
      </c>
    </row>
    <row r="165" spans="1:4" x14ac:dyDescent="0.2">
      <c r="A165">
        <v>157</v>
      </c>
      <c r="B165">
        <v>4.306089829895698</v>
      </c>
      <c r="C165">
        <v>6196.7607217786172</v>
      </c>
      <c r="D165">
        <v>7.2156712214436762</v>
      </c>
    </row>
    <row r="166" spans="1:4" x14ac:dyDescent="0.2">
      <c r="A166">
        <v>158</v>
      </c>
      <c r="B166">
        <v>4.0557016297278228</v>
      </c>
      <c r="C166">
        <v>6447.9686726924301</v>
      </c>
      <c r="D166">
        <v>6.3403260164807032</v>
      </c>
    </row>
    <row r="167" spans="1:4" x14ac:dyDescent="0.2">
      <c r="A167">
        <v>159</v>
      </c>
      <c r="B167">
        <v>4.6295869528678066</v>
      </c>
      <c r="C167">
        <v>6289.2972696200377</v>
      </c>
      <c r="D167">
        <v>6.8408110845990171</v>
      </c>
    </row>
    <row r="168" spans="1:4" x14ac:dyDescent="0.2">
      <c r="A168">
        <v>160</v>
      </c>
      <c r="B168">
        <v>4.3137319115713941</v>
      </c>
      <c r="C168">
        <v>6583.3307992451364</v>
      </c>
      <c r="D168">
        <v>7.1771310306408642</v>
      </c>
    </row>
    <row r="169" spans="1:4" x14ac:dyDescent="0.2">
      <c r="A169">
        <v>161</v>
      </c>
      <c r="B169">
        <v>4.2634798497602375</v>
      </c>
      <c r="C169">
        <v>6360.9741721683131</v>
      </c>
      <c r="D169">
        <v>7.2686603951559539</v>
      </c>
    </row>
    <row r="170" spans="1:4" x14ac:dyDescent="0.2">
      <c r="A170">
        <v>162</v>
      </c>
      <c r="B170">
        <v>3.8234458030438803</v>
      </c>
      <c r="C170">
        <v>6379.3013810004868</v>
      </c>
      <c r="D170">
        <v>7.2633385956191976</v>
      </c>
    </row>
    <row r="171" spans="1:4" x14ac:dyDescent="0.2">
      <c r="A171">
        <v>163</v>
      </c>
      <c r="B171">
        <v>4.6295802755352629</v>
      </c>
      <c r="C171">
        <v>6268.2648466186056</v>
      </c>
      <c r="D171">
        <v>7.4812485625781822</v>
      </c>
    </row>
    <row r="172" spans="1:4" x14ac:dyDescent="0.2">
      <c r="A172">
        <v>164</v>
      </c>
      <c r="B172">
        <v>4.6293626426295065</v>
      </c>
      <c r="C172">
        <v>6546.7393492151205</v>
      </c>
      <c r="D172">
        <v>7.2098526991865519</v>
      </c>
    </row>
    <row r="173" spans="1:4" x14ac:dyDescent="0.2">
      <c r="A173">
        <v>165</v>
      </c>
      <c r="B173">
        <v>4.01208197638495</v>
      </c>
      <c r="C173">
        <v>6527.5964337038176</v>
      </c>
      <c r="D173">
        <v>6.1035667966485949</v>
      </c>
    </row>
    <row r="174" spans="1:4" x14ac:dyDescent="0.2">
      <c r="A174">
        <v>166</v>
      </c>
      <c r="B174">
        <v>4.0096727912981853</v>
      </c>
      <c r="C174">
        <v>6373.684912198546</v>
      </c>
      <c r="D174">
        <v>7.8552310000193151</v>
      </c>
    </row>
    <row r="175" spans="1:4" x14ac:dyDescent="0.2">
      <c r="A175">
        <v>167</v>
      </c>
      <c r="B175">
        <v>4.6295604541793489</v>
      </c>
      <c r="C175">
        <v>6688.3429356407714</v>
      </c>
      <c r="D175">
        <v>15.399944913510353</v>
      </c>
    </row>
    <row r="176" spans="1:4" x14ac:dyDescent="0.2">
      <c r="A176">
        <v>168</v>
      </c>
      <c r="B176">
        <v>3.8234291342497682</v>
      </c>
      <c r="C176">
        <v>6490.5412102626642</v>
      </c>
      <c r="D176">
        <v>15.399931291570887</v>
      </c>
    </row>
    <row r="177" spans="1:4" x14ac:dyDescent="0.2">
      <c r="A177">
        <v>169</v>
      </c>
      <c r="B177">
        <v>3.8234367454559615</v>
      </c>
      <c r="C177">
        <v>6559.7307310624301</v>
      </c>
      <c r="D177">
        <v>7.1748924234464102</v>
      </c>
    </row>
    <row r="178" spans="1:4" x14ac:dyDescent="0.2">
      <c r="A178">
        <v>170</v>
      </c>
      <c r="B178">
        <v>4.5870495318700701</v>
      </c>
      <c r="C178">
        <v>6774.2405645798863</v>
      </c>
      <c r="D178">
        <v>7.5371887686135413</v>
      </c>
    </row>
    <row r="179" spans="1:4" x14ac:dyDescent="0.2">
      <c r="A179">
        <v>171</v>
      </c>
      <c r="B179">
        <v>4.1908303060302359</v>
      </c>
      <c r="C179">
        <v>6312.0172762614211</v>
      </c>
      <c r="D179">
        <v>7.7877477551367766</v>
      </c>
    </row>
    <row r="180" spans="1:4" x14ac:dyDescent="0.2">
      <c r="A180">
        <v>172</v>
      </c>
      <c r="B180">
        <v>4.1834811864281551</v>
      </c>
      <c r="C180">
        <v>6313.4055605004032</v>
      </c>
      <c r="D180">
        <v>5.9989532800929517</v>
      </c>
    </row>
    <row r="181" spans="1:4" x14ac:dyDescent="0.2">
      <c r="A181">
        <v>173</v>
      </c>
      <c r="B181">
        <v>4.0226108497102482</v>
      </c>
      <c r="C181">
        <v>6702.6266286468663</v>
      </c>
      <c r="D181">
        <v>7.225878963075461</v>
      </c>
    </row>
    <row r="182" spans="1:4" x14ac:dyDescent="0.2">
      <c r="A182">
        <v>174</v>
      </c>
      <c r="B182">
        <v>4.5138815461500199</v>
      </c>
      <c r="C182">
        <v>6488.6236618579323</v>
      </c>
      <c r="D182">
        <v>7.1995866040912802</v>
      </c>
    </row>
    <row r="183" spans="1:4" x14ac:dyDescent="0.2">
      <c r="A183">
        <v>175</v>
      </c>
      <c r="B183">
        <v>4.3926309052199306</v>
      </c>
      <c r="C183">
        <v>6196.7630110204864</v>
      </c>
      <c r="D183">
        <v>7.2037230806985884</v>
      </c>
    </row>
    <row r="184" spans="1:4" x14ac:dyDescent="0.2">
      <c r="A184">
        <v>176</v>
      </c>
      <c r="B184">
        <v>3.8234428964972507</v>
      </c>
      <c r="C184">
        <v>6500.3539232123567</v>
      </c>
      <c r="D184">
        <v>7.9388768063965145</v>
      </c>
    </row>
    <row r="185" spans="1:4" x14ac:dyDescent="0.2">
      <c r="A185">
        <v>177</v>
      </c>
      <c r="B185">
        <v>4.4789392141059352</v>
      </c>
      <c r="C185">
        <v>6790.2110377000527</v>
      </c>
      <c r="D185">
        <v>7.2076765227823838</v>
      </c>
    </row>
    <row r="186" spans="1:4" x14ac:dyDescent="0.2">
      <c r="A186">
        <v>178</v>
      </c>
      <c r="B186">
        <v>3.8234404505455859</v>
      </c>
      <c r="C186">
        <v>6786.5301146562224</v>
      </c>
      <c r="D186">
        <v>7.2609732977887234</v>
      </c>
    </row>
    <row r="187" spans="1:4" x14ac:dyDescent="0.2">
      <c r="A187">
        <v>179</v>
      </c>
      <c r="B187">
        <v>4.5097663456529489</v>
      </c>
      <c r="C187">
        <v>6496.5477932672848</v>
      </c>
      <c r="D187">
        <v>7.1982107240200381</v>
      </c>
    </row>
    <row r="188" spans="1:4" x14ac:dyDescent="0.2">
      <c r="A188">
        <v>180</v>
      </c>
      <c r="B188">
        <v>4.4470304176261441</v>
      </c>
      <c r="C188">
        <v>6265.908895581556</v>
      </c>
      <c r="D188">
        <v>3.50000147524382</v>
      </c>
    </row>
    <row r="189" spans="1:4" x14ac:dyDescent="0.2">
      <c r="A189">
        <v>181</v>
      </c>
      <c r="B189">
        <v>4.3515949184260911</v>
      </c>
      <c r="C189">
        <v>6487.6143689597629</v>
      </c>
      <c r="D189">
        <v>6.3300261194510972</v>
      </c>
    </row>
    <row r="190" spans="1:4" x14ac:dyDescent="0.2">
      <c r="A190">
        <v>182</v>
      </c>
      <c r="B190">
        <v>4.2766515678911725</v>
      </c>
      <c r="C190">
        <v>6726.1766871382606</v>
      </c>
      <c r="D190">
        <v>7.2475189158737834</v>
      </c>
    </row>
    <row r="191" spans="1:4" x14ac:dyDescent="0.2">
      <c r="A191">
        <v>183</v>
      </c>
      <c r="B191">
        <v>3.8234364448578217</v>
      </c>
      <c r="C191">
        <v>6270.2931451545837</v>
      </c>
      <c r="D191">
        <v>6.5378984627564991</v>
      </c>
    </row>
    <row r="192" spans="1:4" x14ac:dyDescent="0.2">
      <c r="A192">
        <v>184</v>
      </c>
      <c r="B192">
        <v>4.3265973098960107</v>
      </c>
      <c r="C192">
        <v>6789.0084100999202</v>
      </c>
      <c r="D192">
        <v>7.2214585662623474</v>
      </c>
    </row>
    <row r="193" spans="1:4" x14ac:dyDescent="0.2">
      <c r="A193">
        <v>185</v>
      </c>
      <c r="B193">
        <v>3.8234667848913744</v>
      </c>
      <c r="C193">
        <v>6539.258468574596</v>
      </c>
      <c r="D193">
        <v>6.1265881903243216</v>
      </c>
    </row>
    <row r="194" spans="1:4" x14ac:dyDescent="0.2">
      <c r="A194">
        <v>186</v>
      </c>
      <c r="B194">
        <v>4.6295775193576603</v>
      </c>
      <c r="C194">
        <v>6790.4518280245038</v>
      </c>
      <c r="D194">
        <v>11.377651714655515</v>
      </c>
    </row>
    <row r="195" spans="1:4" x14ac:dyDescent="0.2">
      <c r="A195">
        <v>187</v>
      </c>
      <c r="B195">
        <v>4.2996337986518451</v>
      </c>
      <c r="C195">
        <v>6381.3520917902979</v>
      </c>
      <c r="D195">
        <v>7.2538663252856477</v>
      </c>
    </row>
    <row r="196" spans="1:4" x14ac:dyDescent="0.2">
      <c r="A196">
        <v>188</v>
      </c>
      <c r="B196">
        <v>4.0009735900723324</v>
      </c>
      <c r="C196">
        <v>6498.1022140779187</v>
      </c>
      <c r="D196">
        <v>3.5000036653348672</v>
      </c>
    </row>
    <row r="197" spans="1:4" x14ac:dyDescent="0.2">
      <c r="A197">
        <v>189</v>
      </c>
      <c r="B197">
        <v>4.3657862369585443</v>
      </c>
      <c r="C197">
        <v>6371.5918658397859</v>
      </c>
      <c r="D197">
        <v>3.5000052627659466</v>
      </c>
    </row>
    <row r="198" spans="1:4" x14ac:dyDescent="0.2">
      <c r="A198">
        <v>190</v>
      </c>
      <c r="B198">
        <v>4.3605312998071932</v>
      </c>
      <c r="C198">
        <v>6494.5642171154695</v>
      </c>
      <c r="D198">
        <v>8.7704601142885679</v>
      </c>
    </row>
    <row r="199" spans="1:4" x14ac:dyDescent="0.2">
      <c r="A199">
        <v>191</v>
      </c>
      <c r="B199">
        <v>3.9966785531119764</v>
      </c>
      <c r="C199">
        <v>6463.6650477668773</v>
      </c>
      <c r="D199">
        <v>13.025853715951213</v>
      </c>
    </row>
    <row r="200" spans="1:4" x14ac:dyDescent="0.2">
      <c r="A200">
        <v>192</v>
      </c>
      <c r="B200">
        <v>3.9835576103773924</v>
      </c>
      <c r="C200">
        <v>6196.7854200474339</v>
      </c>
      <c r="D200">
        <v>7.2900245305820448</v>
      </c>
    </row>
    <row r="201" spans="1:4" x14ac:dyDescent="0.2">
      <c r="A201">
        <v>193</v>
      </c>
      <c r="B201">
        <v>4.6295913033498843</v>
      </c>
      <c r="C201">
        <v>6564.7842937634705</v>
      </c>
      <c r="D201">
        <v>6.000470487292846</v>
      </c>
    </row>
    <row r="202" spans="1:4" x14ac:dyDescent="0.2">
      <c r="A202">
        <v>194</v>
      </c>
      <c r="B202">
        <v>4.6235570484618513</v>
      </c>
      <c r="C202">
        <v>6789.4678006840468</v>
      </c>
      <c r="D202">
        <v>7.9436068237884747</v>
      </c>
    </row>
    <row r="203" spans="1:4" x14ac:dyDescent="0.2">
      <c r="A203">
        <v>195</v>
      </c>
      <c r="B203">
        <v>4.1889120675665961</v>
      </c>
      <c r="C203">
        <v>6234.6256696652499</v>
      </c>
      <c r="D203">
        <v>7.1803539550770337</v>
      </c>
    </row>
    <row r="204" spans="1:4" x14ac:dyDescent="0.2">
      <c r="A204">
        <v>196</v>
      </c>
      <c r="B204">
        <v>4.6294351849847626</v>
      </c>
      <c r="C204">
        <v>6790.4290721337302</v>
      </c>
      <c r="D204">
        <v>7.5177159130111963</v>
      </c>
    </row>
    <row r="205" spans="1:4" x14ac:dyDescent="0.2">
      <c r="A205">
        <v>197</v>
      </c>
      <c r="B205">
        <v>4.4201203011920924</v>
      </c>
      <c r="C205">
        <v>6573.8316344851582</v>
      </c>
      <c r="D205">
        <v>7.3324724813174909</v>
      </c>
    </row>
    <row r="206" spans="1:4" x14ac:dyDescent="0.2">
      <c r="A206">
        <v>198</v>
      </c>
      <c r="B206">
        <v>4.6293009198163872</v>
      </c>
      <c r="C206">
        <v>6790.4415611332843</v>
      </c>
      <c r="D206">
        <v>5.9980045023086275</v>
      </c>
    </row>
    <row r="207" spans="1:4" x14ac:dyDescent="0.2">
      <c r="A207">
        <v>199</v>
      </c>
      <c r="B207">
        <v>4.6171507717719829</v>
      </c>
      <c r="C207">
        <v>6790.4451187953828</v>
      </c>
      <c r="D207">
        <v>12.3712721978047</v>
      </c>
    </row>
    <row r="208" spans="1:4" x14ac:dyDescent="0.2">
      <c r="A208">
        <v>200</v>
      </c>
      <c r="B208">
        <v>4.6295579368514623</v>
      </c>
      <c r="C208">
        <v>6196.7645172792381</v>
      </c>
      <c r="D208">
        <v>7.5977128498395299</v>
      </c>
    </row>
    <row r="209" spans="1:4" x14ac:dyDescent="0.2">
      <c r="A209">
        <v>201</v>
      </c>
      <c r="B209">
        <v>4.0219623563725735</v>
      </c>
      <c r="C209">
        <v>6723.3665919970199</v>
      </c>
      <c r="D209">
        <v>10.613940670158204</v>
      </c>
    </row>
    <row r="210" spans="1:4" x14ac:dyDescent="0.2">
      <c r="A210">
        <v>202</v>
      </c>
      <c r="B210">
        <v>4.6051322105815045</v>
      </c>
      <c r="C210">
        <v>6272.8224439228488</v>
      </c>
      <c r="D210">
        <v>3.5000024613671075</v>
      </c>
    </row>
    <row r="211" spans="1:4" x14ac:dyDescent="0.2">
      <c r="A211">
        <v>203</v>
      </c>
      <c r="B211">
        <v>3.9810648797499426</v>
      </c>
      <c r="C211">
        <v>6552.0683207097072</v>
      </c>
      <c r="D211">
        <v>7.1724974309717826</v>
      </c>
    </row>
    <row r="212" spans="1:4" x14ac:dyDescent="0.2">
      <c r="A212">
        <v>204</v>
      </c>
      <c r="B212">
        <v>4.0806946795372427</v>
      </c>
      <c r="C212">
        <v>6719.070129566885</v>
      </c>
      <c r="D212">
        <v>6.0193895145336214</v>
      </c>
    </row>
    <row r="213" spans="1:4" x14ac:dyDescent="0.2">
      <c r="A213">
        <v>205</v>
      </c>
      <c r="B213">
        <v>4.6295743821674629</v>
      </c>
      <c r="C213">
        <v>6196.7798775938463</v>
      </c>
      <c r="D213">
        <v>7.228630399496482</v>
      </c>
    </row>
    <row r="214" spans="1:4" x14ac:dyDescent="0.2">
      <c r="A214">
        <v>206</v>
      </c>
      <c r="B214">
        <v>4.1854888179387757</v>
      </c>
      <c r="C214">
        <v>6790.4250074433476</v>
      </c>
      <c r="D214">
        <v>3.5000013815137208</v>
      </c>
    </row>
    <row r="215" spans="1:4" x14ac:dyDescent="0.2">
      <c r="A215">
        <v>207</v>
      </c>
      <c r="B215">
        <v>4.1728766204355328</v>
      </c>
      <c r="C215">
        <v>6256.4291108595462</v>
      </c>
      <c r="D215">
        <v>7.7969474465106767</v>
      </c>
    </row>
    <row r="216" spans="1:4" x14ac:dyDescent="0.2">
      <c r="A216">
        <v>208</v>
      </c>
      <c r="B216">
        <v>4.4984374576149202</v>
      </c>
      <c r="C216">
        <v>6790.4285079601505</v>
      </c>
      <c r="D216">
        <v>9.527504524349613</v>
      </c>
    </row>
    <row r="217" spans="1:4" x14ac:dyDescent="0.2">
      <c r="A217">
        <v>209</v>
      </c>
      <c r="B217">
        <v>4.3962985665781371</v>
      </c>
      <c r="C217">
        <v>6496.0331952652095</v>
      </c>
      <c r="D217">
        <v>6.7129577391115465</v>
      </c>
    </row>
    <row r="218" spans="1:4" x14ac:dyDescent="0.2">
      <c r="A218">
        <v>210</v>
      </c>
      <c r="B218">
        <v>3.9848063626597447</v>
      </c>
      <c r="C218">
        <v>6692.6925202691573</v>
      </c>
      <c r="D218">
        <v>7.1755473034013537</v>
      </c>
    </row>
    <row r="219" spans="1:4" x14ac:dyDescent="0.2">
      <c r="A219">
        <v>211</v>
      </c>
      <c r="B219">
        <v>3.9002639624502917</v>
      </c>
      <c r="C219">
        <v>6302.3654804622865</v>
      </c>
      <c r="D219">
        <v>7.9637472100326274</v>
      </c>
    </row>
    <row r="220" spans="1:4" x14ac:dyDescent="0.2">
      <c r="A220">
        <v>212</v>
      </c>
      <c r="B220">
        <v>4.0625298820244797</v>
      </c>
      <c r="C220">
        <v>6544.2338545067305</v>
      </c>
      <c r="D220">
        <v>6.6156376292071606</v>
      </c>
    </row>
    <row r="221" spans="1:4" x14ac:dyDescent="0.2">
      <c r="A221">
        <v>213</v>
      </c>
      <c r="B221">
        <v>4.188209475787934</v>
      </c>
      <c r="C221">
        <v>6577.2614092043214</v>
      </c>
      <c r="D221">
        <v>3.5959745322286807</v>
      </c>
    </row>
    <row r="222" spans="1:4" x14ac:dyDescent="0.2">
      <c r="A222">
        <v>214</v>
      </c>
      <c r="B222">
        <v>3.8234296489369615</v>
      </c>
      <c r="C222">
        <v>6196.7848035934176</v>
      </c>
      <c r="D222">
        <v>7.2251235883013187</v>
      </c>
    </row>
    <row r="223" spans="1:4" x14ac:dyDescent="0.2">
      <c r="A223">
        <v>215</v>
      </c>
      <c r="B223">
        <v>4.1853622987453205</v>
      </c>
      <c r="C223">
        <v>6545.7238204386822</v>
      </c>
      <c r="D223">
        <v>5.9994955941485655</v>
      </c>
    </row>
    <row r="224" spans="1:4" x14ac:dyDescent="0.2">
      <c r="A224">
        <v>216</v>
      </c>
      <c r="B224">
        <v>4.0060564412055957</v>
      </c>
      <c r="C224">
        <v>6196.7702835613363</v>
      </c>
      <c r="D224">
        <v>7.1829832723310094</v>
      </c>
    </row>
    <row r="225" spans="1:4" x14ac:dyDescent="0.2">
      <c r="A225">
        <v>217</v>
      </c>
      <c r="B225">
        <v>4.3991993497117781</v>
      </c>
      <c r="C225">
        <v>6778.0321446243734</v>
      </c>
      <c r="D225">
        <v>6.0470180021882687</v>
      </c>
    </row>
    <row r="226" spans="1:4" x14ac:dyDescent="0.2">
      <c r="A226">
        <v>218</v>
      </c>
      <c r="B226">
        <v>4.6295730858214998</v>
      </c>
      <c r="C226">
        <v>6586.73375202021</v>
      </c>
      <c r="D226">
        <v>7.7134789737797815</v>
      </c>
    </row>
    <row r="227" spans="1:4" x14ac:dyDescent="0.2">
      <c r="A227">
        <v>219</v>
      </c>
      <c r="B227">
        <v>4.184073629396976</v>
      </c>
      <c r="C227">
        <v>6516.9741045730143</v>
      </c>
      <c r="D227">
        <v>7.5653815734254062</v>
      </c>
    </row>
    <row r="228" spans="1:4" x14ac:dyDescent="0.2">
      <c r="A228">
        <v>220</v>
      </c>
      <c r="B228">
        <v>3.8234630126538587</v>
      </c>
      <c r="C228">
        <v>6790.4419701990773</v>
      </c>
      <c r="D228">
        <v>7.3522031238699439</v>
      </c>
    </row>
    <row r="229" spans="1:4" x14ac:dyDescent="0.2">
      <c r="A229">
        <v>221</v>
      </c>
      <c r="B229">
        <v>4.2653553751818265</v>
      </c>
      <c r="C229">
        <v>6196.7867073953485</v>
      </c>
      <c r="D229">
        <v>7.8653843203379736</v>
      </c>
    </row>
    <row r="230" spans="1:4" x14ac:dyDescent="0.2">
      <c r="A230">
        <v>222</v>
      </c>
      <c r="B230">
        <v>4.1984136772401994</v>
      </c>
      <c r="C230">
        <v>6480.1246612168579</v>
      </c>
      <c r="D230">
        <v>15.399996329999341</v>
      </c>
    </row>
    <row r="231" spans="1:4" x14ac:dyDescent="0.2">
      <c r="A231">
        <v>223</v>
      </c>
      <c r="B231">
        <v>4.2745763716684815</v>
      </c>
      <c r="C231">
        <v>6196.7743785105595</v>
      </c>
      <c r="D231">
        <v>7.2340208432023321</v>
      </c>
    </row>
    <row r="232" spans="1:4" x14ac:dyDescent="0.2">
      <c r="A232">
        <v>224</v>
      </c>
      <c r="B232">
        <v>4.6288939998304723</v>
      </c>
      <c r="C232">
        <v>6535.8565203050748</v>
      </c>
      <c r="D232">
        <v>7.2003732366509627</v>
      </c>
    </row>
    <row r="233" spans="1:4" x14ac:dyDescent="0.2">
      <c r="A233">
        <v>225</v>
      </c>
      <c r="B233">
        <v>3.8234330775824716</v>
      </c>
      <c r="C233">
        <v>6450.4889920897731</v>
      </c>
      <c r="D233">
        <v>3.5000057553884689</v>
      </c>
    </row>
    <row r="234" spans="1:4" x14ac:dyDescent="0.2">
      <c r="A234">
        <v>226</v>
      </c>
      <c r="B234">
        <v>4.4954442705879245</v>
      </c>
      <c r="C234">
        <v>6293.3527916285066</v>
      </c>
      <c r="D234">
        <v>7.9014364231072065</v>
      </c>
    </row>
    <row r="235" spans="1:4" x14ac:dyDescent="0.2">
      <c r="A235">
        <v>227</v>
      </c>
      <c r="B235">
        <v>4.3164658307966128</v>
      </c>
      <c r="C235">
        <v>6262.293112024955</v>
      </c>
      <c r="D235">
        <v>6.5742992903013224</v>
      </c>
    </row>
    <row r="236" spans="1:4" x14ac:dyDescent="0.2">
      <c r="A236">
        <v>228</v>
      </c>
      <c r="B236">
        <v>4.2443598787103554</v>
      </c>
      <c r="C236">
        <v>6286.4018120453702</v>
      </c>
      <c r="D236">
        <v>6.3993827232035114</v>
      </c>
    </row>
    <row r="237" spans="1:4" x14ac:dyDescent="0.2">
      <c r="A237">
        <v>229</v>
      </c>
      <c r="B237">
        <v>3.8234435382902054</v>
      </c>
      <c r="C237">
        <v>6572.5014641378211</v>
      </c>
      <c r="D237">
        <v>7.2257437465227863</v>
      </c>
    </row>
    <row r="238" spans="1:4" x14ac:dyDescent="0.2">
      <c r="A238">
        <v>230</v>
      </c>
      <c r="B238">
        <v>4.2690840261941219</v>
      </c>
      <c r="C238">
        <v>6206.6761707015212</v>
      </c>
      <c r="D238">
        <v>7.3849311749123867</v>
      </c>
    </row>
    <row r="239" spans="1:4" x14ac:dyDescent="0.2">
      <c r="A239">
        <v>231</v>
      </c>
      <c r="B239">
        <v>4.1843169039896662</v>
      </c>
      <c r="C239">
        <v>6367.9973613242391</v>
      </c>
      <c r="D239">
        <v>7.5872152959149277</v>
      </c>
    </row>
    <row r="240" spans="1:4" x14ac:dyDescent="0.2">
      <c r="A240">
        <v>232</v>
      </c>
      <c r="B240">
        <v>4.1835814064937979</v>
      </c>
      <c r="C240">
        <v>6196.7696898107142</v>
      </c>
      <c r="D240">
        <v>7.1867800811904869</v>
      </c>
    </row>
    <row r="241" spans="1:4" x14ac:dyDescent="0.2">
      <c r="A241">
        <v>233</v>
      </c>
      <c r="B241">
        <v>4.1839946386327966</v>
      </c>
      <c r="C241">
        <v>6567.6584041833821</v>
      </c>
      <c r="D241">
        <v>7.9545096676929052</v>
      </c>
    </row>
    <row r="242" spans="1:4" x14ac:dyDescent="0.2">
      <c r="A242">
        <v>234</v>
      </c>
      <c r="B242">
        <v>3.9518609134559282</v>
      </c>
      <c r="C242">
        <v>6736.8841479153762</v>
      </c>
      <c r="D242">
        <v>7.2317782638436112</v>
      </c>
    </row>
    <row r="243" spans="1:4" x14ac:dyDescent="0.2">
      <c r="A243">
        <v>235</v>
      </c>
      <c r="B243">
        <v>4.0018785634158887</v>
      </c>
      <c r="C243">
        <v>6790.4513096746496</v>
      </c>
      <c r="D243">
        <v>7.2221273400362094</v>
      </c>
    </row>
    <row r="244" spans="1:4" x14ac:dyDescent="0.2">
      <c r="A244">
        <v>236</v>
      </c>
      <c r="B244">
        <v>4.5232723176911982</v>
      </c>
      <c r="C244">
        <v>6531.6770060701165</v>
      </c>
      <c r="D244">
        <v>6.0032337924412342</v>
      </c>
    </row>
    <row r="245" spans="1:4" x14ac:dyDescent="0.2">
      <c r="A245">
        <v>237</v>
      </c>
      <c r="B245">
        <v>4.6295571272966853</v>
      </c>
      <c r="C245">
        <v>6196.7567461595927</v>
      </c>
      <c r="D245">
        <v>7.1844821245828658</v>
      </c>
    </row>
    <row r="246" spans="1:4" x14ac:dyDescent="0.2">
      <c r="A246">
        <v>238</v>
      </c>
      <c r="B246">
        <v>3.823431100549326</v>
      </c>
      <c r="C246">
        <v>6569.5937285441069</v>
      </c>
      <c r="D246">
        <v>15.399976895090237</v>
      </c>
    </row>
    <row r="247" spans="1:4" x14ac:dyDescent="0.2">
      <c r="A247">
        <v>239</v>
      </c>
      <c r="B247">
        <v>3.9879325812898112</v>
      </c>
      <c r="C247">
        <v>6459.2773838337389</v>
      </c>
      <c r="D247">
        <v>6.4047277445834077</v>
      </c>
    </row>
    <row r="248" spans="1:4" x14ac:dyDescent="0.2">
      <c r="A248">
        <v>240</v>
      </c>
      <c r="B248">
        <v>3.8234546067054769</v>
      </c>
      <c r="C248">
        <v>6558.1857059945614</v>
      </c>
      <c r="D248">
        <v>6.8758216314575806</v>
      </c>
    </row>
    <row r="249" spans="1:4" x14ac:dyDescent="0.2">
      <c r="A249">
        <v>241</v>
      </c>
      <c r="B249">
        <v>4.6295818987046236</v>
      </c>
      <c r="C249">
        <v>6620.7902777172594</v>
      </c>
      <c r="D249">
        <v>6.0082447467557847</v>
      </c>
    </row>
    <row r="250" spans="1:4" x14ac:dyDescent="0.2">
      <c r="A250">
        <v>242</v>
      </c>
      <c r="B250">
        <v>4.0143161562893148</v>
      </c>
      <c r="C250">
        <v>6260.8219480672351</v>
      </c>
      <c r="D250">
        <v>6.1905020780319973</v>
      </c>
    </row>
    <row r="251" spans="1:4" x14ac:dyDescent="0.2">
      <c r="A251">
        <v>243</v>
      </c>
      <c r="B251">
        <v>3.8234566574087716</v>
      </c>
      <c r="C251">
        <v>6495.3486812573947</v>
      </c>
      <c r="D251">
        <v>3.5000069839218781</v>
      </c>
    </row>
    <row r="252" spans="1:4" x14ac:dyDescent="0.2">
      <c r="A252">
        <v>244</v>
      </c>
      <c r="B252">
        <v>3.9717835137813475</v>
      </c>
      <c r="C252">
        <v>6783.6558036642564</v>
      </c>
      <c r="D252">
        <v>15.399998432699965</v>
      </c>
    </row>
    <row r="253" spans="1:4" x14ac:dyDescent="0.2">
      <c r="A253">
        <v>245</v>
      </c>
      <c r="B253">
        <v>4.5693025490372596</v>
      </c>
      <c r="C253">
        <v>6196.7662396207807</v>
      </c>
      <c r="D253">
        <v>12.003067257021275</v>
      </c>
    </row>
    <row r="254" spans="1:4" x14ac:dyDescent="0.2">
      <c r="A254">
        <v>246</v>
      </c>
      <c r="B254">
        <v>4.1197072180036276</v>
      </c>
      <c r="C254">
        <v>6626.4725359987797</v>
      </c>
      <c r="D254">
        <v>6.2920420376292849</v>
      </c>
    </row>
    <row r="255" spans="1:4" x14ac:dyDescent="0.2">
      <c r="A255">
        <v>247</v>
      </c>
      <c r="B255">
        <v>4.0180722487164537</v>
      </c>
      <c r="C255">
        <v>6298.5130372851845</v>
      </c>
      <c r="D255">
        <v>6.0026647845467576</v>
      </c>
    </row>
    <row r="256" spans="1:4" x14ac:dyDescent="0.2">
      <c r="A256">
        <v>248</v>
      </c>
      <c r="B256">
        <v>4.1519358561740445</v>
      </c>
      <c r="C256">
        <v>6196.7615350197466</v>
      </c>
      <c r="D256">
        <v>6.3660823027866442</v>
      </c>
    </row>
    <row r="257" spans="1:4" x14ac:dyDescent="0.2">
      <c r="A257">
        <v>249</v>
      </c>
      <c r="B257">
        <v>4.6295616934051571</v>
      </c>
      <c r="C257">
        <v>6410.4433852595839</v>
      </c>
      <c r="D257">
        <v>7.3130108904211308</v>
      </c>
    </row>
    <row r="258" spans="1:4" x14ac:dyDescent="0.2">
      <c r="A258">
        <v>250</v>
      </c>
      <c r="B258">
        <v>3.8234397314591937</v>
      </c>
      <c r="C258">
        <v>6196.7779178799974</v>
      </c>
      <c r="D258">
        <v>7.2174898466537005</v>
      </c>
    </row>
    <row r="259" spans="1:4" x14ac:dyDescent="0.2">
      <c r="A259">
        <v>251</v>
      </c>
      <c r="B259">
        <v>4.0176702458194029</v>
      </c>
      <c r="C259">
        <v>6248.0556839830706</v>
      </c>
      <c r="D259">
        <v>7.7251339372959276</v>
      </c>
    </row>
    <row r="260" spans="1:4" x14ac:dyDescent="0.2">
      <c r="A260">
        <v>252</v>
      </c>
      <c r="B260">
        <v>4.6281119760055729</v>
      </c>
      <c r="C260">
        <v>6721.8053458060176</v>
      </c>
      <c r="D260">
        <v>6.3075244790261706</v>
      </c>
    </row>
    <row r="261" spans="1:4" x14ac:dyDescent="0.2">
      <c r="A261">
        <v>253</v>
      </c>
      <c r="B261">
        <v>4.2980287694778418</v>
      </c>
      <c r="C261">
        <v>6334.3357305882037</v>
      </c>
      <c r="D261">
        <v>7.9693062206634888</v>
      </c>
    </row>
    <row r="262" spans="1:4" x14ac:dyDescent="0.2">
      <c r="A262">
        <v>254</v>
      </c>
      <c r="B262">
        <v>3.823459726140058</v>
      </c>
      <c r="C262">
        <v>6745.8466733970272</v>
      </c>
      <c r="D262">
        <v>6.1488411934974891</v>
      </c>
    </row>
    <row r="263" spans="1:4" x14ac:dyDescent="0.2">
      <c r="A263">
        <v>255</v>
      </c>
      <c r="B263">
        <v>4.0095816679213261</v>
      </c>
      <c r="C263">
        <v>6233.8697944378937</v>
      </c>
      <c r="D263">
        <v>7.229634619788011</v>
      </c>
    </row>
    <row r="264" spans="1:4" x14ac:dyDescent="0.2">
      <c r="A264">
        <v>256</v>
      </c>
      <c r="B264">
        <v>4.1933434965429051</v>
      </c>
      <c r="C264">
        <v>6435.1743085771204</v>
      </c>
      <c r="D264">
        <v>7.8772614604594731</v>
      </c>
    </row>
    <row r="265" spans="1:4" x14ac:dyDescent="0.2">
      <c r="A265">
        <v>257</v>
      </c>
      <c r="B265">
        <v>4.3482124461988718</v>
      </c>
      <c r="C265">
        <v>6784.1339713735115</v>
      </c>
      <c r="D265">
        <v>7.2128259110847033</v>
      </c>
    </row>
    <row r="266" spans="1:4" x14ac:dyDescent="0.2">
      <c r="A266">
        <v>258</v>
      </c>
      <c r="B266">
        <v>3.8234508697763268</v>
      </c>
      <c r="C266">
        <v>6534.6214295739665</v>
      </c>
      <c r="D266">
        <v>7.2143755872572237</v>
      </c>
    </row>
    <row r="267" spans="1:4" x14ac:dyDescent="0.2">
      <c r="A267">
        <v>259</v>
      </c>
      <c r="B267">
        <v>3.9720522470953279</v>
      </c>
      <c r="C267">
        <v>6686.1632881989126</v>
      </c>
      <c r="D267">
        <v>6.0881302007364582</v>
      </c>
    </row>
    <row r="268" spans="1:4" x14ac:dyDescent="0.2">
      <c r="A268">
        <v>260</v>
      </c>
      <c r="B268">
        <v>4.2226300229703702</v>
      </c>
      <c r="C268">
        <v>6665.1788129705637</v>
      </c>
      <c r="D268">
        <v>7.9627112756385534</v>
      </c>
    </row>
    <row r="269" spans="1:4" x14ac:dyDescent="0.2">
      <c r="A269">
        <v>261</v>
      </c>
      <c r="B269">
        <v>4.629392065692052</v>
      </c>
      <c r="C269">
        <v>6196.7575722672909</v>
      </c>
      <c r="D269">
        <v>7.391739377733292</v>
      </c>
    </row>
    <row r="270" spans="1:4" x14ac:dyDescent="0.2">
      <c r="A270">
        <v>262</v>
      </c>
      <c r="B270">
        <v>4.5926398891188525</v>
      </c>
      <c r="C270">
        <v>6339.5432337774273</v>
      </c>
      <c r="D270">
        <v>7.8167206027096494</v>
      </c>
    </row>
    <row r="271" spans="1:4" x14ac:dyDescent="0.2">
      <c r="A271">
        <v>263</v>
      </c>
      <c r="B271">
        <v>3.9918234053000656</v>
      </c>
      <c r="C271">
        <v>6489.7336894832024</v>
      </c>
      <c r="D271">
        <v>8.0237462201120984</v>
      </c>
    </row>
    <row r="272" spans="1:4" x14ac:dyDescent="0.2">
      <c r="A272">
        <v>264</v>
      </c>
      <c r="B272">
        <v>4.1884104047543964</v>
      </c>
      <c r="C272">
        <v>6284.8918869796898</v>
      </c>
      <c r="D272">
        <v>8.0096236048246396</v>
      </c>
    </row>
    <row r="273" spans="1:4" x14ac:dyDescent="0.2">
      <c r="A273">
        <v>265</v>
      </c>
      <c r="B273">
        <v>4.629575149395599</v>
      </c>
      <c r="C273">
        <v>6675.5271713676866</v>
      </c>
      <c r="D273">
        <v>7.9817022348395312</v>
      </c>
    </row>
    <row r="274" spans="1:4" x14ac:dyDescent="0.2">
      <c r="A274">
        <v>266</v>
      </c>
      <c r="B274">
        <v>4.19129584709985</v>
      </c>
      <c r="C274">
        <v>6406.7662657069623</v>
      </c>
      <c r="D274">
        <v>6.0070522451968413</v>
      </c>
    </row>
    <row r="275" spans="1:4" x14ac:dyDescent="0.2">
      <c r="A275">
        <v>267</v>
      </c>
      <c r="B275">
        <v>3.8234523762716806</v>
      </c>
      <c r="C275">
        <v>6653.2621189632691</v>
      </c>
      <c r="D275">
        <v>6.253223809316836</v>
      </c>
    </row>
    <row r="276" spans="1:4" x14ac:dyDescent="0.2">
      <c r="A276">
        <v>268</v>
      </c>
      <c r="B276">
        <v>4.287850893592271</v>
      </c>
      <c r="C276">
        <v>6762.9581828613618</v>
      </c>
      <c r="D276">
        <v>15.39998714554493</v>
      </c>
    </row>
    <row r="277" spans="1:4" x14ac:dyDescent="0.2">
      <c r="A277">
        <v>269</v>
      </c>
      <c r="B277">
        <v>3.8234323580279335</v>
      </c>
      <c r="C277">
        <v>6717.8522040462885</v>
      </c>
      <c r="D277">
        <v>7.270585654510854</v>
      </c>
    </row>
    <row r="278" spans="1:4" x14ac:dyDescent="0.2">
      <c r="A278">
        <v>270</v>
      </c>
      <c r="B278">
        <v>4.3076150520808243</v>
      </c>
      <c r="C278">
        <v>6276.3321403151058</v>
      </c>
      <c r="D278">
        <v>7.3466829374365812</v>
      </c>
    </row>
    <row r="279" spans="1:4" x14ac:dyDescent="0.2">
      <c r="A279">
        <v>271</v>
      </c>
      <c r="B279">
        <v>4.5323868512485923</v>
      </c>
      <c r="C279">
        <v>6474.1039314261679</v>
      </c>
      <c r="D279">
        <v>7.2189791088545983</v>
      </c>
    </row>
    <row r="280" spans="1:4" x14ac:dyDescent="0.2">
      <c r="A280">
        <v>272</v>
      </c>
      <c r="B280">
        <v>4.0136917633904066</v>
      </c>
      <c r="C280">
        <v>6523.8420563818163</v>
      </c>
      <c r="D280">
        <v>6.2248611351560337</v>
      </c>
    </row>
    <row r="281" spans="1:4" x14ac:dyDescent="0.2">
      <c r="A281">
        <v>273</v>
      </c>
      <c r="B281">
        <v>3.99280107529902</v>
      </c>
      <c r="C281">
        <v>6519.184859382347</v>
      </c>
      <c r="D281">
        <v>6.850397627658781</v>
      </c>
    </row>
    <row r="282" spans="1:4" x14ac:dyDescent="0.2">
      <c r="A282">
        <v>274</v>
      </c>
      <c r="B282">
        <v>4.0201576633716067</v>
      </c>
      <c r="C282">
        <v>6491.7873529444832</v>
      </c>
      <c r="D282">
        <v>7.9946095658722696</v>
      </c>
    </row>
    <row r="283" spans="1:4" x14ac:dyDescent="0.2">
      <c r="A283">
        <v>275</v>
      </c>
      <c r="B283">
        <v>4.0524089256494724</v>
      </c>
      <c r="C283">
        <v>6605.2982255766246</v>
      </c>
      <c r="D283">
        <v>6.9313482837921336</v>
      </c>
    </row>
    <row r="284" spans="1:4" x14ac:dyDescent="0.2">
      <c r="A284">
        <v>276</v>
      </c>
      <c r="B284">
        <v>4.5588732050141365</v>
      </c>
      <c r="C284">
        <v>6457.4809871926518</v>
      </c>
      <c r="D284">
        <v>7.1852979768124348</v>
      </c>
    </row>
    <row r="285" spans="1:4" x14ac:dyDescent="0.2">
      <c r="A285">
        <v>277</v>
      </c>
      <c r="B285">
        <v>4.0146855309523257</v>
      </c>
      <c r="C285">
        <v>6790.435887993498</v>
      </c>
      <c r="D285">
        <v>8.0068503554965531</v>
      </c>
    </row>
    <row r="286" spans="1:4" x14ac:dyDescent="0.2">
      <c r="A286">
        <v>278</v>
      </c>
      <c r="B286">
        <v>4.102666340919245</v>
      </c>
      <c r="C286">
        <v>6743.3535118904156</v>
      </c>
      <c r="D286">
        <v>6.8035424247607308</v>
      </c>
    </row>
    <row r="287" spans="1:4" x14ac:dyDescent="0.2">
      <c r="A287">
        <v>279</v>
      </c>
      <c r="B287">
        <v>4.6043573689851245</v>
      </c>
      <c r="C287">
        <v>6790.4316269406072</v>
      </c>
      <c r="D287">
        <v>7.1960545997441816</v>
      </c>
    </row>
    <row r="288" spans="1:4" x14ac:dyDescent="0.2">
      <c r="A288">
        <v>280</v>
      </c>
      <c r="B288">
        <v>4.1946379628637764</v>
      </c>
      <c r="C288">
        <v>6280.9118427099302</v>
      </c>
      <c r="D288">
        <v>7.2736658888897932</v>
      </c>
    </row>
    <row r="289" spans="1:4" x14ac:dyDescent="0.2">
      <c r="A289">
        <v>281</v>
      </c>
      <c r="B289">
        <v>4.4595606624714756</v>
      </c>
      <c r="C289">
        <v>6494.0777094231435</v>
      </c>
      <c r="D289">
        <v>7.4691038664203138</v>
      </c>
    </row>
    <row r="290" spans="1:4" x14ac:dyDescent="0.2">
      <c r="A290">
        <v>282</v>
      </c>
      <c r="B290">
        <v>4.0196504354619238</v>
      </c>
      <c r="C290">
        <v>6496.8723853211877</v>
      </c>
      <c r="D290">
        <v>7.2205717902544082</v>
      </c>
    </row>
    <row r="291" spans="1:4" x14ac:dyDescent="0.2">
      <c r="A291">
        <v>283</v>
      </c>
      <c r="B291">
        <v>4.6281388106191947</v>
      </c>
      <c r="C291">
        <v>6259.762579916136</v>
      </c>
      <c r="D291">
        <v>8.0168181772118174</v>
      </c>
    </row>
    <row r="292" spans="1:4" x14ac:dyDescent="0.2">
      <c r="A292">
        <v>284</v>
      </c>
      <c r="B292">
        <v>4.5415412473651511</v>
      </c>
      <c r="C292">
        <v>6196.7818079150857</v>
      </c>
      <c r="D292">
        <v>3.5000050161008964</v>
      </c>
    </row>
    <row r="293" spans="1:4" x14ac:dyDescent="0.2">
      <c r="A293">
        <v>285</v>
      </c>
      <c r="B293">
        <v>4.0088723420032348</v>
      </c>
      <c r="C293">
        <v>6489.5711509980201</v>
      </c>
      <c r="D293">
        <v>7.2176529387532629</v>
      </c>
    </row>
    <row r="294" spans="1:4" x14ac:dyDescent="0.2">
      <c r="A294">
        <v>286</v>
      </c>
      <c r="B294">
        <v>4.4233200635623486</v>
      </c>
      <c r="C294">
        <v>6790.4339381266764</v>
      </c>
      <c r="D294">
        <v>7.9998368861726696</v>
      </c>
    </row>
    <row r="295" spans="1:4" x14ac:dyDescent="0.2">
      <c r="A295">
        <v>287</v>
      </c>
      <c r="B295">
        <v>4.1856365549480632</v>
      </c>
      <c r="C295">
        <v>6437.7961288212127</v>
      </c>
      <c r="D295">
        <v>7.2201308383219267</v>
      </c>
    </row>
    <row r="296" spans="1:4" x14ac:dyDescent="0.2">
      <c r="A296">
        <v>288</v>
      </c>
      <c r="B296">
        <v>4.1862632230979511</v>
      </c>
      <c r="C296">
        <v>6196.7579335517112</v>
      </c>
      <c r="D296">
        <v>3.5000006581049239</v>
      </c>
    </row>
    <row r="297" spans="1:4" x14ac:dyDescent="0.2">
      <c r="A297">
        <v>289</v>
      </c>
      <c r="B297">
        <v>4.1693550961389407</v>
      </c>
      <c r="C297">
        <v>6766.561734868701</v>
      </c>
      <c r="D297">
        <v>7.2887613819127859</v>
      </c>
    </row>
    <row r="298" spans="1:4" x14ac:dyDescent="0.2">
      <c r="A298">
        <v>290</v>
      </c>
      <c r="B298">
        <v>4.3206175627845926</v>
      </c>
      <c r="C298">
        <v>6561.9875003500874</v>
      </c>
      <c r="D298">
        <v>7.2268790853640468</v>
      </c>
    </row>
    <row r="299" spans="1:4" x14ac:dyDescent="0.2">
      <c r="A299">
        <v>291</v>
      </c>
      <c r="B299">
        <v>4.2044952068464969</v>
      </c>
      <c r="C299">
        <v>6421.5521246205135</v>
      </c>
      <c r="D299">
        <v>7.2026438581531647</v>
      </c>
    </row>
    <row r="300" spans="1:4" x14ac:dyDescent="0.2">
      <c r="A300">
        <v>292</v>
      </c>
      <c r="B300">
        <v>4.5361100531398826</v>
      </c>
      <c r="C300">
        <v>6515.635002956642</v>
      </c>
      <c r="D300">
        <v>3.5000066544741095</v>
      </c>
    </row>
    <row r="301" spans="1:4" x14ac:dyDescent="0.2">
      <c r="A301">
        <v>293</v>
      </c>
      <c r="B301">
        <v>4.0042491760472076</v>
      </c>
      <c r="C301">
        <v>6790.4324073659736</v>
      </c>
      <c r="D301">
        <v>7.9495284152988708</v>
      </c>
    </row>
    <row r="302" spans="1:4" x14ac:dyDescent="0.2">
      <c r="A302">
        <v>294</v>
      </c>
      <c r="B302">
        <v>4.1873561590722428</v>
      </c>
      <c r="C302">
        <v>6790.4263886880663</v>
      </c>
      <c r="D302">
        <v>15.399952081574215</v>
      </c>
    </row>
    <row r="303" spans="1:4" x14ac:dyDescent="0.2">
      <c r="A303">
        <v>295</v>
      </c>
      <c r="B303">
        <v>4.6295858597694242</v>
      </c>
      <c r="C303">
        <v>6781.5716762259426</v>
      </c>
      <c r="D303">
        <v>7.199154780824224</v>
      </c>
    </row>
    <row r="304" spans="1:4" x14ac:dyDescent="0.2">
      <c r="A304">
        <v>296</v>
      </c>
      <c r="B304">
        <v>4.6287705695859227</v>
      </c>
      <c r="C304">
        <v>6470.1914228753558</v>
      </c>
      <c r="D304">
        <v>6.462036139073243</v>
      </c>
    </row>
    <row r="305" spans="1:4" x14ac:dyDescent="0.2">
      <c r="A305">
        <v>297</v>
      </c>
      <c r="B305">
        <v>4.5210094812735031</v>
      </c>
      <c r="C305">
        <v>6262.9667074632825</v>
      </c>
      <c r="D305">
        <v>6.1084182636370468</v>
      </c>
    </row>
    <row r="306" spans="1:4" x14ac:dyDescent="0.2">
      <c r="A306">
        <v>298</v>
      </c>
      <c r="B306">
        <v>4.2244951303201885</v>
      </c>
      <c r="C306">
        <v>6417.3369139613478</v>
      </c>
      <c r="D306">
        <v>5.1421001772989499</v>
      </c>
    </row>
    <row r="307" spans="1:4" x14ac:dyDescent="0.2">
      <c r="A307">
        <v>299</v>
      </c>
      <c r="B307">
        <v>3.8849808014411895</v>
      </c>
      <c r="C307">
        <v>6790.4380623280222</v>
      </c>
      <c r="D307">
        <v>13.530767028537571</v>
      </c>
    </row>
    <row r="308" spans="1:4" x14ac:dyDescent="0.2">
      <c r="A308">
        <v>300</v>
      </c>
      <c r="B308">
        <v>4.6295564543762877</v>
      </c>
      <c r="C308">
        <v>6622.1842001901978</v>
      </c>
      <c r="D308">
        <v>15.39997884900324</v>
      </c>
    </row>
    <row r="309" spans="1:4" x14ac:dyDescent="0.2">
      <c r="A309">
        <v>301</v>
      </c>
      <c r="B309">
        <v>4.2669522647899347</v>
      </c>
      <c r="C309">
        <v>6403.532700696418</v>
      </c>
      <c r="D309">
        <v>7.013404624377654</v>
      </c>
    </row>
    <row r="310" spans="1:4" x14ac:dyDescent="0.2">
      <c r="A310">
        <v>302</v>
      </c>
      <c r="B310">
        <v>4.1891356026865472</v>
      </c>
      <c r="C310">
        <v>6790.4387094647991</v>
      </c>
      <c r="D310">
        <v>7.4445929477330148</v>
      </c>
    </row>
    <row r="311" spans="1:4" x14ac:dyDescent="0.2">
      <c r="A311">
        <v>303</v>
      </c>
      <c r="B311">
        <v>4.1492880422376128</v>
      </c>
      <c r="C311">
        <v>6497.8948562530195</v>
      </c>
      <c r="D311">
        <v>3.5000036350700308</v>
      </c>
    </row>
    <row r="312" spans="1:4" x14ac:dyDescent="0.2">
      <c r="A312">
        <v>304</v>
      </c>
      <c r="B312">
        <v>4.4530993323608703</v>
      </c>
      <c r="C312">
        <v>6250.9779310104686</v>
      </c>
      <c r="D312">
        <v>3.5000045122701726</v>
      </c>
    </row>
    <row r="313" spans="1:4" x14ac:dyDescent="0.2">
      <c r="A313">
        <v>305</v>
      </c>
      <c r="B313">
        <v>4.6196265176637885</v>
      </c>
      <c r="C313">
        <v>6196.7653020181724</v>
      </c>
      <c r="D313">
        <v>7.2573237714471244</v>
      </c>
    </row>
    <row r="314" spans="1:4" x14ac:dyDescent="0.2">
      <c r="A314">
        <v>306</v>
      </c>
      <c r="B314">
        <v>4.5065446210969213</v>
      </c>
      <c r="C314">
        <v>6214.6612870012377</v>
      </c>
      <c r="D314">
        <v>3.5000063590830859</v>
      </c>
    </row>
    <row r="315" spans="1:4" x14ac:dyDescent="0.2">
      <c r="A315">
        <v>307</v>
      </c>
      <c r="B315">
        <v>4.328024334069192</v>
      </c>
      <c r="C315">
        <v>6506.6190516160059</v>
      </c>
      <c r="D315">
        <v>7.8045130815038934</v>
      </c>
    </row>
    <row r="316" spans="1:4" x14ac:dyDescent="0.2">
      <c r="A316">
        <v>308</v>
      </c>
      <c r="B316">
        <v>4.6295711066885508</v>
      </c>
      <c r="C316">
        <v>6196.7619851979371</v>
      </c>
      <c r="D316">
        <v>7.2439834225453481</v>
      </c>
    </row>
    <row r="317" spans="1:4" x14ac:dyDescent="0.2">
      <c r="A317">
        <v>309</v>
      </c>
      <c r="B317">
        <v>4.6295667562441603</v>
      </c>
      <c r="C317">
        <v>6582.6350936489398</v>
      </c>
      <c r="D317">
        <v>6.001101968789019</v>
      </c>
    </row>
    <row r="318" spans="1:4" x14ac:dyDescent="0.2">
      <c r="A318">
        <v>310</v>
      </c>
      <c r="B318">
        <v>4.1877993230937998</v>
      </c>
      <c r="C318">
        <v>6731.9064022000921</v>
      </c>
      <c r="D318">
        <v>7.2289741484610603</v>
      </c>
    </row>
    <row r="319" spans="1:4" x14ac:dyDescent="0.2">
      <c r="A319">
        <v>311</v>
      </c>
      <c r="B319">
        <v>4.0006143648220593</v>
      </c>
      <c r="C319">
        <v>6342.6963886122185</v>
      </c>
      <c r="D319">
        <v>7.2392391447003259</v>
      </c>
    </row>
    <row r="320" spans="1:4" x14ac:dyDescent="0.2">
      <c r="A320">
        <v>312</v>
      </c>
      <c r="B320">
        <v>4.0126593310537837</v>
      </c>
      <c r="C320">
        <v>6316.5388284142791</v>
      </c>
      <c r="D320">
        <v>7.255472094812804</v>
      </c>
    </row>
    <row r="321" spans="1:4" x14ac:dyDescent="0.2">
      <c r="A321">
        <v>313</v>
      </c>
      <c r="B321">
        <v>4.196083308207057</v>
      </c>
      <c r="C321">
        <v>6790.4498623400295</v>
      </c>
      <c r="D321">
        <v>5.9962411726690643</v>
      </c>
    </row>
    <row r="322" spans="1:4" x14ac:dyDescent="0.2">
      <c r="A322">
        <v>314</v>
      </c>
      <c r="B322">
        <v>3.8234413157176821</v>
      </c>
      <c r="C322">
        <v>6772.1696858581117</v>
      </c>
      <c r="D322">
        <v>7.2197303729195781</v>
      </c>
    </row>
    <row r="323" spans="1:4" x14ac:dyDescent="0.2">
      <c r="A323">
        <v>315</v>
      </c>
      <c r="B323">
        <v>4.3550127935563667</v>
      </c>
      <c r="C323">
        <v>6481.3564530012063</v>
      </c>
      <c r="D323">
        <v>7.5053540887844967</v>
      </c>
    </row>
    <row r="324" spans="1:4" x14ac:dyDescent="0.2">
      <c r="A324">
        <v>316</v>
      </c>
      <c r="B324">
        <v>4.0452061590137047</v>
      </c>
      <c r="C324">
        <v>6488.6881315946548</v>
      </c>
      <c r="D324">
        <v>6.0073037781417149</v>
      </c>
    </row>
    <row r="325" spans="1:4" x14ac:dyDescent="0.2">
      <c r="A325">
        <v>317</v>
      </c>
      <c r="B325">
        <v>4.186123650692716</v>
      </c>
      <c r="C325">
        <v>6520.7826545940234</v>
      </c>
      <c r="D325">
        <v>7.2277550371511827</v>
      </c>
    </row>
    <row r="326" spans="1:4" x14ac:dyDescent="0.2">
      <c r="A326">
        <v>318</v>
      </c>
      <c r="B326">
        <v>4.6295690532745066</v>
      </c>
      <c r="C326">
        <v>6431.939178094407</v>
      </c>
      <c r="D326">
        <v>5.3693454625678267</v>
      </c>
    </row>
    <row r="327" spans="1:4" x14ac:dyDescent="0.2">
      <c r="A327">
        <v>319</v>
      </c>
      <c r="B327">
        <v>3.9694504580627106</v>
      </c>
      <c r="C327">
        <v>6196.769123698512</v>
      </c>
      <c r="D327">
        <v>7.9283054165766167</v>
      </c>
    </row>
    <row r="328" spans="1:4" x14ac:dyDescent="0.2">
      <c r="A328">
        <v>320</v>
      </c>
      <c r="B328">
        <v>4.2917410477697899</v>
      </c>
      <c r="C328">
        <v>6196.7731353185754</v>
      </c>
      <c r="D328">
        <v>6.0002990041733995</v>
      </c>
    </row>
    <row r="329" spans="1:4" x14ac:dyDescent="0.2">
      <c r="A329">
        <v>321</v>
      </c>
      <c r="B329">
        <v>4.0104393418799562</v>
      </c>
      <c r="C329">
        <v>6196.7803661412408</v>
      </c>
      <c r="D329">
        <v>8.0365602833076686</v>
      </c>
    </row>
    <row r="330" spans="1:4" x14ac:dyDescent="0.2">
      <c r="A330">
        <v>322</v>
      </c>
      <c r="B330">
        <v>4.6292125469661602</v>
      </c>
      <c r="C330">
        <v>6196.7625425626757</v>
      </c>
      <c r="D330">
        <v>15.399947140097215</v>
      </c>
    </row>
    <row r="331" spans="1:4" x14ac:dyDescent="0.2">
      <c r="A331">
        <v>323</v>
      </c>
      <c r="B331">
        <v>3.8234570847746485</v>
      </c>
      <c r="C331">
        <v>6790.4445283082987</v>
      </c>
      <c r="D331">
        <v>7.2146178945430597</v>
      </c>
    </row>
    <row r="332" spans="1:4" x14ac:dyDescent="0.2">
      <c r="A332">
        <v>324</v>
      </c>
      <c r="B332">
        <v>3.8234619555917653</v>
      </c>
      <c r="C332">
        <v>6196.7709416843072</v>
      </c>
      <c r="D332">
        <v>7.267081339812016</v>
      </c>
    </row>
    <row r="333" spans="1:4" x14ac:dyDescent="0.2">
      <c r="A333">
        <v>325</v>
      </c>
      <c r="B333">
        <v>4.018534621377559</v>
      </c>
      <c r="C333">
        <v>6752.5361251361865</v>
      </c>
      <c r="D333">
        <v>3.5000043665975715</v>
      </c>
    </row>
    <row r="334" spans="1:4" x14ac:dyDescent="0.2">
      <c r="A334">
        <v>326</v>
      </c>
      <c r="B334">
        <v>4.1837694062309101</v>
      </c>
      <c r="C334">
        <v>6597.9043017662352</v>
      </c>
      <c r="D334">
        <v>15.399988279962793</v>
      </c>
    </row>
    <row r="335" spans="1:4" x14ac:dyDescent="0.2">
      <c r="A335">
        <v>327</v>
      </c>
      <c r="B335">
        <v>4.3768783851809561</v>
      </c>
      <c r="C335">
        <v>6495.7538976488268</v>
      </c>
      <c r="D335">
        <v>6.9620624431748519</v>
      </c>
    </row>
    <row r="336" spans="1:4" x14ac:dyDescent="0.2">
      <c r="A336">
        <v>328</v>
      </c>
      <c r="B336">
        <v>4.2174155009910539</v>
      </c>
      <c r="C336">
        <v>6787.4263629938641</v>
      </c>
      <c r="D336">
        <v>7.2245612513012407</v>
      </c>
    </row>
    <row r="337" spans="1:4" x14ac:dyDescent="0.2">
      <c r="A337">
        <v>329</v>
      </c>
      <c r="B337">
        <v>4.272153691282826</v>
      </c>
      <c r="C337">
        <v>6258.7176939677656</v>
      </c>
      <c r="D337">
        <v>6.0036688123207806</v>
      </c>
    </row>
    <row r="338" spans="1:4" x14ac:dyDescent="0.2">
      <c r="A338">
        <v>330</v>
      </c>
      <c r="B338">
        <v>3.8405054793403206</v>
      </c>
      <c r="C338">
        <v>6429.6425083353952</v>
      </c>
      <c r="D338">
        <v>3.5000010335501828</v>
      </c>
    </row>
    <row r="339" spans="1:4" x14ac:dyDescent="0.2">
      <c r="A339">
        <v>331</v>
      </c>
      <c r="B339">
        <v>4.4837715780713268</v>
      </c>
      <c r="C339">
        <v>6785.4571174845869</v>
      </c>
      <c r="D339">
        <v>3.5000022936107227</v>
      </c>
    </row>
    <row r="340" spans="1:4" x14ac:dyDescent="0.2">
      <c r="A340">
        <v>332</v>
      </c>
      <c r="B340">
        <v>4.6284609457565562</v>
      </c>
      <c r="C340">
        <v>6196.7863682170509</v>
      </c>
      <c r="D340">
        <v>7.9541515476104063</v>
      </c>
    </row>
    <row r="341" spans="1:4" x14ac:dyDescent="0.2">
      <c r="A341">
        <v>333</v>
      </c>
      <c r="B341">
        <v>4.2728476840177274</v>
      </c>
      <c r="C341">
        <v>6496.1276837140313</v>
      </c>
      <c r="D341">
        <v>6.9113458092633309</v>
      </c>
    </row>
    <row r="342" spans="1:4" x14ac:dyDescent="0.2">
      <c r="A342">
        <v>334</v>
      </c>
      <c r="B342">
        <v>4.2209846217589293</v>
      </c>
      <c r="C342">
        <v>6790.4348329374952</v>
      </c>
      <c r="D342">
        <v>7.2239286009384447</v>
      </c>
    </row>
    <row r="343" spans="1:4" x14ac:dyDescent="0.2">
      <c r="A343">
        <v>335</v>
      </c>
      <c r="B343">
        <v>3.9797506837858205</v>
      </c>
      <c r="C343">
        <v>6196.7785522085842</v>
      </c>
      <c r="D343">
        <v>5.9968525888119268</v>
      </c>
    </row>
    <row r="344" spans="1:4" x14ac:dyDescent="0.2">
      <c r="A344">
        <v>336</v>
      </c>
      <c r="B344">
        <v>4.300730325857872</v>
      </c>
      <c r="C344">
        <v>6369.1442155573395</v>
      </c>
      <c r="D344">
        <v>8.0434261086820342</v>
      </c>
    </row>
    <row r="345" spans="1:4" x14ac:dyDescent="0.2">
      <c r="A345">
        <v>337</v>
      </c>
      <c r="B345">
        <v>3.98232078908989</v>
      </c>
      <c r="C345">
        <v>6638.2838146356644</v>
      </c>
      <c r="D345">
        <v>7.7377762517176985</v>
      </c>
    </row>
    <row r="346" spans="1:4" x14ac:dyDescent="0.2">
      <c r="A346">
        <v>338</v>
      </c>
      <c r="B346">
        <v>4.005612562142546</v>
      </c>
      <c r="C346">
        <v>6529.0751139279819</v>
      </c>
      <c r="D346">
        <v>7.1922781015730104</v>
      </c>
    </row>
    <row r="347" spans="1:4" x14ac:dyDescent="0.2">
      <c r="A347">
        <v>339</v>
      </c>
      <c r="B347">
        <v>4.1044022490256848</v>
      </c>
      <c r="C347">
        <v>6790.4489342209235</v>
      </c>
      <c r="D347">
        <v>7.1894103269705489</v>
      </c>
    </row>
    <row r="348" spans="1:4" x14ac:dyDescent="0.2">
      <c r="A348">
        <v>340</v>
      </c>
      <c r="B348">
        <v>3.826063879116508</v>
      </c>
      <c r="C348">
        <v>6657.5838723675261</v>
      </c>
      <c r="D348">
        <v>6.0038806034624859</v>
      </c>
    </row>
    <row r="349" spans="1:4" x14ac:dyDescent="0.2">
      <c r="A349">
        <v>341</v>
      </c>
      <c r="B349">
        <v>3.8234420415981565</v>
      </c>
      <c r="C349">
        <v>6493.5194914957247</v>
      </c>
      <c r="D349">
        <v>7.4164723754498763</v>
      </c>
    </row>
    <row r="350" spans="1:4" x14ac:dyDescent="0.2">
      <c r="A350">
        <v>342</v>
      </c>
      <c r="B350">
        <v>4.6278060872829361</v>
      </c>
      <c r="C350">
        <v>6552.6900515151092</v>
      </c>
      <c r="D350">
        <v>3.7312328777851915</v>
      </c>
    </row>
    <row r="351" spans="1:4" x14ac:dyDescent="0.2">
      <c r="A351">
        <v>343</v>
      </c>
      <c r="B351">
        <v>3.9873736652749989</v>
      </c>
      <c r="C351">
        <v>6318.5028060489176</v>
      </c>
      <c r="D351">
        <v>15.399962579193383</v>
      </c>
    </row>
    <row r="352" spans="1:4" x14ac:dyDescent="0.2">
      <c r="A352">
        <v>344</v>
      </c>
      <c r="B352">
        <v>3.823451983172518</v>
      </c>
      <c r="C352">
        <v>6547.6925528455058</v>
      </c>
      <c r="D352">
        <v>5.9958276771898538</v>
      </c>
    </row>
    <row r="353" spans="1:4" x14ac:dyDescent="0.2">
      <c r="A353">
        <v>345</v>
      </c>
      <c r="B353">
        <v>4.5726500643984718</v>
      </c>
      <c r="C353">
        <v>6749.6511756807986</v>
      </c>
      <c r="D353">
        <v>15.399981095756411</v>
      </c>
    </row>
    <row r="354" spans="1:4" x14ac:dyDescent="0.2">
      <c r="A354">
        <v>346</v>
      </c>
      <c r="B354">
        <v>4.1864969809174726</v>
      </c>
      <c r="C354">
        <v>6440.0535442230039</v>
      </c>
      <c r="D354">
        <v>7.9682548745327413</v>
      </c>
    </row>
    <row r="355" spans="1:4" x14ac:dyDescent="0.2">
      <c r="A355">
        <v>347</v>
      </c>
      <c r="B355">
        <v>4.6295612848873562</v>
      </c>
      <c r="C355">
        <v>6466.7265709388348</v>
      </c>
      <c r="D355">
        <v>8.0461818820833475</v>
      </c>
    </row>
    <row r="356" spans="1:4" x14ac:dyDescent="0.2">
      <c r="A356">
        <v>348</v>
      </c>
      <c r="B356">
        <v>4.2837661634440387</v>
      </c>
      <c r="C356">
        <v>6256.2545521666543</v>
      </c>
      <c r="D356">
        <v>14.342605440633648</v>
      </c>
    </row>
    <row r="357" spans="1:4" x14ac:dyDescent="0.2">
      <c r="A357">
        <v>349</v>
      </c>
      <c r="B357">
        <v>4.6295851538493178</v>
      </c>
      <c r="C357">
        <v>6422.5329166942283</v>
      </c>
      <c r="D357">
        <v>7.072256533777221</v>
      </c>
    </row>
    <row r="358" spans="1:4" x14ac:dyDescent="0.2">
      <c r="A358">
        <v>350</v>
      </c>
      <c r="B358">
        <v>4.184743642606958</v>
      </c>
      <c r="C358">
        <v>6528.4110385688709</v>
      </c>
      <c r="D358">
        <v>7.208877930767926</v>
      </c>
    </row>
    <row r="359" spans="1:4" x14ac:dyDescent="0.2">
      <c r="A359">
        <v>351</v>
      </c>
      <c r="B359">
        <v>4.0071529740442235</v>
      </c>
      <c r="C359">
        <v>6683.7488234780712</v>
      </c>
      <c r="D359">
        <v>7.2293085010224045</v>
      </c>
    </row>
    <row r="360" spans="1:4" x14ac:dyDescent="0.2">
      <c r="A360">
        <v>352</v>
      </c>
      <c r="B360">
        <v>3.9977312552529742</v>
      </c>
      <c r="C360">
        <v>6773.7957231046676</v>
      </c>
      <c r="D360">
        <v>7.2232738021054841</v>
      </c>
    </row>
    <row r="361" spans="1:4" x14ac:dyDescent="0.2">
      <c r="A361">
        <v>353</v>
      </c>
      <c r="B361">
        <v>4.0192503735641774</v>
      </c>
      <c r="C361">
        <v>6571.6308260548103</v>
      </c>
      <c r="D361">
        <v>4.1286623683787038</v>
      </c>
    </row>
    <row r="362" spans="1:4" x14ac:dyDescent="0.2">
      <c r="A362">
        <v>354</v>
      </c>
      <c r="B362">
        <v>4.0254173876240715</v>
      </c>
      <c r="C362">
        <v>6492.8811299728577</v>
      </c>
      <c r="D362">
        <v>15.399938700615003</v>
      </c>
    </row>
    <row r="363" spans="1:4" x14ac:dyDescent="0.2">
      <c r="A363">
        <v>355</v>
      </c>
      <c r="B363">
        <v>3.8685051553098968</v>
      </c>
      <c r="C363">
        <v>6720.8239664670054</v>
      </c>
      <c r="D363">
        <v>15.399971776738255</v>
      </c>
    </row>
    <row r="364" spans="1:4" x14ac:dyDescent="0.2">
      <c r="A364">
        <v>356</v>
      </c>
      <c r="B364">
        <v>4.4451636286351714</v>
      </c>
      <c r="C364">
        <v>6196.7647152846448</v>
      </c>
      <c r="D364">
        <v>3.5000060409214817</v>
      </c>
    </row>
    <row r="365" spans="1:4" x14ac:dyDescent="0.2">
      <c r="A365">
        <v>357</v>
      </c>
      <c r="B365">
        <v>4.1084096491512963</v>
      </c>
      <c r="C365">
        <v>6251.960970852846</v>
      </c>
      <c r="D365">
        <v>7.1740791708786755</v>
      </c>
    </row>
    <row r="366" spans="1:4" x14ac:dyDescent="0.2">
      <c r="A366">
        <v>358</v>
      </c>
      <c r="B366">
        <v>4.0106205778569128</v>
      </c>
      <c r="C366">
        <v>6487.028148985094</v>
      </c>
      <c r="D366">
        <v>7.8987195806873371</v>
      </c>
    </row>
    <row r="367" spans="1:4" x14ac:dyDescent="0.2">
      <c r="A367">
        <v>359</v>
      </c>
      <c r="B367">
        <v>4.6295786584317957</v>
      </c>
      <c r="C367">
        <v>6536.7238607449499</v>
      </c>
      <c r="D367">
        <v>7.1722401139723697</v>
      </c>
    </row>
    <row r="368" spans="1:4" x14ac:dyDescent="0.2">
      <c r="A368">
        <v>360</v>
      </c>
      <c r="B368">
        <v>4.1832508097192802</v>
      </c>
      <c r="C368">
        <v>6487.4180997135581</v>
      </c>
      <c r="D368">
        <v>6.0016506224778841</v>
      </c>
    </row>
    <row r="369" spans="1:4" x14ac:dyDescent="0.2">
      <c r="A369">
        <v>361</v>
      </c>
      <c r="B369">
        <v>4.1846310349922433</v>
      </c>
      <c r="C369">
        <v>6197.6373450833053</v>
      </c>
      <c r="D369">
        <v>3.5000047837225052</v>
      </c>
    </row>
    <row r="370" spans="1:4" x14ac:dyDescent="0.2">
      <c r="A370">
        <v>362</v>
      </c>
      <c r="B370">
        <v>3.8234681218857571</v>
      </c>
      <c r="C370">
        <v>6200.4097547267402</v>
      </c>
      <c r="D370">
        <v>7.2996536574735726</v>
      </c>
    </row>
    <row r="371" spans="1:4" x14ac:dyDescent="0.2">
      <c r="A371">
        <v>363</v>
      </c>
      <c r="B371">
        <v>3.8234496457101881</v>
      </c>
      <c r="C371">
        <v>6567.5509280722754</v>
      </c>
      <c r="D371">
        <v>5.9948112517563539</v>
      </c>
    </row>
    <row r="372" spans="1:4" x14ac:dyDescent="0.2">
      <c r="A372">
        <v>364</v>
      </c>
      <c r="B372">
        <v>4.1880779200172711</v>
      </c>
      <c r="C372">
        <v>6764.3661769598639</v>
      </c>
      <c r="D372">
        <v>7.2491444805234524</v>
      </c>
    </row>
    <row r="373" spans="1:4" x14ac:dyDescent="0.2">
      <c r="A373">
        <v>365</v>
      </c>
      <c r="B373">
        <v>4.1872166408798268</v>
      </c>
      <c r="C373">
        <v>6542.9202725766236</v>
      </c>
      <c r="D373">
        <v>7.2237502943955363</v>
      </c>
    </row>
    <row r="374" spans="1:4" x14ac:dyDescent="0.2">
      <c r="A374">
        <v>366</v>
      </c>
      <c r="B374">
        <v>4.0065697964065263</v>
      </c>
      <c r="C374">
        <v>6583.9193156422389</v>
      </c>
      <c r="D374">
        <v>6.5621765809833299</v>
      </c>
    </row>
    <row r="375" spans="1:4" x14ac:dyDescent="0.2">
      <c r="A375">
        <v>367</v>
      </c>
      <c r="B375">
        <v>3.9942951585551985</v>
      </c>
      <c r="C375">
        <v>6741.6098082821827</v>
      </c>
      <c r="D375">
        <v>6.4493648774803738</v>
      </c>
    </row>
    <row r="376" spans="1:4" x14ac:dyDescent="0.2">
      <c r="A376">
        <v>368</v>
      </c>
      <c r="B376">
        <v>3.9905499959255653</v>
      </c>
      <c r="C376">
        <v>6263.6819753463651</v>
      </c>
      <c r="D376">
        <v>13.279876564465303</v>
      </c>
    </row>
    <row r="377" spans="1:4" x14ac:dyDescent="0.2">
      <c r="A377">
        <v>369</v>
      </c>
      <c r="B377">
        <v>3.924541870909855</v>
      </c>
      <c r="C377">
        <v>6273.3816177173248</v>
      </c>
      <c r="D377">
        <v>5.9993444936811882</v>
      </c>
    </row>
    <row r="378" spans="1:4" x14ac:dyDescent="0.2">
      <c r="A378">
        <v>370</v>
      </c>
      <c r="B378">
        <v>4.6295942910807675</v>
      </c>
      <c r="C378">
        <v>6497.6439638557395</v>
      </c>
      <c r="D378">
        <v>6.004292282184613</v>
      </c>
    </row>
    <row r="379" spans="1:4" x14ac:dyDescent="0.2">
      <c r="A379">
        <v>371</v>
      </c>
      <c r="B379">
        <v>4.6295903269145509</v>
      </c>
      <c r="C379">
        <v>6706.2587684349401</v>
      </c>
      <c r="D379">
        <v>7.2249847261435409</v>
      </c>
    </row>
    <row r="380" spans="1:4" x14ac:dyDescent="0.2">
      <c r="A380">
        <v>372</v>
      </c>
      <c r="B380">
        <v>3.9933995147399028</v>
      </c>
      <c r="C380">
        <v>6489.1313040250443</v>
      </c>
      <c r="D380">
        <v>10.917361442358983</v>
      </c>
    </row>
    <row r="381" spans="1:4" x14ac:dyDescent="0.2">
      <c r="A381">
        <v>373</v>
      </c>
      <c r="B381">
        <v>4.5653763373759437</v>
      </c>
      <c r="C381">
        <v>6738.1405344319846</v>
      </c>
      <c r="D381">
        <v>7.2815789358170786</v>
      </c>
    </row>
    <row r="382" spans="1:4" x14ac:dyDescent="0.2">
      <c r="A382">
        <v>374</v>
      </c>
      <c r="B382">
        <v>4.4392161671190804</v>
      </c>
      <c r="C382">
        <v>6492.5207223408397</v>
      </c>
      <c r="D382">
        <v>6.2075650651247267</v>
      </c>
    </row>
    <row r="383" spans="1:4" x14ac:dyDescent="0.2">
      <c r="A383">
        <v>375</v>
      </c>
      <c r="B383">
        <v>4.2802377144161765</v>
      </c>
      <c r="C383">
        <v>6196.7845914253257</v>
      </c>
      <c r="D383">
        <v>6.9017452261858168</v>
      </c>
    </row>
    <row r="384" spans="1:4" x14ac:dyDescent="0.2">
      <c r="A384">
        <v>376</v>
      </c>
      <c r="B384">
        <v>4.6295811972053054</v>
      </c>
      <c r="C384">
        <v>6698.4649950295561</v>
      </c>
      <c r="D384">
        <v>4.4992823286500503</v>
      </c>
    </row>
    <row r="385" spans="1:4" x14ac:dyDescent="0.2">
      <c r="A385">
        <v>377</v>
      </c>
      <c r="B385">
        <v>4.0302171152520252</v>
      </c>
      <c r="C385">
        <v>6600.9407015219685</v>
      </c>
      <c r="D385">
        <v>13.925100924647309</v>
      </c>
    </row>
    <row r="386" spans="1:4" x14ac:dyDescent="0.2">
      <c r="A386">
        <v>378</v>
      </c>
      <c r="B386">
        <v>3.9769708588028383</v>
      </c>
      <c r="C386">
        <v>6589.5653212011975</v>
      </c>
      <c r="D386">
        <v>6.2753203057943745</v>
      </c>
    </row>
    <row r="387" spans="1:4" x14ac:dyDescent="0.2">
      <c r="A387">
        <v>379</v>
      </c>
      <c r="B387">
        <v>4.0216993170805821</v>
      </c>
      <c r="C387">
        <v>6592.5919966934071</v>
      </c>
      <c r="D387">
        <v>15.399972055412025</v>
      </c>
    </row>
    <row r="388" spans="1:4" x14ac:dyDescent="0.2">
      <c r="A388">
        <v>380</v>
      </c>
      <c r="B388">
        <v>4.6286869872152092</v>
      </c>
      <c r="C388">
        <v>6351.4849692244916</v>
      </c>
      <c r="D388">
        <v>5.9955079321465519</v>
      </c>
    </row>
    <row r="389" spans="1:4" x14ac:dyDescent="0.2">
      <c r="A389">
        <v>381</v>
      </c>
      <c r="B389">
        <v>4.4333247325276535</v>
      </c>
      <c r="C389">
        <v>6729.5196557741547</v>
      </c>
      <c r="D389">
        <v>6.0067780964331341</v>
      </c>
    </row>
    <row r="390" spans="1:4" x14ac:dyDescent="0.2">
      <c r="A390">
        <v>382</v>
      </c>
      <c r="B390">
        <v>4.2155737062000576</v>
      </c>
      <c r="C390">
        <v>6779.689809816351</v>
      </c>
      <c r="D390">
        <v>6.0021530901992772</v>
      </c>
    </row>
    <row r="391" spans="1:4" x14ac:dyDescent="0.2">
      <c r="A391">
        <v>383</v>
      </c>
      <c r="B391">
        <v>4.4904244887074336</v>
      </c>
      <c r="C391">
        <v>6248.5832032326889</v>
      </c>
      <c r="D391">
        <v>15.399959191763548</v>
      </c>
    </row>
    <row r="392" spans="1:4" x14ac:dyDescent="0.2">
      <c r="A392">
        <v>384</v>
      </c>
      <c r="B392">
        <v>3.8234558250638648</v>
      </c>
      <c r="C392">
        <v>6347.1147032258004</v>
      </c>
      <c r="D392">
        <v>4.2043178971468986</v>
      </c>
    </row>
    <row r="393" spans="1:4" x14ac:dyDescent="0.2">
      <c r="A393">
        <v>385</v>
      </c>
      <c r="B393">
        <v>3.9779419739696382</v>
      </c>
      <c r="C393">
        <v>6509.7941481133157</v>
      </c>
      <c r="D393">
        <v>3.5000028541602517</v>
      </c>
    </row>
    <row r="394" spans="1:4" x14ac:dyDescent="0.2">
      <c r="A394">
        <v>386</v>
      </c>
      <c r="B394">
        <v>3.980187617626572</v>
      </c>
      <c r="C394">
        <v>6219.8032101300496</v>
      </c>
      <c r="D394">
        <v>7.1691354783796175</v>
      </c>
    </row>
    <row r="395" spans="1:4" x14ac:dyDescent="0.2">
      <c r="A395">
        <v>387</v>
      </c>
      <c r="B395">
        <v>3.8234544477307724</v>
      </c>
      <c r="C395">
        <v>6518.6731105096305</v>
      </c>
      <c r="D395">
        <v>7.2373525149904694</v>
      </c>
    </row>
    <row r="396" spans="1:4" x14ac:dyDescent="0.2">
      <c r="A396">
        <v>388</v>
      </c>
      <c r="B396">
        <v>3.823437448995096</v>
      </c>
      <c r="C396">
        <v>6502.2390854112255</v>
      </c>
      <c r="D396">
        <v>5.9951639601603768</v>
      </c>
    </row>
    <row r="397" spans="1:4" x14ac:dyDescent="0.2">
      <c r="A397">
        <v>389</v>
      </c>
      <c r="B397">
        <v>4.6295828715275231</v>
      </c>
      <c r="C397">
        <v>6669.2869481642138</v>
      </c>
      <c r="D397">
        <v>7.9580590425673519</v>
      </c>
    </row>
    <row r="398" spans="1:4" x14ac:dyDescent="0.2">
      <c r="A398">
        <v>390</v>
      </c>
      <c r="B398">
        <v>4.4779528316737105</v>
      </c>
      <c r="C398">
        <v>6554.8718373831371</v>
      </c>
      <c r="D398">
        <v>7.259162363292277</v>
      </c>
    </row>
    <row r="399" spans="1:4" x14ac:dyDescent="0.2">
      <c r="A399">
        <v>391</v>
      </c>
      <c r="B399">
        <v>3.9891024266883348</v>
      </c>
      <c r="C399">
        <v>6249.3575543274073</v>
      </c>
      <c r="D399">
        <v>6.4723803083964757</v>
      </c>
    </row>
    <row r="400" spans="1:4" x14ac:dyDescent="0.2">
      <c r="A400">
        <v>392</v>
      </c>
      <c r="B400">
        <v>4.0032603875666721</v>
      </c>
      <c r="C400">
        <v>6525.4137733871648</v>
      </c>
      <c r="D400">
        <v>8.0297211059863347</v>
      </c>
    </row>
    <row r="401" spans="1:4" x14ac:dyDescent="0.2">
      <c r="A401">
        <v>393</v>
      </c>
      <c r="B401">
        <v>3.9829892181965958</v>
      </c>
      <c r="C401">
        <v>6645.8928329915989</v>
      </c>
      <c r="D401">
        <v>6.9901538940087047</v>
      </c>
    </row>
    <row r="402" spans="1:4" x14ac:dyDescent="0.2">
      <c r="A402">
        <v>394</v>
      </c>
      <c r="B402">
        <v>4.0900248857568062</v>
      </c>
      <c r="C402">
        <v>6564.8885072520561</v>
      </c>
      <c r="D402">
        <v>8.0146097183793863</v>
      </c>
    </row>
    <row r="403" spans="1:4" x14ac:dyDescent="0.2">
      <c r="A403">
        <v>395</v>
      </c>
      <c r="B403">
        <v>4.5841504244527691</v>
      </c>
      <c r="C403">
        <v>6497.2164546210979</v>
      </c>
      <c r="D403">
        <v>6.0561478474528379</v>
      </c>
    </row>
    <row r="404" spans="1:4" x14ac:dyDescent="0.2">
      <c r="A404">
        <v>396</v>
      </c>
      <c r="B404">
        <v>4.2368161063565486</v>
      </c>
      <c r="C404">
        <v>6526.3504896315017</v>
      </c>
      <c r="D404">
        <v>7.6734200344428469</v>
      </c>
    </row>
    <row r="405" spans="1:4" x14ac:dyDescent="0.2">
      <c r="A405">
        <v>397</v>
      </c>
      <c r="B405">
        <v>4.0084300308569798</v>
      </c>
      <c r="C405">
        <v>6508.8664460251812</v>
      </c>
      <c r="D405">
        <v>3.5000019718693971</v>
      </c>
    </row>
    <row r="406" spans="1:4" x14ac:dyDescent="0.2">
      <c r="A406">
        <v>398</v>
      </c>
      <c r="B406">
        <v>4.4183333784332239</v>
      </c>
      <c r="C406">
        <v>6196.7828171042393</v>
      </c>
      <c r="D406">
        <v>6.0048499424128439</v>
      </c>
    </row>
    <row r="407" spans="1:4" x14ac:dyDescent="0.2">
      <c r="A407">
        <v>399</v>
      </c>
      <c r="B407">
        <v>4.6295946347986705</v>
      </c>
      <c r="C407">
        <v>6257.4324913549126</v>
      </c>
      <c r="D407">
        <v>10.403439629385431</v>
      </c>
    </row>
    <row r="408" spans="1:4" x14ac:dyDescent="0.2">
      <c r="A408">
        <v>400</v>
      </c>
      <c r="B408">
        <v>4.3653826902677011</v>
      </c>
      <c r="C408">
        <v>6563.8044067381343</v>
      </c>
      <c r="D408">
        <v>7.2135443652909377</v>
      </c>
    </row>
    <row r="409" spans="1:4" x14ac:dyDescent="0.2">
      <c r="A409">
        <v>401</v>
      </c>
      <c r="B409">
        <v>4.2183178724436949</v>
      </c>
      <c r="C409">
        <v>6651.2007847360674</v>
      </c>
      <c r="D409">
        <v>3.5000062354169463</v>
      </c>
    </row>
    <row r="410" spans="1:4" x14ac:dyDescent="0.2">
      <c r="A410">
        <v>402</v>
      </c>
      <c r="B410">
        <v>4.3887090937165167</v>
      </c>
      <c r="C410">
        <v>6443.8979812715615</v>
      </c>
      <c r="D410">
        <v>7.9850379456547262</v>
      </c>
    </row>
    <row r="411" spans="1:4" x14ac:dyDescent="0.2">
      <c r="A411">
        <v>403</v>
      </c>
      <c r="B411">
        <v>3.9996017100630334</v>
      </c>
      <c r="C411">
        <v>6790.4407289634437</v>
      </c>
      <c r="D411">
        <v>7.9350482830877684</v>
      </c>
    </row>
    <row r="412" spans="1:4" x14ac:dyDescent="0.2">
      <c r="A412">
        <v>404</v>
      </c>
      <c r="B412">
        <v>4.3568455878205565</v>
      </c>
      <c r="C412">
        <v>6239.9695918653069</v>
      </c>
      <c r="D412">
        <v>3.5000040451875529</v>
      </c>
    </row>
    <row r="413" spans="1:4" x14ac:dyDescent="0.2">
      <c r="A413">
        <v>405</v>
      </c>
      <c r="B413">
        <v>4.5294380963339576</v>
      </c>
      <c r="C413">
        <v>6717.0635179227529</v>
      </c>
      <c r="D413">
        <v>7.6788563948347495</v>
      </c>
    </row>
    <row r="414" spans="1:4" x14ac:dyDescent="0.2">
      <c r="A414">
        <v>406</v>
      </c>
      <c r="B414">
        <v>4.6295761396577202</v>
      </c>
      <c r="C414">
        <v>6790.4257419880796</v>
      </c>
      <c r="D414">
        <v>15.39997922091867</v>
      </c>
    </row>
    <row r="415" spans="1:4" x14ac:dyDescent="0.2">
      <c r="A415">
        <v>407</v>
      </c>
      <c r="B415">
        <v>4.3233339558270263</v>
      </c>
      <c r="C415">
        <v>6492.065046793442</v>
      </c>
      <c r="D415">
        <v>7.1810676991727131</v>
      </c>
    </row>
    <row r="416" spans="1:4" x14ac:dyDescent="0.2">
      <c r="A416">
        <v>408</v>
      </c>
      <c r="B416">
        <v>4.0024766506426293</v>
      </c>
      <c r="C416">
        <v>6618.5390186116001</v>
      </c>
      <c r="D416">
        <v>6.4928865115755467</v>
      </c>
    </row>
    <row r="417" spans="1:4" x14ac:dyDescent="0.2">
      <c r="A417">
        <v>409</v>
      </c>
      <c r="B417">
        <v>4.3321193779177323</v>
      </c>
      <c r="C417">
        <v>6366.2367223969995</v>
      </c>
      <c r="D417">
        <v>7.2785061813218643</v>
      </c>
    </row>
    <row r="418" spans="1:4" x14ac:dyDescent="0.2">
      <c r="A418">
        <v>410</v>
      </c>
      <c r="B418">
        <v>4.2900308618928529</v>
      </c>
      <c r="C418">
        <v>6790.4302077304837</v>
      </c>
      <c r="D418">
        <v>8.0255497335598527</v>
      </c>
    </row>
    <row r="419" spans="1:4" x14ac:dyDescent="0.2">
      <c r="A419">
        <v>411</v>
      </c>
      <c r="B419">
        <v>4.2562670110730654</v>
      </c>
      <c r="C419">
        <v>6790.4503381723098</v>
      </c>
      <c r="D419">
        <v>6.0049956033754857</v>
      </c>
    </row>
    <row r="420" spans="1:4" x14ac:dyDescent="0.2">
      <c r="A420">
        <v>412</v>
      </c>
      <c r="B420">
        <v>4.6295881961382381</v>
      </c>
      <c r="C420">
        <v>6477.4888028967898</v>
      </c>
      <c r="D420">
        <v>6.5903897893954069</v>
      </c>
    </row>
    <row r="421" spans="1:4" x14ac:dyDescent="0.2">
      <c r="A421">
        <v>413</v>
      </c>
      <c r="B421">
        <v>4.1870725419601849</v>
      </c>
      <c r="C421">
        <v>6333.4866793840265</v>
      </c>
      <c r="D421">
        <v>7.1793671372733296</v>
      </c>
    </row>
    <row r="422" spans="1:4" x14ac:dyDescent="0.2">
      <c r="A422">
        <v>414</v>
      </c>
      <c r="B422">
        <v>4.1863919697759879</v>
      </c>
      <c r="C422">
        <v>6740.8794984697497</v>
      </c>
      <c r="D422">
        <v>7.2828391024583459</v>
      </c>
    </row>
    <row r="423" spans="1:4" x14ac:dyDescent="0.2">
      <c r="A423">
        <v>415</v>
      </c>
      <c r="B423">
        <v>3.9903188330843529</v>
      </c>
      <c r="C423">
        <v>6250.4349988989688</v>
      </c>
      <c r="D423">
        <v>7.265480195047477</v>
      </c>
    </row>
    <row r="424" spans="1:4" x14ac:dyDescent="0.2">
      <c r="A424">
        <v>416</v>
      </c>
      <c r="B424">
        <v>4.16229158303618</v>
      </c>
      <c r="C424">
        <v>6611.0449975534584</v>
      </c>
      <c r="D424">
        <v>6.0688623749504575</v>
      </c>
    </row>
    <row r="425" spans="1:4" x14ac:dyDescent="0.2">
      <c r="A425">
        <v>417</v>
      </c>
      <c r="B425">
        <v>3.9862791878499415</v>
      </c>
      <c r="C425">
        <v>6730.1307262737491</v>
      </c>
      <c r="D425">
        <v>7.2148553026998794</v>
      </c>
    </row>
    <row r="426" spans="1:4" x14ac:dyDescent="0.2">
      <c r="A426">
        <v>418</v>
      </c>
      <c r="B426">
        <v>3.8234586703905182</v>
      </c>
      <c r="C426">
        <v>6559.0807253066041</v>
      </c>
      <c r="D426">
        <v>5.9983695498937326</v>
      </c>
    </row>
    <row r="427" spans="1:4" x14ac:dyDescent="0.2">
      <c r="A427">
        <v>419</v>
      </c>
      <c r="B427">
        <v>4.3169834977089181</v>
      </c>
      <c r="C427">
        <v>6329.1957874077625</v>
      </c>
      <c r="D427">
        <v>4.6395048865556952</v>
      </c>
    </row>
    <row r="428" spans="1:4" x14ac:dyDescent="0.2">
      <c r="A428">
        <v>420</v>
      </c>
      <c r="B428">
        <v>3.8234661485068182</v>
      </c>
      <c r="C428">
        <v>6488.1878941914201</v>
      </c>
      <c r="D428">
        <v>6.6782365259657039</v>
      </c>
    </row>
    <row r="429" spans="1:4" x14ac:dyDescent="0.2">
      <c r="A429">
        <v>421</v>
      </c>
      <c r="B429">
        <v>4.501813063973235</v>
      </c>
      <c r="C429">
        <v>6512.7025821778016</v>
      </c>
      <c r="D429">
        <v>4.3841221518890414</v>
      </c>
    </row>
    <row r="430" spans="1:4" x14ac:dyDescent="0.2">
      <c r="A430">
        <v>422</v>
      </c>
      <c r="B430">
        <v>4.1878813760584013</v>
      </c>
      <c r="C430">
        <v>6563.0243109879093</v>
      </c>
      <c r="D430">
        <v>7.6103072650718371</v>
      </c>
    </row>
    <row r="431" spans="1:4" x14ac:dyDescent="0.2">
      <c r="A431">
        <v>423</v>
      </c>
      <c r="B431">
        <v>4.6136062655860428</v>
      </c>
      <c r="C431">
        <v>6494.1471425999707</v>
      </c>
      <c r="D431">
        <v>7.1901111017144448</v>
      </c>
    </row>
    <row r="432" spans="1:4" x14ac:dyDescent="0.2">
      <c r="A432">
        <v>424</v>
      </c>
      <c r="B432">
        <v>4.6280205808401256</v>
      </c>
      <c r="C432">
        <v>6531.0788897216471</v>
      </c>
      <c r="D432">
        <v>5.8370639179345787</v>
      </c>
    </row>
    <row r="433" spans="1:4" x14ac:dyDescent="0.2">
      <c r="A433">
        <v>425</v>
      </c>
      <c r="B433">
        <v>4.4252906918352046</v>
      </c>
      <c r="C433">
        <v>6375.8013631814174</v>
      </c>
      <c r="D433">
        <v>7.1395160982253021</v>
      </c>
    </row>
    <row r="434" spans="1:4" x14ac:dyDescent="0.2">
      <c r="A434">
        <v>426</v>
      </c>
      <c r="B434">
        <v>4.2615411497336879</v>
      </c>
      <c r="C434">
        <v>6246.5273872226135</v>
      </c>
      <c r="D434">
        <v>8.0397183260335723</v>
      </c>
    </row>
    <row r="435" spans="1:4" x14ac:dyDescent="0.2">
      <c r="A435">
        <v>427</v>
      </c>
      <c r="B435">
        <v>4.4082213909443437</v>
      </c>
      <c r="C435">
        <v>6790.4469906841141</v>
      </c>
      <c r="D435">
        <v>11.725968422038102</v>
      </c>
    </row>
    <row r="436" spans="1:4" x14ac:dyDescent="0.2">
      <c r="A436">
        <v>428</v>
      </c>
      <c r="B436">
        <v>4.5622231557200568</v>
      </c>
      <c r="C436">
        <v>6715.7024187449588</v>
      </c>
      <c r="D436">
        <v>12.709393741041383</v>
      </c>
    </row>
    <row r="437" spans="1:4" x14ac:dyDescent="0.2">
      <c r="A437">
        <v>429</v>
      </c>
      <c r="B437">
        <v>4.1325935351410212</v>
      </c>
      <c r="C437">
        <v>6553.7926371758358</v>
      </c>
      <c r="D437">
        <v>6.528816595621147</v>
      </c>
    </row>
    <row r="438" spans="1:4" x14ac:dyDescent="0.2">
      <c r="A438">
        <v>430</v>
      </c>
      <c r="B438">
        <v>3.8316873755912915</v>
      </c>
      <c r="C438">
        <v>6274.6001126254541</v>
      </c>
      <c r="D438">
        <v>7.2227443191188581</v>
      </c>
    </row>
    <row r="439" spans="1:4" x14ac:dyDescent="0.2">
      <c r="A439">
        <v>431</v>
      </c>
      <c r="B439">
        <v>3.9859189406204267</v>
      </c>
      <c r="C439">
        <v>6790.4482420097956</v>
      </c>
      <c r="D439">
        <v>8.0204114102022874</v>
      </c>
    </row>
    <row r="440" spans="1:4" x14ac:dyDescent="0.2">
      <c r="A440">
        <v>432</v>
      </c>
      <c r="B440">
        <v>4.3308718272510687</v>
      </c>
      <c r="C440">
        <v>6196.7742579939104</v>
      </c>
      <c r="D440">
        <v>7.2843028604235229</v>
      </c>
    </row>
    <row r="441" spans="1:4" x14ac:dyDescent="0.2">
      <c r="A441">
        <v>433</v>
      </c>
      <c r="B441">
        <v>4.4555721045419157</v>
      </c>
      <c r="C441">
        <v>6265.7104028205613</v>
      </c>
      <c r="D441">
        <v>15.399969897118091</v>
      </c>
    </row>
    <row r="442" spans="1:4" x14ac:dyDescent="0.2">
      <c r="A442">
        <v>434</v>
      </c>
      <c r="B442">
        <v>4.6295841082111</v>
      </c>
      <c r="C442">
        <v>6781.724053129381</v>
      </c>
      <c r="D442">
        <v>7.2063966940826027</v>
      </c>
    </row>
    <row r="443" spans="1:4" x14ac:dyDescent="0.2">
      <c r="A443">
        <v>435</v>
      </c>
      <c r="B443">
        <v>4.2674366460325981</v>
      </c>
      <c r="C443">
        <v>6758.0329299822424</v>
      </c>
      <c r="D443">
        <v>7.773568866925368</v>
      </c>
    </row>
    <row r="444" spans="1:4" x14ac:dyDescent="0.2">
      <c r="A444">
        <v>436</v>
      </c>
      <c r="B444">
        <v>4.1874520597887503</v>
      </c>
      <c r="C444">
        <v>6790.4338088492577</v>
      </c>
      <c r="D444">
        <v>6.1545200519533694</v>
      </c>
    </row>
    <row r="445" spans="1:4" x14ac:dyDescent="0.2">
      <c r="A445">
        <v>437</v>
      </c>
      <c r="B445">
        <v>4.0382108444026574</v>
      </c>
      <c r="C445">
        <v>6790.4268675075937</v>
      </c>
      <c r="D445">
        <v>3.5000034681608532</v>
      </c>
    </row>
    <row r="446" spans="1:4" x14ac:dyDescent="0.2">
      <c r="A446">
        <v>438</v>
      </c>
      <c r="B446">
        <v>4.015887750632265</v>
      </c>
      <c r="C446">
        <v>6696.5799978927125</v>
      </c>
      <c r="D446">
        <v>5.2223816705579349</v>
      </c>
    </row>
    <row r="447" spans="1:4" x14ac:dyDescent="0.2">
      <c r="A447">
        <v>439</v>
      </c>
      <c r="B447">
        <v>4.0049259512062294</v>
      </c>
      <c r="C447">
        <v>6733.1029580701461</v>
      </c>
      <c r="D447">
        <v>3.500004748078215</v>
      </c>
    </row>
    <row r="448" spans="1:4" x14ac:dyDescent="0.2">
      <c r="A448">
        <v>440</v>
      </c>
      <c r="B448">
        <v>3.8234464792491307</v>
      </c>
      <c r="C448">
        <v>6505.113640132512</v>
      </c>
      <c r="D448">
        <v>6.8906985829216376</v>
      </c>
    </row>
    <row r="449" spans="1:4" x14ac:dyDescent="0.2">
      <c r="A449">
        <v>441</v>
      </c>
      <c r="B449">
        <v>4.40359138887254</v>
      </c>
      <c r="C449">
        <v>6196.7728588230993</v>
      </c>
      <c r="D449">
        <v>8.399923582304913</v>
      </c>
    </row>
    <row r="450" spans="1:4" x14ac:dyDescent="0.2">
      <c r="A450">
        <v>442</v>
      </c>
      <c r="B450">
        <v>4.24649507404951</v>
      </c>
      <c r="C450">
        <v>6595.6523411237304</v>
      </c>
      <c r="D450">
        <v>8.0316879296595864</v>
      </c>
    </row>
    <row r="451" spans="1:4" x14ac:dyDescent="0.2">
      <c r="A451">
        <v>443</v>
      </c>
      <c r="B451">
        <v>4.3464426465176649</v>
      </c>
      <c r="C451">
        <v>6492.2135832956255</v>
      </c>
      <c r="D451">
        <v>7.1915160347143878</v>
      </c>
    </row>
    <row r="452" spans="1:4" x14ac:dyDescent="0.2">
      <c r="A452">
        <v>444</v>
      </c>
      <c r="B452">
        <v>3.8234610662365651</v>
      </c>
      <c r="C452">
        <v>6790.4303600216617</v>
      </c>
      <c r="D452">
        <v>6.0045684983218308</v>
      </c>
    </row>
    <row r="453" spans="1:4" x14ac:dyDescent="0.2">
      <c r="A453">
        <v>445</v>
      </c>
      <c r="B453">
        <v>4.3723336069747027</v>
      </c>
      <c r="C453">
        <v>6264.8512055630099</v>
      </c>
      <c r="D453">
        <v>3.5000022081806801</v>
      </c>
    </row>
    <row r="454" spans="1:4" x14ac:dyDescent="0.2">
      <c r="A454">
        <v>446</v>
      </c>
      <c r="B454">
        <v>4.131257035574607</v>
      </c>
      <c r="C454">
        <v>6489.2362381782186</v>
      </c>
      <c r="D454">
        <v>7.6948381107646489</v>
      </c>
    </row>
    <row r="455" spans="1:4" x14ac:dyDescent="0.2">
      <c r="A455">
        <v>447</v>
      </c>
      <c r="B455">
        <v>3.9699093872424362</v>
      </c>
      <c r="C455">
        <v>6775.7566625279978</v>
      </c>
      <c r="D455">
        <v>7.2139324262742051</v>
      </c>
    </row>
    <row r="456" spans="1:4" x14ac:dyDescent="0.2">
      <c r="A456">
        <v>448</v>
      </c>
      <c r="B456">
        <v>4.4111787973735046</v>
      </c>
      <c r="C456">
        <v>6779.024194053839</v>
      </c>
      <c r="D456">
        <v>7.9871614407989462</v>
      </c>
    </row>
    <row r="457" spans="1:4" x14ac:dyDescent="0.2">
      <c r="A457">
        <v>449</v>
      </c>
      <c r="B457">
        <v>4.1860269354402071</v>
      </c>
      <c r="C457">
        <v>6340.8743795291348</v>
      </c>
      <c r="D457">
        <v>6.9376822846790223</v>
      </c>
    </row>
    <row r="458" spans="1:4" x14ac:dyDescent="0.2">
      <c r="A458">
        <v>450</v>
      </c>
      <c r="B458">
        <v>4.5550949053383762</v>
      </c>
      <c r="C458">
        <v>6785.7114129879128</v>
      </c>
      <c r="D458">
        <v>7.2462649269623949</v>
      </c>
    </row>
    <row r="459" spans="1:4" x14ac:dyDescent="0.2">
      <c r="A459">
        <v>451</v>
      </c>
      <c r="B459">
        <v>4.3376862458475092</v>
      </c>
      <c r="C459">
        <v>6413.0653898746859</v>
      </c>
      <c r="D459">
        <v>7.2183332240581981</v>
      </c>
    </row>
    <row r="460" spans="1:4" x14ac:dyDescent="0.2">
      <c r="A460">
        <v>452</v>
      </c>
      <c r="B460">
        <v>4.6295660713541578</v>
      </c>
      <c r="C460">
        <v>6208.4521203293361</v>
      </c>
      <c r="D460">
        <v>7.2622806169468506</v>
      </c>
    </row>
    <row r="461" spans="1:4" x14ac:dyDescent="0.2">
      <c r="A461">
        <v>453</v>
      </c>
      <c r="B461">
        <v>4.6008406751358883</v>
      </c>
      <c r="C461">
        <v>6304.2920720354814</v>
      </c>
      <c r="D461">
        <v>15.399955379678426</v>
      </c>
    </row>
    <row r="462" spans="1:4" x14ac:dyDescent="0.2">
      <c r="A462">
        <v>454</v>
      </c>
      <c r="B462">
        <v>4.6295652989913094</v>
      </c>
      <c r="C462">
        <v>6196.7750740703532</v>
      </c>
      <c r="D462">
        <v>6.1728346580627473</v>
      </c>
    </row>
    <row r="463" spans="1:4" x14ac:dyDescent="0.2">
      <c r="A463">
        <v>455</v>
      </c>
      <c r="B463">
        <v>4.4496263813233625</v>
      </c>
      <c r="C463">
        <v>6331.0366817189843</v>
      </c>
      <c r="D463">
        <v>7.1253175540582765</v>
      </c>
    </row>
    <row r="464" spans="1:4" x14ac:dyDescent="0.2">
      <c r="A464">
        <v>456</v>
      </c>
      <c r="B464">
        <v>3.8234493543470829</v>
      </c>
      <c r="C464">
        <v>6307.8522018492822</v>
      </c>
      <c r="D464">
        <v>15.399948141319021</v>
      </c>
    </row>
    <row r="465" spans="1:4" x14ac:dyDescent="0.2">
      <c r="A465">
        <v>457</v>
      </c>
      <c r="B465">
        <v>4.3396760733264346</v>
      </c>
      <c r="C465">
        <v>6788.9274349839334</v>
      </c>
      <c r="D465">
        <v>7.2194136250273306</v>
      </c>
    </row>
    <row r="466" spans="1:4" x14ac:dyDescent="0.2">
      <c r="A466">
        <v>458</v>
      </c>
      <c r="B466">
        <v>3.8234531881212752</v>
      </c>
      <c r="C466">
        <v>6782.3307908749175</v>
      </c>
      <c r="D466">
        <v>6.0054511589427753</v>
      </c>
    </row>
    <row r="467" spans="1:4" x14ac:dyDescent="0.2">
      <c r="A467">
        <v>459</v>
      </c>
      <c r="B467">
        <v>3.8548108654183917</v>
      </c>
      <c r="C467">
        <v>6790.4473566621664</v>
      </c>
      <c r="D467">
        <v>7.220880208972055</v>
      </c>
    </row>
    <row r="468" spans="1:4" x14ac:dyDescent="0.2">
      <c r="A468">
        <v>460</v>
      </c>
      <c r="B468">
        <v>4.211669364400735</v>
      </c>
      <c r="C468">
        <v>6790.4366928650315</v>
      </c>
      <c r="D468">
        <v>10.989964167732905</v>
      </c>
    </row>
    <row r="469" spans="1:4" x14ac:dyDescent="0.2">
      <c r="A469">
        <v>461</v>
      </c>
      <c r="B469">
        <v>4.0495730758572375</v>
      </c>
      <c r="C469">
        <v>6636.2950341636279</v>
      </c>
      <c r="D469">
        <v>7.2281066397582707</v>
      </c>
    </row>
    <row r="470" spans="1:4" x14ac:dyDescent="0.2">
      <c r="A470">
        <v>462</v>
      </c>
      <c r="B470">
        <v>3.998941876095806</v>
      </c>
      <c r="C470">
        <v>6714.1407327686147</v>
      </c>
      <c r="D470">
        <v>6.8321245347285586</v>
      </c>
    </row>
    <row r="471" spans="1:4" x14ac:dyDescent="0.2">
      <c r="A471">
        <v>463</v>
      </c>
      <c r="B471">
        <v>4.0993394986975193</v>
      </c>
      <c r="C471">
        <v>6790.4328989097048</v>
      </c>
      <c r="D471">
        <v>7.1712556371037577</v>
      </c>
    </row>
    <row r="472" spans="1:4" x14ac:dyDescent="0.2">
      <c r="A472">
        <v>464</v>
      </c>
      <c r="B472">
        <v>4.6112470162501946</v>
      </c>
      <c r="C472">
        <v>6247.499563725085</v>
      </c>
      <c r="D472">
        <v>7.2449654794369787</v>
      </c>
    </row>
    <row r="473" spans="1:4" x14ac:dyDescent="0.2">
      <c r="A473">
        <v>465</v>
      </c>
      <c r="B473">
        <v>4.114902820571011</v>
      </c>
      <c r="C473">
        <v>6550.2550590453729</v>
      </c>
      <c r="D473">
        <v>7.9725726119401781</v>
      </c>
    </row>
    <row r="474" spans="1:4" x14ac:dyDescent="0.2">
      <c r="A474">
        <v>466</v>
      </c>
      <c r="B474">
        <v>4.0033824133477873</v>
      </c>
      <c r="C474">
        <v>6359.713022486063</v>
      </c>
      <c r="D474">
        <v>6.7474126671866852</v>
      </c>
    </row>
    <row r="475" spans="1:4" x14ac:dyDescent="0.2">
      <c r="A475">
        <v>467</v>
      </c>
      <c r="B475">
        <v>4.6295779517370947</v>
      </c>
      <c r="C475">
        <v>6544.5937142558123</v>
      </c>
      <c r="D475">
        <v>4.8923544953347982</v>
      </c>
    </row>
    <row r="476" spans="1:4" x14ac:dyDescent="0.2">
      <c r="A476">
        <v>468</v>
      </c>
      <c r="B476">
        <v>4.1892435134059944</v>
      </c>
      <c r="C476">
        <v>6790.4401364059686</v>
      </c>
      <c r="D476">
        <v>15.39996349559526</v>
      </c>
    </row>
    <row r="477" spans="1:4" x14ac:dyDescent="0.2">
      <c r="A477">
        <v>469</v>
      </c>
      <c r="B477">
        <v>4.2545932979078618</v>
      </c>
      <c r="C477">
        <v>6310.5749118203448</v>
      </c>
      <c r="D477">
        <v>7.6427428462020419</v>
      </c>
    </row>
    <row r="478" spans="1:4" x14ac:dyDescent="0.2">
      <c r="A478">
        <v>470</v>
      </c>
      <c r="B478">
        <v>3.8234639110076465</v>
      </c>
      <c r="C478">
        <v>6196.7684675967066</v>
      </c>
      <c r="D478">
        <v>7.2084344876966657</v>
      </c>
    </row>
    <row r="479" spans="1:4" x14ac:dyDescent="0.2">
      <c r="A479">
        <v>471</v>
      </c>
      <c r="B479">
        <v>3.9758273615559303</v>
      </c>
      <c r="C479">
        <v>6196.7674084474384</v>
      </c>
      <c r="D479">
        <v>7.2301036553112006</v>
      </c>
    </row>
    <row r="480" spans="1:4" x14ac:dyDescent="0.2">
      <c r="A480">
        <v>472</v>
      </c>
      <c r="B480">
        <v>4.390447719787395</v>
      </c>
      <c r="C480">
        <v>6253.5727722710044</v>
      </c>
      <c r="D480">
        <v>15.399933614733204</v>
      </c>
    </row>
    <row r="481" spans="1:4" x14ac:dyDescent="0.2">
      <c r="A481">
        <v>473</v>
      </c>
      <c r="B481">
        <v>4.0080480356170378</v>
      </c>
      <c r="C481">
        <v>6295.9324985936128</v>
      </c>
      <c r="D481">
        <v>14.588181915553568</v>
      </c>
    </row>
    <row r="482" spans="1:4" x14ac:dyDescent="0.2">
      <c r="A482">
        <v>474</v>
      </c>
      <c r="B482">
        <v>4.6289523877957341</v>
      </c>
      <c r="C482">
        <v>6585.4451852593938</v>
      </c>
      <c r="D482">
        <v>3.5000019027242817</v>
      </c>
    </row>
    <row r="483" spans="1:4" x14ac:dyDescent="0.2">
      <c r="A483">
        <v>475</v>
      </c>
      <c r="B483">
        <v>4.0168956638980218</v>
      </c>
      <c r="C483">
        <v>6734.6204092887137</v>
      </c>
      <c r="D483">
        <v>3.50000278755327</v>
      </c>
    </row>
    <row r="484" spans="1:4" x14ac:dyDescent="0.2">
      <c r="A484">
        <v>476</v>
      </c>
      <c r="B484">
        <v>4.2101639841065293</v>
      </c>
      <c r="C484">
        <v>6237.5727821043984</v>
      </c>
      <c r="D484">
        <v>6.0318885167368936</v>
      </c>
    </row>
    <row r="485" spans="1:4" x14ac:dyDescent="0.2">
      <c r="A485">
        <v>477</v>
      </c>
      <c r="B485">
        <v>4.0205700026847424</v>
      </c>
      <c r="C485">
        <v>6606.6689010474875</v>
      </c>
      <c r="D485">
        <v>6.221543399146837</v>
      </c>
    </row>
    <row r="486" spans="1:4" x14ac:dyDescent="0.2">
      <c r="A486">
        <v>478</v>
      </c>
      <c r="B486">
        <v>4.2531961942760761</v>
      </c>
      <c r="C486">
        <v>6574.5269407170399</v>
      </c>
      <c r="D486">
        <v>3.9631594159371484</v>
      </c>
    </row>
    <row r="487" spans="1:4" x14ac:dyDescent="0.2">
      <c r="A487">
        <v>479</v>
      </c>
      <c r="B487">
        <v>4.6295917444328243</v>
      </c>
      <c r="C487">
        <v>6252.855876017682</v>
      </c>
      <c r="D487">
        <v>3.500003119492276</v>
      </c>
    </row>
    <row r="488" spans="1:4" x14ac:dyDescent="0.2">
      <c r="A488">
        <v>480</v>
      </c>
      <c r="B488">
        <v>4.250856331879044</v>
      </c>
      <c r="C488">
        <v>6768.0241820572955</v>
      </c>
      <c r="D488">
        <v>14.827487932393534</v>
      </c>
    </row>
    <row r="489" spans="1:4" x14ac:dyDescent="0.2">
      <c r="A489">
        <v>481</v>
      </c>
      <c r="B489">
        <v>4.136694853217401</v>
      </c>
      <c r="C489">
        <v>6244.9351992388438</v>
      </c>
      <c r="D489">
        <v>7.2569122447725585</v>
      </c>
    </row>
    <row r="490" spans="1:4" x14ac:dyDescent="0.2">
      <c r="A490">
        <v>482</v>
      </c>
      <c r="B490">
        <v>4.3046281302048239</v>
      </c>
      <c r="C490">
        <v>6390.9868992608162</v>
      </c>
      <c r="D490">
        <v>7.4869948458788951</v>
      </c>
    </row>
    <row r="491" spans="1:4" x14ac:dyDescent="0.2">
      <c r="A491">
        <v>483</v>
      </c>
      <c r="B491">
        <v>4.0873190077088841</v>
      </c>
      <c r="C491">
        <v>6610.052724165017</v>
      </c>
      <c r="D491">
        <v>7.251541816057995</v>
      </c>
    </row>
    <row r="492" spans="1:4" x14ac:dyDescent="0.2">
      <c r="A492">
        <v>484</v>
      </c>
      <c r="B492">
        <v>4.2062511613137064</v>
      </c>
      <c r="C492">
        <v>6353.6443247384923</v>
      </c>
      <c r="D492">
        <v>7.109762507079207</v>
      </c>
    </row>
    <row r="493" spans="1:4" x14ac:dyDescent="0.2">
      <c r="A493">
        <v>485</v>
      </c>
      <c r="B493">
        <v>3.8234474173258159</v>
      </c>
      <c r="C493">
        <v>6272.0248762532856</v>
      </c>
      <c r="D493">
        <v>7.2119515064575594</v>
      </c>
    </row>
    <row r="494" spans="1:4" x14ac:dyDescent="0.2">
      <c r="A494">
        <v>486</v>
      </c>
      <c r="B494">
        <v>4.0590582794325609</v>
      </c>
      <c r="C494">
        <v>6196.7717795406197</v>
      </c>
      <c r="D494">
        <v>7.1975345025271924</v>
      </c>
    </row>
    <row r="495" spans="1:4" x14ac:dyDescent="0.2">
      <c r="A495">
        <v>487</v>
      </c>
      <c r="B495">
        <v>4.5417681761823232</v>
      </c>
      <c r="C495">
        <v>6415.9476161137673</v>
      </c>
      <c r="D495">
        <v>8.9988593822045182</v>
      </c>
    </row>
    <row r="496" spans="1:4" x14ac:dyDescent="0.2">
      <c r="A496">
        <v>488</v>
      </c>
      <c r="B496">
        <v>3.8629536571629024</v>
      </c>
      <c r="C496">
        <v>6279.6118153653215</v>
      </c>
      <c r="D496">
        <v>5.9978023930469497</v>
      </c>
    </row>
    <row r="497" spans="1:4" x14ac:dyDescent="0.2">
      <c r="A497">
        <v>489</v>
      </c>
      <c r="B497">
        <v>4.2585752979605536</v>
      </c>
      <c r="C497">
        <v>6326.5116180374407</v>
      </c>
      <c r="D497">
        <v>6.0007252821596611</v>
      </c>
    </row>
    <row r="498" spans="1:4" x14ac:dyDescent="0.2">
      <c r="A498">
        <v>490</v>
      </c>
      <c r="B498">
        <v>4.249085833634636</v>
      </c>
      <c r="C498">
        <v>6395.0812948574676</v>
      </c>
      <c r="D498">
        <v>15.399956887417273</v>
      </c>
    </row>
    <row r="499" spans="1:4" x14ac:dyDescent="0.2">
      <c r="A499">
        <v>491</v>
      </c>
      <c r="B499">
        <v>4.0116001397568608</v>
      </c>
      <c r="C499">
        <v>6494.5854763236539</v>
      </c>
      <c r="D499">
        <v>7.6531216713719097</v>
      </c>
    </row>
    <row r="500" spans="1:4" x14ac:dyDescent="0.2">
      <c r="A500">
        <v>492</v>
      </c>
      <c r="B500">
        <v>4.2379801899797913</v>
      </c>
      <c r="C500">
        <v>6504.3616346773679</v>
      </c>
      <c r="D500">
        <v>3.500006789305834</v>
      </c>
    </row>
    <row r="501" spans="1:4" x14ac:dyDescent="0.2">
      <c r="A501">
        <v>493</v>
      </c>
      <c r="B501">
        <v>3.8234308297857273</v>
      </c>
      <c r="C501">
        <v>6196.7796401546693</v>
      </c>
      <c r="D501">
        <v>5.9946833870488572</v>
      </c>
    </row>
    <row r="502" spans="1:4" x14ac:dyDescent="0.2">
      <c r="A502">
        <v>494</v>
      </c>
      <c r="B502">
        <v>4.5787443118514055</v>
      </c>
      <c r="C502">
        <v>6575.3534478064057</v>
      </c>
      <c r="D502">
        <v>12.121130127299802</v>
      </c>
    </row>
    <row r="503" spans="1:4" x14ac:dyDescent="0.2">
      <c r="A503">
        <v>495</v>
      </c>
      <c r="B503">
        <v>4.4412088671126195</v>
      </c>
      <c r="C503">
        <v>6397.7739705914482</v>
      </c>
      <c r="D503">
        <v>7.2512946449095965</v>
      </c>
    </row>
    <row r="504" spans="1:4" x14ac:dyDescent="0.2">
      <c r="A504">
        <v>496</v>
      </c>
      <c r="B504">
        <v>4.3814237479365126</v>
      </c>
      <c r="C504">
        <v>6770.5526640839053</v>
      </c>
      <c r="D504">
        <v>6.728984757957388</v>
      </c>
    </row>
    <row r="505" spans="1:4" x14ac:dyDescent="0.2">
      <c r="A505">
        <v>497</v>
      </c>
      <c r="B505">
        <v>4.4658960138261374</v>
      </c>
      <c r="C505">
        <v>6491.2289372393425</v>
      </c>
      <c r="D505">
        <v>7.2763699049278907</v>
      </c>
    </row>
    <row r="506" spans="1:4" x14ac:dyDescent="0.2">
      <c r="A506">
        <v>498</v>
      </c>
      <c r="B506">
        <v>4.4920867600501122</v>
      </c>
      <c r="C506">
        <v>6319.9121141356609</v>
      </c>
      <c r="D506">
        <v>7.1886698347540054</v>
      </c>
    </row>
    <row r="507" spans="1:4" x14ac:dyDescent="0.2">
      <c r="A507">
        <v>499</v>
      </c>
      <c r="B507">
        <v>4.2263684565870205</v>
      </c>
      <c r="C507">
        <v>6507.4533228165801</v>
      </c>
      <c r="D507">
        <v>7.2167694135650793</v>
      </c>
    </row>
    <row r="508" spans="1:4" x14ac:dyDescent="0.2">
      <c r="A508">
        <v>500</v>
      </c>
      <c r="B508">
        <v>4.2279761565420779</v>
      </c>
      <c r="C508">
        <v>6790.4397012935124</v>
      </c>
      <c r="D508">
        <v>3.5000059662843928</v>
      </c>
    </row>
    <row r="510" spans="1:4" x14ac:dyDescent="0.2">
      <c r="A510" t="s">
        <v>29</v>
      </c>
    </row>
    <row r="511" spans="1:4" x14ac:dyDescent="0.2">
      <c r="A511" t="s">
        <v>30</v>
      </c>
      <c r="B511" t="str">
        <f>IF(ISBLANK($B510),"",_xll.EDF(B9:B508,$B510))</f>
        <v/>
      </c>
      <c r="C511" t="str">
        <f>IF(ISBLANK($C510),"",_xll.EDF(C9:C508,$C510))</f>
        <v/>
      </c>
      <c r="D511" t="str">
        <f>IF(ISBLANK($D510),"",_xll.EDF(D9:D508,$D510))</f>
        <v/>
      </c>
    </row>
    <row r="512" spans="1:4" x14ac:dyDescent="0.2">
      <c r="A512" t="s">
        <v>31</v>
      </c>
    </row>
    <row r="513" spans="1:4" x14ac:dyDescent="0.2">
      <c r="A513" t="s">
        <v>32</v>
      </c>
      <c r="B513" t="str">
        <f>IF(ISBLANK($B512),"",_xll.EDF(B9:B508,$B512))</f>
        <v/>
      </c>
      <c r="C513" t="str">
        <f>IF(ISBLANK($C512),"",_xll.EDF(C9:C508,$C512))</f>
        <v/>
      </c>
      <c r="D513" t="str">
        <f>IF(ISBLANK($D512),"",_xll.EDF(D9:D508,$D512))</f>
        <v/>
      </c>
    </row>
    <row r="514" spans="1:4" x14ac:dyDescent="0.2">
      <c r="A514" t="s">
        <v>33</v>
      </c>
    </row>
    <row r="515" spans="1:4" x14ac:dyDescent="0.2">
      <c r="A515" t="s">
        <v>34</v>
      </c>
      <c r="B515" t="str">
        <f>IF(ISBLANK($B514),"",_xll.EDF(B9:B508,$B514))</f>
        <v/>
      </c>
      <c r="C515" t="str">
        <f>IF(ISBLANK($C514),"",_xll.EDF(C9:C508,$C514))</f>
        <v/>
      </c>
      <c r="D515" t="str">
        <f>IF(ISBLANK($D514),"",_xll.EDF(D9:D508,$D514))</f>
        <v/>
      </c>
    </row>
    <row r="516" spans="1:4" x14ac:dyDescent="0.2">
      <c r="A516" t="s">
        <v>35</v>
      </c>
    </row>
    <row r="517" spans="1:4" x14ac:dyDescent="0.2">
      <c r="A517" t="s">
        <v>36</v>
      </c>
      <c r="B517" t="str">
        <f>IF(ISBLANK($B516),"",_xll.EDF(B9:B508,$B516))</f>
        <v/>
      </c>
      <c r="C517" t="str">
        <f>IF(ISBLANK($C516),"",_xll.EDF(C9:C508,$C516))</f>
        <v/>
      </c>
      <c r="D517" t="str">
        <f>IF(ISBLANK($D516),"",_xll.EDF(D9:D508,$D516))</f>
        <v/>
      </c>
    </row>
    <row r="518" spans="1:4" x14ac:dyDescent="0.2">
      <c r="A518" t="s">
        <v>37</v>
      </c>
    </row>
    <row r="519" spans="1:4" x14ac:dyDescent="0.2">
      <c r="A519" t="s">
        <v>38</v>
      </c>
      <c r="B519" t="str">
        <f>IF(ISBLANK($B518),"",_xll.EDF(B9:B508,$B518))</f>
        <v/>
      </c>
      <c r="C519" t="str">
        <f>IF(ISBLANK($C518),"",_xll.EDF(C9:C508,$C518))</f>
        <v/>
      </c>
      <c r="D519" t="str">
        <f>IF(ISBLANK($D518),"",_xll.EDF(D9:D508,$D518))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9"/>
  <sheetViews>
    <sheetView workbookViewId="0">
      <selection activeCell="O12" sqref="O12"/>
    </sheetView>
  </sheetViews>
  <sheetFormatPr defaultRowHeight="12.75" x14ac:dyDescent="0.2"/>
  <sheetData>
    <row r="1" spans="1:11" x14ac:dyDescent="0.2">
      <c r="A1" t="s">
        <v>46</v>
      </c>
    </row>
    <row r="2" spans="1:11" x14ac:dyDescent="0.2">
      <c r="A2" t="s">
        <v>23</v>
      </c>
      <c r="B2" t="str">
        <f ca="1">ADDRESS(ROW(Sheet1!$H$61),COLUMN(Sheet1!$H$61),4,,_xll.WSNAME(Sheet1!$H$61))</f>
        <v>Sheet1!H61</v>
      </c>
      <c r="C2" t="str">
        <f ca="1">ADDRESS(ROW(Sheet1!$Q$61),COLUMN(Sheet1!$Q$61),4,,_xll.WSNAME(Sheet1!$Q$61))</f>
        <v>Sheet1!Q61</v>
      </c>
    </row>
    <row r="3" spans="1:11" x14ac:dyDescent="0.2">
      <c r="A3" t="s">
        <v>5</v>
      </c>
      <c r="B3">
        <f>AVERAGE(B9:B508)</f>
        <v>6.9834583488847928</v>
      </c>
      <c r="C3">
        <f>AVERAGE(C9:C508)</f>
        <v>7.5380311309025441</v>
      </c>
    </row>
    <row r="4" spans="1:11" x14ac:dyDescent="0.2">
      <c r="A4" t="s">
        <v>24</v>
      </c>
      <c r="B4">
        <f>STDEV(B9:B508)</f>
        <v>0.97371717662426938</v>
      </c>
      <c r="C4">
        <f>STDEV(C9:C508)</f>
        <v>2.9329096202346552</v>
      </c>
    </row>
    <row r="5" spans="1:11" x14ac:dyDescent="0.2">
      <c r="A5" t="s">
        <v>25</v>
      </c>
      <c r="B5">
        <f>100*B4/B3</f>
        <v>13.943194445768619</v>
      </c>
      <c r="C5">
        <f>100*C4/C3</f>
        <v>38.908165398933448</v>
      </c>
    </row>
    <row r="6" spans="1:11" x14ac:dyDescent="0.2">
      <c r="A6" t="s">
        <v>26</v>
      </c>
      <c r="B6">
        <f>MIN(B9:B508)</f>
        <v>5.182590882426461</v>
      </c>
      <c r="C6">
        <f>MIN(C9:C508)</f>
        <v>3.5000000626489189</v>
      </c>
    </row>
    <row r="7" spans="1:11" x14ac:dyDescent="0.2">
      <c r="A7" t="s">
        <v>27</v>
      </c>
      <c r="B7">
        <f>MAX(B9:B508)</f>
        <v>8.4387754508072845</v>
      </c>
      <c r="C7">
        <f>MAX(C9:C508)</f>
        <v>15.399999269651822</v>
      </c>
    </row>
    <row r="8" spans="1:11" x14ac:dyDescent="0.2">
      <c r="A8" t="s">
        <v>28</v>
      </c>
      <c r="B8" t="str">
        <f>Sheet1!$H$60</f>
        <v>Price 1</v>
      </c>
      <c r="C8" t="str">
        <f>Sheet1!$Q$60</f>
        <v>Price 2</v>
      </c>
    </row>
    <row r="9" spans="1:11" x14ac:dyDescent="0.2">
      <c r="A9">
        <v>1</v>
      </c>
      <c r="B9">
        <v>8.033937672635755</v>
      </c>
      <c r="C9">
        <v>7.215000139836647</v>
      </c>
      <c r="H9" t="str">
        <f>'SimData1 and 2'!$B$8</f>
        <v>Price 1</v>
      </c>
      <c r="I9" t="s">
        <v>47</v>
      </c>
      <c r="J9" t="str">
        <f>'SimData1 and 2'!$C$8</f>
        <v>Price 2</v>
      </c>
      <c r="K9" t="s">
        <v>47</v>
      </c>
    </row>
    <row r="10" spans="1:11" x14ac:dyDescent="0.2">
      <c r="A10">
        <v>2</v>
      </c>
      <c r="B10">
        <v>6.2523858621827308</v>
      </c>
      <c r="C10">
        <v>6.4314155549692984</v>
      </c>
      <c r="H10">
        <f>SMALL('SimData1 and 2'!$B$9:$B$508,1)</f>
        <v>5.182590882426461</v>
      </c>
      <c r="I10">
        <v>0</v>
      </c>
      <c r="J10">
        <f>SMALL('SimData1 and 2'!$C$9:$C$508,1)</f>
        <v>3.5000000626489189</v>
      </c>
      <c r="K10">
        <v>0</v>
      </c>
    </row>
    <row r="11" spans="1:11" x14ac:dyDescent="0.2">
      <c r="A11">
        <v>3</v>
      </c>
      <c r="B11">
        <v>7.2988842766416013</v>
      </c>
      <c r="C11">
        <v>7.228492813543709</v>
      </c>
      <c r="H11">
        <f>SMALL('SimData1 and 2'!$B$9:$B$508,2)</f>
        <v>5.1825937990076918</v>
      </c>
      <c r="I11">
        <f>1/(COUNT('SimData1 and 2'!$B$9:$B$508)-1)+$I$10</f>
        <v>2.004008016032064E-3</v>
      </c>
      <c r="J11">
        <f>SMALL('SimData1 and 2'!$C$9:$C$508,2)</f>
        <v>3.5000001722756826</v>
      </c>
      <c r="K11">
        <f>1/(COUNT('SimData1 and 2'!$C$9:$C$508)-1)+$K$10</f>
        <v>2.004008016032064E-3</v>
      </c>
    </row>
    <row r="12" spans="1:11" x14ac:dyDescent="0.2">
      <c r="A12">
        <v>4</v>
      </c>
      <c r="B12">
        <v>7.2767373370095463</v>
      </c>
      <c r="C12">
        <v>7.9391198608917417</v>
      </c>
      <c r="H12">
        <f>SMALL('SimData1 and 2'!$B$9:$B$508,3)</f>
        <v>5.1825978441246363</v>
      </c>
      <c r="I12">
        <f>1/(COUNT('SimData1 and 2'!$B$9:$B$508)-1)+$I$11</f>
        <v>4.0080160320641279E-3</v>
      </c>
      <c r="J12">
        <f>SMALL('SimData1 and 2'!$C$9:$C$508,3)</f>
        <v>3.5000003068062298</v>
      </c>
      <c r="K12">
        <f>1/(COUNT('SimData1 and 2'!$C$9:$C$508)-1)+$K$11</f>
        <v>4.0080160320641279E-3</v>
      </c>
    </row>
    <row r="13" spans="1:11" x14ac:dyDescent="0.2">
      <c r="A13">
        <v>5</v>
      </c>
      <c r="B13">
        <v>7.2596688278599526</v>
      </c>
      <c r="C13">
        <v>15.399949328526828</v>
      </c>
      <c r="H13">
        <f>SMALL('SimData1 and 2'!$B$9:$B$508,4)</f>
        <v>5.1825989465220017</v>
      </c>
      <c r="I13">
        <f>1/(COUNT('SimData1 and 2'!$B$9:$B$508)-1)+$I$12</f>
        <v>6.0120240480961915E-3</v>
      </c>
      <c r="J13">
        <f>SMALL('SimData1 and 2'!$C$9:$C$508,4)</f>
        <v>3.5000005380555956</v>
      </c>
      <c r="K13">
        <f>1/(COUNT('SimData1 and 2'!$C$9:$C$508)-1)+$K$12</f>
        <v>6.0120240480961915E-3</v>
      </c>
    </row>
    <row r="14" spans="1:11" x14ac:dyDescent="0.2">
      <c r="A14">
        <v>6</v>
      </c>
      <c r="B14">
        <v>6.019656846780034</v>
      </c>
      <c r="C14">
        <v>7.6647179073142766</v>
      </c>
      <c r="H14">
        <f>SMALL('SimData1 and 2'!$B$9:$B$508,5)</f>
        <v>5.1826033420511797</v>
      </c>
      <c r="I14">
        <f>1/(COUNT('SimData1 and 2'!$B$9:$B$508)-1)+$I$13</f>
        <v>8.0160320641282558E-3</v>
      </c>
      <c r="J14">
        <f>SMALL('SimData1 and 2'!$C$9:$C$508,5)</f>
        <v>3.5000006724063155</v>
      </c>
      <c r="K14">
        <f>1/(COUNT('SimData1 and 2'!$C$9:$C$508)-1)+$K$13</f>
        <v>8.0160320641282558E-3</v>
      </c>
    </row>
    <row r="15" spans="1:11" x14ac:dyDescent="0.2">
      <c r="A15">
        <v>7</v>
      </c>
      <c r="B15">
        <v>6.0025913699016309</v>
      </c>
      <c r="C15">
        <v>3.5000034245988019</v>
      </c>
      <c r="H15">
        <f>SMALL('SimData1 and 2'!$B$9:$B$508,6)</f>
        <v>5.1826061362228248</v>
      </c>
      <c r="I15">
        <f>1/(COUNT('SimData1 and 2'!$B$9:$B$508)-1)+$I$14</f>
        <v>1.002004008016032E-2</v>
      </c>
      <c r="J15">
        <f>SMALL('SimData1 and 2'!$C$9:$C$508,6)</f>
        <v>3.5000007324745379</v>
      </c>
      <c r="K15">
        <f>1/(COUNT('SimData1 and 2'!$C$9:$C$508)-1)+$K$14</f>
        <v>1.002004008016032E-2</v>
      </c>
    </row>
    <row r="16" spans="1:11" x14ac:dyDescent="0.2">
      <c r="A16">
        <v>8</v>
      </c>
      <c r="B16">
        <v>8.2779686971776769</v>
      </c>
      <c r="C16">
        <v>6.0616786387058159</v>
      </c>
      <c r="H16">
        <f>SMALL('SimData1 and 2'!$B$9:$B$508,7)</f>
        <v>5.1826118565330548</v>
      </c>
      <c r="I16">
        <f>1/(COUNT('SimData1 and 2'!$B$9:$B$508)-1)+$I$15</f>
        <v>1.2024048096192385E-2</v>
      </c>
      <c r="J16">
        <f>SMALL('SimData1 and 2'!$C$9:$C$508,7)</f>
        <v>3.5000008505125626</v>
      </c>
      <c r="K16">
        <f>1/(COUNT('SimData1 and 2'!$C$9:$C$508)-1)+$K$15</f>
        <v>1.2024048096192385E-2</v>
      </c>
    </row>
    <row r="17" spans="1:11" x14ac:dyDescent="0.2">
      <c r="A17">
        <v>9</v>
      </c>
      <c r="B17">
        <v>5.8374412138968408</v>
      </c>
      <c r="C17">
        <v>15.399961121715343</v>
      </c>
      <c r="H17">
        <f>SMALL('SimData1 and 2'!$B$9:$B$508,8)</f>
        <v>5.1826149255703688</v>
      </c>
      <c r="I17">
        <f>1/(COUNT('SimData1 and 2'!$B$9:$B$508)-1)+$I$16</f>
        <v>1.4028056112224449E-2</v>
      </c>
      <c r="J17">
        <f>SMALL('SimData1 and 2'!$C$9:$C$508,8)</f>
        <v>3.5000010154563337</v>
      </c>
      <c r="K17">
        <f>1/(COUNT('SimData1 and 2'!$C$9:$C$508)-1)+$K$16</f>
        <v>1.4028056112224449E-2</v>
      </c>
    </row>
    <row r="18" spans="1:11" x14ac:dyDescent="0.2">
      <c r="A18">
        <v>10</v>
      </c>
      <c r="B18">
        <v>6.7287256497256358</v>
      </c>
      <c r="C18">
        <v>7.2601529777078291</v>
      </c>
      <c r="H18">
        <f>SMALL('SimData1 and 2'!$B$9:$B$508,9)</f>
        <v>5.1826175257830931</v>
      </c>
      <c r="I18">
        <f>1/(COUNT('SimData1 and 2'!$B$9:$B$508)-1)+$I$17</f>
        <v>1.6032064128256512E-2</v>
      </c>
      <c r="J18">
        <f>SMALL('SimData1 and 2'!$C$9:$C$508,9)</f>
        <v>3.5000011294392723</v>
      </c>
      <c r="K18">
        <f>1/(COUNT('SimData1 and 2'!$C$9:$C$508)-1)+$K$17</f>
        <v>1.6032064128256512E-2</v>
      </c>
    </row>
    <row r="19" spans="1:11" x14ac:dyDescent="0.2">
      <c r="A19">
        <v>11</v>
      </c>
      <c r="B19">
        <v>7.2420599549323397</v>
      </c>
      <c r="C19">
        <v>7.2640736485353319</v>
      </c>
      <c r="H19">
        <f>SMALL('SimData1 and 2'!$B$9:$B$508,10)</f>
        <v>5.1826232629325419</v>
      </c>
      <c r="I19">
        <f>1/(COUNT('SimData1 and 2'!$B$9:$B$508)-1)+$I$18</f>
        <v>1.8036072144288574E-2</v>
      </c>
      <c r="J19">
        <f>SMALL('SimData1 and 2'!$C$9:$C$508,10)</f>
        <v>3.500001271218983</v>
      </c>
      <c r="K19">
        <f>1/(COUNT('SimData1 and 2'!$C$9:$C$508)-1)+$K$18</f>
        <v>1.8036072144288574E-2</v>
      </c>
    </row>
    <row r="20" spans="1:11" x14ac:dyDescent="0.2">
      <c r="A20">
        <v>12</v>
      </c>
      <c r="B20">
        <v>8.2182732824646259</v>
      </c>
      <c r="C20">
        <v>5.9994387986452322</v>
      </c>
      <c r="H20">
        <f>SMALL('SimData1 and 2'!$B$9:$B$508,11)</f>
        <v>5.1826241356062726</v>
      </c>
      <c r="I20">
        <f>1/(COUNT('SimData1 and 2'!$B$9:$B$508)-1)+$I$19</f>
        <v>2.0040080160320637E-2</v>
      </c>
      <c r="J20">
        <f>SMALL('SimData1 and 2'!$C$9:$C$508,11)</f>
        <v>3.500001451614501</v>
      </c>
      <c r="K20">
        <f>1/(COUNT('SimData1 and 2'!$C$9:$C$508)-1)+$K$19</f>
        <v>2.0040080160320637E-2</v>
      </c>
    </row>
    <row r="21" spans="1:11" x14ac:dyDescent="0.2">
      <c r="A21">
        <v>13</v>
      </c>
      <c r="B21">
        <v>7.2138117882801733</v>
      </c>
      <c r="C21">
        <v>14.784959221523954</v>
      </c>
      <c r="H21">
        <f>SMALL('SimData1 and 2'!$B$9:$B$508,12)</f>
        <v>5.1826283780231801</v>
      </c>
      <c r="I21">
        <f>1/(COUNT('SimData1 and 2'!$B$9:$B$508)-1)+$I$20</f>
        <v>2.20440881763527E-2</v>
      </c>
      <c r="J21">
        <f>SMALL('SimData1 and 2'!$C$9:$C$508,12)</f>
        <v>3.5000015762658347</v>
      </c>
      <c r="K21">
        <f>1/(COUNT('SimData1 and 2'!$C$9:$C$508)-1)+$K$20</f>
        <v>2.20440881763527E-2</v>
      </c>
    </row>
    <row r="22" spans="1:11" x14ac:dyDescent="0.2">
      <c r="A22">
        <v>14</v>
      </c>
      <c r="B22">
        <v>7.2516527597814697</v>
      </c>
      <c r="C22">
        <v>3.500002959906853</v>
      </c>
      <c r="H22">
        <f>SMALL('SimData1 and 2'!$B$9:$B$508,13)</f>
        <v>5.1826310858825746</v>
      </c>
      <c r="I22">
        <f>1/(COUNT('SimData1 and 2'!$B$9:$B$508)-1)+$I$21</f>
        <v>2.4048096192384762E-2</v>
      </c>
      <c r="J22">
        <f>SMALL('SimData1 and 2'!$C$9:$C$508,13)</f>
        <v>3.5000016996179708</v>
      </c>
      <c r="K22">
        <f>1/(COUNT('SimData1 and 2'!$C$9:$C$508)-1)+$K$21</f>
        <v>2.4048096192384762E-2</v>
      </c>
    </row>
    <row r="23" spans="1:11" x14ac:dyDescent="0.2">
      <c r="A23">
        <v>15</v>
      </c>
      <c r="B23">
        <v>6.0443092739714315</v>
      </c>
      <c r="C23">
        <v>6.0050889570667785</v>
      </c>
      <c r="H23">
        <f>SMALL('SimData1 and 2'!$B$9:$B$508,14)</f>
        <v>5.182637502542363</v>
      </c>
      <c r="I23">
        <f>1/(COUNT('SimData1 and 2'!$B$9:$B$508)-1)+$I$22</f>
        <v>2.6052104208416825E-2</v>
      </c>
      <c r="J23">
        <f>SMALL('SimData1 and 2'!$C$9:$C$508,14)</f>
        <v>3.5000018514421898</v>
      </c>
      <c r="K23">
        <f>1/(COUNT('SimData1 and 2'!$C$9:$C$508)-1)+$K$22</f>
        <v>2.6052104208416825E-2</v>
      </c>
    </row>
    <row r="24" spans="1:11" x14ac:dyDescent="0.2">
      <c r="A24">
        <v>16</v>
      </c>
      <c r="B24">
        <v>7.2677283905844785</v>
      </c>
      <c r="C24">
        <v>7.0984562974743053</v>
      </c>
      <c r="H24">
        <f>SMALL('SimData1 and 2'!$B$9:$B$508,15)</f>
        <v>5.182640223183947</v>
      </c>
      <c r="I24">
        <f>1/(COUNT('SimData1 and 2'!$B$9:$B$508)-1)+$I$23</f>
        <v>2.8056112224448888E-2</v>
      </c>
      <c r="J24">
        <f>SMALL('SimData1 and 2'!$C$9:$C$508,15)</f>
        <v>3.5000020556258944</v>
      </c>
      <c r="K24">
        <f>1/(COUNT('SimData1 and 2'!$C$9:$C$508)-1)+$K$23</f>
        <v>2.8056112224448888E-2</v>
      </c>
    </row>
    <row r="25" spans="1:11" x14ac:dyDescent="0.2">
      <c r="A25">
        <v>17</v>
      </c>
      <c r="B25">
        <v>7.984572793696481</v>
      </c>
      <c r="C25">
        <v>3.5000005380555956</v>
      </c>
      <c r="H25">
        <f>SMALL('SimData1 and 2'!$B$9:$B$508,16)</f>
        <v>5.1826453559352919</v>
      </c>
      <c r="I25">
        <f>1/(COUNT('SimData1 and 2'!$B$9:$B$508)-1)+$I$24</f>
        <v>3.006012024048095E-2</v>
      </c>
      <c r="J25">
        <f>SMALL('SimData1 and 2'!$C$9:$C$508,16)</f>
        <v>3.500002180282872</v>
      </c>
      <c r="K25">
        <f>1/(COUNT('SimData1 and 2'!$C$9:$C$508)-1)+$K$24</f>
        <v>3.006012024048095E-2</v>
      </c>
    </row>
    <row r="26" spans="1:11" x14ac:dyDescent="0.2">
      <c r="A26">
        <v>18</v>
      </c>
      <c r="B26">
        <v>7.2223101268829257</v>
      </c>
      <c r="C26">
        <v>7.2025062392140544</v>
      </c>
      <c r="H26">
        <f>SMALL('SimData1 and 2'!$B$9:$B$508,17)</f>
        <v>5.1826475109590637</v>
      </c>
      <c r="I26">
        <f>1/(COUNT('SimData1 and 2'!$B$9:$B$508)-1)+$I$25</f>
        <v>3.2064128256513016E-2</v>
      </c>
      <c r="J26">
        <f>SMALL('SimData1 and 2'!$C$9:$C$508,17)</f>
        <v>3.5000022882227242</v>
      </c>
      <c r="K26">
        <f>1/(COUNT('SimData1 and 2'!$C$9:$C$508)-1)+$K$25</f>
        <v>3.2064128256513016E-2</v>
      </c>
    </row>
    <row r="27" spans="1:11" x14ac:dyDescent="0.2">
      <c r="A27">
        <v>19</v>
      </c>
      <c r="B27">
        <v>7.7435760534148663</v>
      </c>
      <c r="C27">
        <v>7.6265352193393792</v>
      </c>
      <c r="H27">
        <f>SMALL('SimData1 and 2'!$B$9:$B$508,18)</f>
        <v>5.1826499234281966</v>
      </c>
      <c r="I27">
        <f>1/(COUNT('SimData1 and 2'!$B$9:$B$508)-1)+$I$26</f>
        <v>3.4068136272545083E-2</v>
      </c>
      <c r="J27">
        <f>SMALL('SimData1 and 2'!$C$9:$C$508,18)</f>
        <v>3.5000024866096897</v>
      </c>
      <c r="K27">
        <f>1/(COUNT('SimData1 and 2'!$C$9:$C$508)-1)+$K$26</f>
        <v>3.4068136272545083E-2</v>
      </c>
    </row>
    <row r="28" spans="1:11" x14ac:dyDescent="0.2">
      <c r="A28">
        <v>20</v>
      </c>
      <c r="B28">
        <v>7.289818566101002</v>
      </c>
      <c r="C28">
        <v>7.2228419422323764</v>
      </c>
      <c r="H28">
        <f>SMALL('SimData1 and 2'!$B$9:$B$508,19)</f>
        <v>5.1826530899492269</v>
      </c>
      <c r="I28">
        <f>1/(COUNT('SimData1 and 2'!$B$9:$B$508)-1)+$I$27</f>
        <v>3.6072144288577149E-2</v>
      </c>
      <c r="J28">
        <f>SMALL('SimData1 and 2'!$C$9:$C$508,19)</f>
        <v>3.5000025775990515</v>
      </c>
      <c r="K28">
        <f>1/(COUNT('SimData1 and 2'!$C$9:$C$508)-1)+$K$27</f>
        <v>3.6072144288577149E-2</v>
      </c>
    </row>
    <row r="29" spans="1:11" x14ac:dyDescent="0.2">
      <c r="A29">
        <v>21</v>
      </c>
      <c r="B29">
        <v>7.2234198978800288</v>
      </c>
      <c r="C29">
        <v>6.0012919999890677</v>
      </c>
      <c r="H29">
        <f>SMALL('SimData1 and 2'!$B$9:$B$508,20)</f>
        <v>5.1826581224043338</v>
      </c>
      <c r="I29">
        <f>1/(COUNT('SimData1 and 2'!$B$9:$B$508)-1)+$I$28</f>
        <v>3.8076152304609215E-2</v>
      </c>
      <c r="J29">
        <f>SMALL('SimData1 and 2'!$C$9:$C$508,20)</f>
        <v>3.500002722977865</v>
      </c>
      <c r="K29">
        <f>1/(COUNT('SimData1 and 2'!$C$9:$C$508)-1)+$K$28</f>
        <v>3.8076152304609215E-2</v>
      </c>
    </row>
    <row r="30" spans="1:11" x14ac:dyDescent="0.2">
      <c r="A30">
        <v>22</v>
      </c>
      <c r="B30">
        <v>7.2182330316346546</v>
      </c>
      <c r="C30">
        <v>7.606188596464948</v>
      </c>
      <c r="H30">
        <f>SMALL('SimData1 and 2'!$B$9:$B$508,21)</f>
        <v>5.1826617182242893</v>
      </c>
      <c r="I30">
        <f>1/(COUNT('SimData1 and 2'!$B$9:$B$508)-1)+$I$29</f>
        <v>4.0080160320641281E-2</v>
      </c>
      <c r="J30">
        <f>SMALL('SimData1 and 2'!$C$9:$C$508,21)</f>
        <v>3.5000028242532677</v>
      </c>
      <c r="K30">
        <f>1/(COUNT('SimData1 and 2'!$C$9:$C$508)-1)+$K$29</f>
        <v>4.0080160320641281E-2</v>
      </c>
    </row>
    <row r="31" spans="1:11" x14ac:dyDescent="0.2">
      <c r="A31">
        <v>23</v>
      </c>
      <c r="B31">
        <v>7.1998725291388164</v>
      </c>
      <c r="C31">
        <v>3.500002722977865</v>
      </c>
      <c r="H31">
        <f>SMALL('SimData1 and 2'!$B$9:$B$508,22)</f>
        <v>5.1826642108413372</v>
      </c>
      <c r="I31">
        <f>1/(COUNT('SimData1 and 2'!$B$9:$B$508)-1)+$I$30</f>
        <v>4.2084168336673347E-2</v>
      </c>
      <c r="J31">
        <f>SMALL('SimData1 and 2'!$C$9:$C$508,22)</f>
        <v>3.500002959906853</v>
      </c>
      <c r="K31">
        <f>1/(COUNT('SimData1 and 2'!$C$9:$C$508)-1)+$K$30</f>
        <v>4.2084168336673347E-2</v>
      </c>
    </row>
    <row r="32" spans="1:11" x14ac:dyDescent="0.2">
      <c r="A32">
        <v>24</v>
      </c>
      <c r="B32">
        <v>7.1781215076426772</v>
      </c>
      <c r="C32">
        <v>5.3738192615293023</v>
      </c>
      <c r="H32">
        <f>SMALL('SimData1 and 2'!$B$9:$B$508,23)</f>
        <v>5.1826707717855056</v>
      </c>
      <c r="I32">
        <f>1/(COUNT('SimData1 and 2'!$B$9:$B$508)-1)+$I$31</f>
        <v>4.4088176352705413E-2</v>
      </c>
      <c r="J32">
        <f>SMALL('SimData1 and 2'!$C$9:$C$508,23)</f>
        <v>3.5000032102581464</v>
      </c>
      <c r="K32">
        <f>1/(COUNT('SimData1 and 2'!$C$9:$C$508)-1)+$K$31</f>
        <v>4.4088176352705413E-2</v>
      </c>
    </row>
    <row r="33" spans="1:11" x14ac:dyDescent="0.2">
      <c r="A33">
        <v>25</v>
      </c>
      <c r="B33">
        <v>8.4387089589487516</v>
      </c>
      <c r="C33">
        <v>8.0187792181293513</v>
      </c>
      <c r="H33">
        <f>SMALL('SimData1 and 2'!$B$9:$B$508,24)</f>
        <v>5.1826715897626006</v>
      </c>
      <c r="I33">
        <f>1/(COUNT('SimData1 and 2'!$B$9:$B$508)-1)+$I$32</f>
        <v>4.6092184368737479E-2</v>
      </c>
      <c r="J33">
        <f>SMALL('SimData1 and 2'!$C$9:$C$508,24)</f>
        <v>3.5000033206835086</v>
      </c>
      <c r="K33">
        <f>1/(COUNT('SimData1 and 2'!$C$9:$C$508)-1)+$K$32</f>
        <v>4.6092184368737479E-2</v>
      </c>
    </row>
    <row r="34" spans="1:11" x14ac:dyDescent="0.2">
      <c r="A34">
        <v>26</v>
      </c>
      <c r="B34">
        <v>7.9725820952683986</v>
      </c>
      <c r="C34">
        <v>6.0891412097649988</v>
      </c>
      <c r="H34">
        <f>SMALL('SimData1 and 2'!$B$9:$B$508,25)</f>
        <v>5.1826745819395565</v>
      </c>
      <c r="I34">
        <f>1/(COUNT('SimData1 and 2'!$B$9:$B$508)-1)+$I$33</f>
        <v>4.8096192384769546E-2</v>
      </c>
      <c r="J34">
        <f>SMALL('SimData1 and 2'!$C$9:$C$508,25)</f>
        <v>3.5000034245988019</v>
      </c>
      <c r="K34">
        <f>1/(COUNT('SimData1 and 2'!$C$9:$C$508)-1)+$K$33</f>
        <v>4.8096192384769546E-2</v>
      </c>
    </row>
    <row r="35" spans="1:11" x14ac:dyDescent="0.2">
      <c r="A35">
        <v>27</v>
      </c>
      <c r="B35">
        <v>7.2344430089636109</v>
      </c>
      <c r="C35">
        <v>6.825885956715239</v>
      </c>
      <c r="H35">
        <f>SMALL('SimData1 and 2'!$B$9:$B$508,26)</f>
        <v>5.1826791080036685</v>
      </c>
      <c r="I35">
        <f>1/(COUNT('SimData1 and 2'!$B$9:$B$508)-1)+$I$34</f>
        <v>5.0100200400801612E-2</v>
      </c>
      <c r="J35">
        <f>SMALL('SimData1 and 2'!$C$9:$C$508,26)</f>
        <v>3.5000035761464914</v>
      </c>
      <c r="K35">
        <f>1/(COUNT('SimData1 and 2'!$C$9:$C$508)-1)+$K$34</f>
        <v>5.0100200400801612E-2</v>
      </c>
    </row>
    <row r="36" spans="1:11" x14ac:dyDescent="0.2">
      <c r="A36">
        <v>28</v>
      </c>
      <c r="B36">
        <v>6.1983075427454732</v>
      </c>
      <c r="C36">
        <v>6.7720835073924892</v>
      </c>
      <c r="H36">
        <f>SMALL('SimData1 and 2'!$B$9:$B$508,27)</f>
        <v>5.1826848136675583</v>
      </c>
      <c r="I36">
        <f>1/(COUNT('SimData1 and 2'!$B$9:$B$508)-1)+$I$35</f>
        <v>5.2104208416833678E-2</v>
      </c>
      <c r="J36">
        <f>SMALL('SimData1 and 2'!$C$9:$C$508,27)</f>
        <v>3.5000037099012942</v>
      </c>
      <c r="K36">
        <f>1/(COUNT('SimData1 and 2'!$C$9:$C$508)-1)+$K$35</f>
        <v>5.2104208416833678E-2</v>
      </c>
    </row>
    <row r="37" spans="1:11" x14ac:dyDescent="0.2">
      <c r="A37">
        <v>29</v>
      </c>
      <c r="B37">
        <v>6.1172439701843491</v>
      </c>
      <c r="C37">
        <v>7.9315714268713329</v>
      </c>
      <c r="H37">
        <f>SMALL('SimData1 and 2'!$B$9:$B$508,28)</f>
        <v>5.1826875099170717</v>
      </c>
      <c r="I37">
        <f>1/(COUNT('SimData1 and 2'!$B$9:$B$508)-1)+$I$36</f>
        <v>5.4108216432865744E-2</v>
      </c>
      <c r="J37">
        <f>SMALL('SimData1 and 2'!$C$9:$C$508,28)</f>
        <v>3.5000038055578822</v>
      </c>
      <c r="K37">
        <f>1/(COUNT('SimData1 and 2'!$C$9:$C$508)-1)+$K$36</f>
        <v>5.4108216432865744E-2</v>
      </c>
    </row>
    <row r="38" spans="1:11" x14ac:dyDescent="0.2">
      <c r="A38">
        <v>30</v>
      </c>
      <c r="B38">
        <v>7.2174631698409906</v>
      </c>
      <c r="C38">
        <v>7.181697434749573</v>
      </c>
      <c r="H38">
        <f>SMALL('SimData1 and 2'!$B$9:$B$508,29)</f>
        <v>5.1826910035877756</v>
      </c>
      <c r="I38">
        <f>1/(COUNT('SimData1 and 2'!$B$9:$B$508)-1)+$I$37</f>
        <v>5.611222444889781E-2</v>
      </c>
      <c r="J38">
        <f>SMALL('SimData1 and 2'!$C$9:$C$508,29)</f>
        <v>3.500004050373235</v>
      </c>
      <c r="K38">
        <f>1/(COUNT('SimData1 and 2'!$C$9:$C$508)-1)+$K$37</f>
        <v>5.611222444889781E-2</v>
      </c>
    </row>
    <row r="39" spans="1:11" x14ac:dyDescent="0.2">
      <c r="A39">
        <v>31</v>
      </c>
      <c r="B39">
        <v>7.1769850839075726</v>
      </c>
      <c r="C39">
        <v>6.4633064968591647</v>
      </c>
      <c r="H39">
        <f>SMALL('SimData1 and 2'!$B$9:$B$508,30)</f>
        <v>5.1826949366281649</v>
      </c>
      <c r="I39">
        <f>1/(COUNT('SimData1 and 2'!$B$9:$B$508)-1)+$I$38</f>
        <v>5.8116232464929876E-2</v>
      </c>
      <c r="J39">
        <f>SMALL('SimData1 and 2'!$C$9:$C$508,30)</f>
        <v>3.5000041177551684</v>
      </c>
      <c r="K39">
        <f>1/(COUNT('SimData1 and 2'!$C$9:$C$508)-1)+$K$38</f>
        <v>5.8116232464929876E-2</v>
      </c>
    </row>
    <row r="40" spans="1:11" x14ac:dyDescent="0.2">
      <c r="A40">
        <v>32</v>
      </c>
      <c r="B40">
        <v>8.4386701835810989</v>
      </c>
      <c r="C40">
        <v>6.2425592177707374</v>
      </c>
      <c r="H40">
        <f>SMALL('SimData1 and 2'!$B$9:$B$508,31)</f>
        <v>5.1826964097527881</v>
      </c>
      <c r="I40">
        <f>1/(COUNT('SimData1 and 2'!$B$9:$B$508)-1)+$I$39</f>
        <v>6.0120240480961942E-2</v>
      </c>
      <c r="J40">
        <f>SMALL('SimData1 and 2'!$C$9:$C$508,31)</f>
        <v>3.5000042268800855</v>
      </c>
      <c r="K40">
        <f>1/(COUNT('SimData1 and 2'!$C$9:$C$508)-1)+$K$39</f>
        <v>6.0120240480961942E-2</v>
      </c>
    </row>
    <row r="41" spans="1:11" x14ac:dyDescent="0.2">
      <c r="A41">
        <v>33</v>
      </c>
      <c r="B41">
        <v>5.9724491712815651</v>
      </c>
      <c r="C41">
        <v>6.1072862549867706</v>
      </c>
      <c r="H41">
        <f>SMALL('SimData1 and 2'!$B$9:$B$508,32)</f>
        <v>5.1827020130783579</v>
      </c>
      <c r="I41">
        <f>1/(COUNT('SimData1 and 2'!$B$9:$B$508)-1)+$I$40</f>
        <v>6.2124248496994008E-2</v>
      </c>
      <c r="J41">
        <f>SMALL('SimData1 and 2'!$C$9:$C$508,32)</f>
        <v>3.5000043953069708</v>
      </c>
      <c r="K41">
        <f>1/(COUNT('SimData1 and 2'!$C$9:$C$508)-1)+$K$40</f>
        <v>6.2124248496994008E-2</v>
      </c>
    </row>
    <row r="42" spans="1:11" x14ac:dyDescent="0.2">
      <c r="A42">
        <v>34</v>
      </c>
      <c r="B42">
        <v>8.0393719072861209</v>
      </c>
      <c r="C42">
        <v>15.399961941438992</v>
      </c>
      <c r="H42">
        <f>SMALL('SimData1 and 2'!$B$9:$B$508,33)</f>
        <v>5.1827068706529964</v>
      </c>
      <c r="I42">
        <f>1/(COUNT('SimData1 and 2'!$B$9:$B$508)-1)+$I$41</f>
        <v>6.4128256513026075E-2</v>
      </c>
      <c r="J42">
        <f>SMALL('SimData1 and 2'!$C$9:$C$508,33)</f>
        <v>3.5000046165137406</v>
      </c>
      <c r="K42">
        <f>1/(COUNT('SimData1 and 2'!$C$9:$C$508)-1)+$K$41</f>
        <v>6.4128256513026075E-2</v>
      </c>
    </row>
    <row r="43" spans="1:11" x14ac:dyDescent="0.2">
      <c r="A43">
        <v>35</v>
      </c>
      <c r="B43">
        <v>6.9123781537530045</v>
      </c>
      <c r="C43">
        <v>3.5000025775990515</v>
      </c>
      <c r="H43">
        <f>SMALL('SimData1 and 2'!$B$9:$B$508,34)</f>
        <v>5.1827071944192138</v>
      </c>
      <c r="I43">
        <f>1/(COUNT('SimData1 and 2'!$B$9:$B$508)-1)+$I$42</f>
        <v>6.6132264529058141E-2</v>
      </c>
      <c r="J43">
        <f>SMALL('SimData1 and 2'!$C$9:$C$508,34)</f>
        <v>3.500004754925873</v>
      </c>
      <c r="K43">
        <f>1/(COUNT('SimData1 and 2'!$C$9:$C$508)-1)+$K$42</f>
        <v>6.6132264529058141E-2</v>
      </c>
    </row>
    <row r="44" spans="1:11" x14ac:dyDescent="0.2">
      <c r="A44">
        <v>36</v>
      </c>
      <c r="B44">
        <v>5.1827522067455973</v>
      </c>
      <c r="C44">
        <v>3.5000037099012942</v>
      </c>
      <c r="H44">
        <f>SMALL('SimData1 and 2'!$B$9:$B$508,35)</f>
        <v>5.1827144284514919</v>
      </c>
      <c r="I44">
        <f>1/(COUNT('SimData1 and 2'!$B$9:$B$508)-1)+$I$43</f>
        <v>6.8136272545090207E-2</v>
      </c>
      <c r="J44">
        <f>SMALL('SimData1 and 2'!$C$9:$C$508,35)</f>
        <v>3.5000048803640671</v>
      </c>
      <c r="K44">
        <f>1/(COUNT('SimData1 and 2'!$C$9:$C$508)-1)+$K$43</f>
        <v>6.8136272545090207E-2</v>
      </c>
    </row>
    <row r="45" spans="1:11" x14ac:dyDescent="0.2">
      <c r="A45">
        <v>37</v>
      </c>
      <c r="B45">
        <v>8.1884534216804319</v>
      </c>
      <c r="C45">
        <v>10.366492163278952</v>
      </c>
      <c r="H45">
        <f>SMALL('SimData1 and 2'!$B$9:$B$508,36)</f>
        <v>5.1827170691520141</v>
      </c>
      <c r="I45">
        <f>1/(COUNT('SimData1 and 2'!$B$9:$B$508)-1)+$I$44</f>
        <v>7.0140280561122273E-2</v>
      </c>
      <c r="J45">
        <f>SMALL('SimData1 and 2'!$C$9:$C$508,36)</f>
        <v>3.5000050275180419</v>
      </c>
      <c r="K45">
        <f>1/(COUNT('SimData1 and 2'!$C$9:$C$508)-1)+$K$44</f>
        <v>7.0140280561122273E-2</v>
      </c>
    </row>
    <row r="46" spans="1:11" x14ac:dyDescent="0.2">
      <c r="A46">
        <v>38</v>
      </c>
      <c r="B46">
        <v>5.1826715897626006</v>
      </c>
      <c r="C46">
        <v>7.9200191071235082</v>
      </c>
      <c r="H46">
        <f>SMALL('SimData1 and 2'!$B$9:$B$508,37)</f>
        <v>5.182721367496633</v>
      </c>
      <c r="I46">
        <f>1/(COUNT('SimData1 and 2'!$B$9:$B$508)-1)+$I$45</f>
        <v>7.2144288577154339E-2</v>
      </c>
      <c r="J46">
        <f>SMALL('SimData1 and 2'!$C$9:$C$508,37)</f>
        <v>3.5000051072700207</v>
      </c>
      <c r="K46">
        <f>1/(COUNT('SimData1 and 2'!$C$9:$C$508)-1)+$K$45</f>
        <v>7.2144288577154339E-2</v>
      </c>
    </row>
    <row r="47" spans="1:11" x14ac:dyDescent="0.2">
      <c r="A47">
        <v>39</v>
      </c>
      <c r="B47">
        <v>6.8381200535470077</v>
      </c>
      <c r="C47">
        <v>6.7868001257074884</v>
      </c>
      <c r="H47">
        <f>SMALL('SimData1 and 2'!$B$9:$B$508,38)</f>
        <v>5.1827222312384791</v>
      </c>
      <c r="I47">
        <f>1/(COUNT('SimData1 and 2'!$B$9:$B$508)-1)+$I$46</f>
        <v>7.4148296593186405E-2</v>
      </c>
      <c r="J47">
        <f>SMALL('SimData1 and 2'!$C$9:$C$508,38)</f>
        <v>3.5000052248799465</v>
      </c>
      <c r="K47">
        <f>1/(COUNT('SimData1 and 2'!$C$9:$C$508)-1)+$K$46</f>
        <v>7.4148296593186405E-2</v>
      </c>
    </row>
    <row r="48" spans="1:11" x14ac:dyDescent="0.2">
      <c r="A48">
        <v>40</v>
      </c>
      <c r="B48">
        <v>7.2831605069307672</v>
      </c>
      <c r="C48">
        <v>5.9951940669114503</v>
      </c>
      <c r="H48">
        <f>SMALL('SimData1 and 2'!$B$9:$B$508,39)</f>
        <v>5.1827257228466914</v>
      </c>
      <c r="I48">
        <f>1/(COUNT('SimData1 and 2'!$B$9:$B$508)-1)+$I$47</f>
        <v>7.6152304609218471E-2</v>
      </c>
      <c r="J48">
        <f>SMALL('SimData1 and 2'!$C$9:$C$508,39)</f>
        <v>3.500005347803937</v>
      </c>
      <c r="K48">
        <f>1/(COUNT('SimData1 and 2'!$C$9:$C$508)-1)+$K$47</f>
        <v>7.6152304609218471E-2</v>
      </c>
    </row>
    <row r="49" spans="1:11" x14ac:dyDescent="0.2">
      <c r="A49">
        <v>41</v>
      </c>
      <c r="B49">
        <v>7.9026292573859465</v>
      </c>
      <c r="C49">
        <v>15.399999269651822</v>
      </c>
      <c r="H49">
        <f>SMALL('SimData1 and 2'!$B$9:$B$508,40)</f>
        <v>5.1827309684318905</v>
      </c>
      <c r="I49">
        <f>1/(COUNT('SimData1 and 2'!$B$9:$B$508)-1)+$I$48</f>
        <v>7.8156312625250537E-2</v>
      </c>
      <c r="J49">
        <f>SMALL('SimData1 and 2'!$C$9:$C$508,40)</f>
        <v>3.5000055447336091</v>
      </c>
      <c r="K49">
        <f>1/(COUNT('SimData1 and 2'!$C$9:$C$508)-1)+$K$48</f>
        <v>7.8156312625250537E-2</v>
      </c>
    </row>
    <row r="50" spans="1:11" x14ac:dyDescent="0.2">
      <c r="A50">
        <v>42</v>
      </c>
      <c r="B50">
        <v>7.0195203133364572</v>
      </c>
      <c r="C50">
        <v>3.5000000626489189</v>
      </c>
      <c r="H50">
        <f>SMALL('SimData1 and 2'!$B$9:$B$508,41)</f>
        <v>5.1827339829873162</v>
      </c>
      <c r="I50">
        <f>1/(COUNT('SimData1 and 2'!$B$9:$B$508)-1)+$I$49</f>
        <v>8.0160320641282604E-2</v>
      </c>
      <c r="J50">
        <f>SMALL('SimData1 and 2'!$C$9:$C$508,41)</f>
        <v>3.5000057188119458</v>
      </c>
      <c r="K50">
        <f>1/(COUNT('SimData1 and 2'!$C$9:$C$508)-1)+$K$49</f>
        <v>8.0160320641282604E-2</v>
      </c>
    </row>
    <row r="51" spans="1:11" x14ac:dyDescent="0.2">
      <c r="A51">
        <v>43</v>
      </c>
      <c r="B51">
        <v>7.2240836645947182</v>
      </c>
      <c r="C51">
        <v>7.223463906689533</v>
      </c>
      <c r="H51">
        <f>SMALL('SimData1 and 2'!$B$9:$B$508,42)</f>
        <v>5.1827386380898712</v>
      </c>
      <c r="I51">
        <f>1/(COUNT('SimData1 and 2'!$B$9:$B$508)-1)+$I$50</f>
        <v>8.216432865731467E-2</v>
      </c>
      <c r="J51">
        <f>SMALL('SimData1 and 2'!$C$9:$C$508,42)</f>
        <v>3.5000057837911829</v>
      </c>
      <c r="K51">
        <f>1/(COUNT('SimData1 and 2'!$C$9:$C$508)-1)+$K$50</f>
        <v>8.216432865731467E-2</v>
      </c>
    </row>
    <row r="52" spans="1:11" x14ac:dyDescent="0.2">
      <c r="A52">
        <v>44</v>
      </c>
      <c r="B52">
        <v>7.9608308491495272</v>
      </c>
      <c r="C52">
        <v>3.5000055447336091</v>
      </c>
      <c r="H52">
        <f>SMALL('SimData1 and 2'!$B$9:$B$508,43)</f>
        <v>5.182742057656581</v>
      </c>
      <c r="I52">
        <f>1/(COUNT('SimData1 and 2'!$B$9:$B$508)-1)+$I$51</f>
        <v>8.4168336673346736E-2</v>
      </c>
      <c r="J52">
        <f>SMALL('SimData1 and 2'!$C$9:$C$508,43)</f>
        <v>3.5000060157246318</v>
      </c>
      <c r="K52">
        <f>1/(COUNT('SimData1 and 2'!$C$9:$C$508)-1)+$K$51</f>
        <v>8.4168336673346736E-2</v>
      </c>
    </row>
    <row r="53" spans="1:11" x14ac:dyDescent="0.2">
      <c r="A53">
        <v>45</v>
      </c>
      <c r="B53">
        <v>7.1406198987196161</v>
      </c>
      <c r="C53">
        <v>6.9720676569104505</v>
      </c>
      <c r="H53">
        <f>SMALL('SimData1 and 2'!$B$9:$B$508,44)</f>
        <v>5.1827459112287153</v>
      </c>
      <c r="I53">
        <f>1/(COUNT('SimData1 and 2'!$B$9:$B$508)-1)+$I$52</f>
        <v>8.6172344689378802E-2</v>
      </c>
      <c r="J53">
        <f>SMALL('SimData1 and 2'!$C$9:$C$508,44)</f>
        <v>3.5000061559327471</v>
      </c>
      <c r="K53">
        <f>1/(COUNT('SimData1 and 2'!$C$9:$C$508)-1)+$K$52</f>
        <v>8.6172344689378802E-2</v>
      </c>
    </row>
    <row r="54" spans="1:11" x14ac:dyDescent="0.2">
      <c r="A54">
        <v>46</v>
      </c>
      <c r="B54">
        <v>6.2371280495898471</v>
      </c>
      <c r="C54">
        <v>5.9967721761502464</v>
      </c>
      <c r="H54">
        <f>SMALL('SimData1 and 2'!$B$9:$B$508,45)</f>
        <v>5.1827491933231657</v>
      </c>
      <c r="I54">
        <f>1/(COUNT('SimData1 and 2'!$B$9:$B$508)-1)+$I$53</f>
        <v>8.8176352705410868E-2</v>
      </c>
      <c r="J54">
        <f>SMALL('SimData1 and 2'!$C$9:$C$508,45)</f>
        <v>3.5000061801482829</v>
      </c>
      <c r="K54">
        <f>1/(COUNT('SimData1 and 2'!$C$9:$C$508)-1)+$K$53</f>
        <v>8.8176352705410868E-2</v>
      </c>
    </row>
    <row r="55" spans="1:11" x14ac:dyDescent="0.2">
      <c r="A55">
        <v>47</v>
      </c>
      <c r="B55">
        <v>8.4387546088994352</v>
      </c>
      <c r="C55">
        <v>8.0248818724665139</v>
      </c>
      <c r="H55">
        <f>SMALL('SimData1 and 2'!$B$9:$B$508,46)</f>
        <v>5.1827522067455973</v>
      </c>
      <c r="I55">
        <f>1/(COUNT('SimData1 and 2'!$B$9:$B$508)-1)+$I$54</f>
        <v>9.0180360721442934E-2</v>
      </c>
      <c r="J55">
        <f>SMALL('SimData1 and 2'!$C$9:$C$508,46)</f>
        <v>3.5000063507287633</v>
      </c>
      <c r="K55">
        <f>1/(COUNT('SimData1 and 2'!$C$9:$C$508)-1)+$K$54</f>
        <v>9.0180360721442934E-2</v>
      </c>
    </row>
    <row r="56" spans="1:11" x14ac:dyDescent="0.2">
      <c r="A56">
        <v>48</v>
      </c>
      <c r="B56">
        <v>7.2188483628435147</v>
      </c>
      <c r="C56">
        <v>7.7356943952867923</v>
      </c>
      <c r="H56">
        <f>SMALL('SimData1 and 2'!$B$9:$B$508,47)</f>
        <v>5.1827546286366024</v>
      </c>
      <c r="I56">
        <f>1/(COUNT('SimData1 and 2'!$B$9:$B$508)-1)+$I$55</f>
        <v>9.2184368737475E-2</v>
      </c>
      <c r="J56">
        <f>SMALL('SimData1 and 2'!$C$9:$C$508,47)</f>
        <v>3.5000064958472294</v>
      </c>
      <c r="K56">
        <f>1/(COUNT('SimData1 and 2'!$C$9:$C$508)-1)+$K$55</f>
        <v>9.2184368737475E-2</v>
      </c>
    </row>
    <row r="57" spans="1:11" x14ac:dyDescent="0.2">
      <c r="A57">
        <v>49</v>
      </c>
      <c r="B57">
        <v>7.9442671665734244</v>
      </c>
      <c r="C57">
        <v>7.1789564872576044</v>
      </c>
      <c r="H57">
        <f>SMALL('SimData1 and 2'!$B$9:$B$508,48)</f>
        <v>5.1827613708389126</v>
      </c>
      <c r="I57">
        <f>1/(COUNT('SimData1 and 2'!$B$9:$B$508)-1)+$I$56</f>
        <v>9.4188376753507067E-2</v>
      </c>
      <c r="J57">
        <f>SMALL('SimData1 and 2'!$C$9:$C$508,48)</f>
        <v>3.5000066967541992</v>
      </c>
      <c r="K57">
        <f>1/(COUNT('SimData1 and 2'!$C$9:$C$508)-1)+$K$56</f>
        <v>9.4188376753507067E-2</v>
      </c>
    </row>
    <row r="58" spans="1:11" x14ac:dyDescent="0.2">
      <c r="A58">
        <v>50</v>
      </c>
      <c r="B58">
        <v>5.4378573180826066</v>
      </c>
      <c r="C58">
        <v>3.5000038055578822</v>
      </c>
      <c r="H58">
        <f>SMALL('SimData1 and 2'!$B$9:$B$508,49)</f>
        <v>5.1827633787482057</v>
      </c>
      <c r="I58">
        <f>1/(COUNT('SimData1 and 2'!$B$9:$B$508)-1)+$I$57</f>
        <v>9.6192384769539133E-2</v>
      </c>
      <c r="J58">
        <f>SMALL('SimData1 and 2'!$C$9:$C$508,49)</f>
        <v>3.5000068385213279</v>
      </c>
      <c r="K58">
        <f>1/(COUNT('SimData1 and 2'!$C$9:$C$508)-1)+$K$57</f>
        <v>9.6192384769539133E-2</v>
      </c>
    </row>
    <row r="59" spans="1:11" x14ac:dyDescent="0.2">
      <c r="A59">
        <v>51</v>
      </c>
      <c r="B59">
        <v>8.4069915487397449</v>
      </c>
      <c r="C59">
        <v>7.9340635032323537</v>
      </c>
      <c r="H59">
        <f>SMALL('SimData1 and 2'!$B$9:$B$508,50)</f>
        <v>5.1827683192680283</v>
      </c>
      <c r="I59">
        <f>1/(COUNT('SimData1 and 2'!$B$9:$B$508)-1)+$I$58</f>
        <v>9.8196392785571199E-2</v>
      </c>
      <c r="J59">
        <f>SMALL('SimData1 and 2'!$C$9:$C$508,50)</f>
        <v>3.500006942382158</v>
      </c>
      <c r="K59">
        <f>1/(COUNT('SimData1 and 2'!$C$9:$C$508)-1)+$K$58</f>
        <v>9.8196392785571199E-2</v>
      </c>
    </row>
    <row r="60" spans="1:11" x14ac:dyDescent="0.2">
      <c r="A60">
        <v>52</v>
      </c>
      <c r="B60">
        <v>6.8995271014605937</v>
      </c>
      <c r="C60">
        <v>7.1868386063981733</v>
      </c>
      <c r="H60">
        <f>SMALL('SimData1 and 2'!$B$9:$B$508,51)</f>
        <v>5.2207322313721622</v>
      </c>
      <c r="I60">
        <f>1/(COUNT('SimData1 and 2'!$B$9:$B$508)-1)+$I$59</f>
        <v>0.10020040080160326</v>
      </c>
      <c r="J60">
        <f>SMALL('SimData1 and 2'!$C$9:$C$508,51)</f>
        <v>3.5616631895120805</v>
      </c>
      <c r="K60">
        <f>1/(COUNT('SimData1 and 2'!$C$9:$C$508)-1)+$K$59</f>
        <v>0.10020040080160326</v>
      </c>
    </row>
    <row r="61" spans="1:11" x14ac:dyDescent="0.2">
      <c r="A61">
        <v>53</v>
      </c>
      <c r="B61">
        <v>7.9186586314785874</v>
      </c>
      <c r="C61">
        <v>7.1847514601139988</v>
      </c>
      <c r="H61">
        <f>SMALL('SimData1 and 2'!$B$9:$B$508,52)</f>
        <v>5.2343178722245476</v>
      </c>
      <c r="I61">
        <f>1/(COUNT('SimData1 and 2'!$B$9:$B$508)-1)+$I$60</f>
        <v>0.10220440881763533</v>
      </c>
      <c r="J61">
        <f>SMALL('SimData1 and 2'!$C$9:$C$508,52)</f>
        <v>3.7591641980951751</v>
      </c>
      <c r="K61">
        <f>1/(COUNT('SimData1 and 2'!$C$9:$C$508)-1)+$K$60</f>
        <v>0.10220440881763533</v>
      </c>
    </row>
    <row r="62" spans="1:11" x14ac:dyDescent="0.2">
      <c r="A62">
        <v>54</v>
      </c>
      <c r="B62">
        <v>8.0304992135958706</v>
      </c>
      <c r="C62">
        <v>6.0853644419967186</v>
      </c>
      <c r="H62">
        <f>SMALL('SimData1 and 2'!$B$9:$B$508,53)</f>
        <v>5.3154972634148692</v>
      </c>
      <c r="I62">
        <f>1/(COUNT('SimData1 and 2'!$B$9:$B$508)-1)+$I$61</f>
        <v>0.1042084168336674</v>
      </c>
      <c r="J62">
        <f>SMALL('SimData1 and 2'!$C$9:$C$508,53)</f>
        <v>3.8428505202459378</v>
      </c>
      <c r="K62">
        <f>1/(COUNT('SimData1 and 2'!$C$9:$C$508)-1)+$K$61</f>
        <v>0.1042084168336674</v>
      </c>
    </row>
    <row r="63" spans="1:11" x14ac:dyDescent="0.2">
      <c r="A63">
        <v>55</v>
      </c>
      <c r="B63">
        <v>7.545871533524025</v>
      </c>
      <c r="C63">
        <v>3.5000046165137406</v>
      </c>
      <c r="H63">
        <f>SMALL('SimData1 and 2'!$B$9:$B$508,54)</f>
        <v>5.3581327628133959</v>
      </c>
      <c r="I63">
        <f>1/(COUNT('SimData1 and 2'!$B$9:$B$508)-1)+$I$62</f>
        <v>0.10621242484969946</v>
      </c>
      <c r="J63">
        <f>SMALL('SimData1 and 2'!$C$9:$C$508,54)</f>
        <v>4.0468966283137959</v>
      </c>
      <c r="K63">
        <f>1/(COUNT('SimData1 and 2'!$C$9:$C$508)-1)+$K$62</f>
        <v>0.10621242484969946</v>
      </c>
    </row>
    <row r="64" spans="1:11" x14ac:dyDescent="0.2">
      <c r="A64">
        <v>56</v>
      </c>
      <c r="B64">
        <v>7.187606956279593</v>
      </c>
      <c r="C64">
        <v>8.0242373294776357</v>
      </c>
      <c r="H64">
        <f>SMALL('SimData1 and 2'!$B$9:$B$508,55)</f>
        <v>5.377685149271084</v>
      </c>
      <c r="I64">
        <f>1/(COUNT('SimData1 and 2'!$B$9:$B$508)-1)+$I$63</f>
        <v>0.10821643286573153</v>
      </c>
      <c r="J64">
        <f>SMALL('SimData1 and 2'!$C$9:$C$508,55)</f>
        <v>4.1111350034032679</v>
      </c>
      <c r="K64">
        <f>1/(COUNT('SimData1 and 2'!$C$9:$C$508)-1)+$K$63</f>
        <v>0.10821643286573153</v>
      </c>
    </row>
    <row r="65" spans="1:11" x14ac:dyDescent="0.2">
      <c r="A65">
        <v>57</v>
      </c>
      <c r="B65">
        <v>7.8378187693241621</v>
      </c>
      <c r="C65">
        <v>8.0971350653980796</v>
      </c>
      <c r="H65">
        <f>SMALL('SimData1 and 2'!$B$9:$B$508,56)</f>
        <v>5.4378573180826066</v>
      </c>
      <c r="I65">
        <f>1/(COUNT('SimData1 and 2'!$B$9:$B$508)-1)+$I$64</f>
        <v>0.1102204408817636</v>
      </c>
      <c r="J65">
        <f>SMALL('SimData1 and 2'!$C$9:$C$508,56)</f>
        <v>4.2880551596352232</v>
      </c>
      <c r="K65">
        <f>1/(COUNT('SimData1 and 2'!$C$9:$C$508)-1)+$K$64</f>
        <v>0.1102204408817636</v>
      </c>
    </row>
    <row r="66" spans="1:11" x14ac:dyDescent="0.2">
      <c r="A66">
        <v>58</v>
      </c>
      <c r="B66">
        <v>6.7948603906014826</v>
      </c>
      <c r="C66">
        <v>7.3953486556190073</v>
      </c>
      <c r="H66">
        <f>SMALL('SimData1 and 2'!$B$9:$B$508,57)</f>
        <v>5.4796909186931479</v>
      </c>
      <c r="I66">
        <f>1/(COUNT('SimData1 and 2'!$B$9:$B$508)-1)+$I$65</f>
        <v>0.11222444889779566</v>
      </c>
      <c r="J66">
        <f>SMALL('SimData1 and 2'!$C$9:$C$508,57)</f>
        <v>4.323231132611868</v>
      </c>
      <c r="K66">
        <f>1/(COUNT('SimData1 and 2'!$C$9:$C$508)-1)+$K$65</f>
        <v>0.11222444889779566</v>
      </c>
    </row>
    <row r="67" spans="1:11" x14ac:dyDescent="0.2">
      <c r="A67">
        <v>59</v>
      </c>
      <c r="B67">
        <v>7.8652978535723381</v>
      </c>
      <c r="C67">
        <v>7.9939275892087807</v>
      </c>
      <c r="H67">
        <f>SMALL('SimData1 and 2'!$B$9:$B$508,58)</f>
        <v>5.5139861016201142</v>
      </c>
      <c r="I67">
        <f>1/(COUNT('SimData1 and 2'!$B$9:$B$508)-1)+$I$66</f>
        <v>0.11422845691382773</v>
      </c>
      <c r="J67">
        <f>SMALL('SimData1 and 2'!$C$9:$C$508,58)</f>
        <v>4.4990758601107999</v>
      </c>
      <c r="K67">
        <f>1/(COUNT('SimData1 and 2'!$C$9:$C$508)-1)+$K$66</f>
        <v>0.11422845691382773</v>
      </c>
    </row>
    <row r="68" spans="1:11" x14ac:dyDescent="0.2">
      <c r="A68">
        <v>60</v>
      </c>
      <c r="B68">
        <v>7.3467392392850153</v>
      </c>
      <c r="C68">
        <v>7.1735391129361208</v>
      </c>
      <c r="H68">
        <f>SMALL('SimData1 and 2'!$B$9:$B$508,59)</f>
        <v>5.5635875226474694</v>
      </c>
      <c r="I68">
        <f>1/(COUNT('SimData1 and 2'!$B$9:$B$508)-1)+$I$67</f>
        <v>0.11623246492985979</v>
      </c>
      <c r="J68">
        <f>SMALL('SimData1 and 2'!$C$9:$C$508,59)</f>
        <v>4.616054207046254</v>
      </c>
      <c r="K68">
        <f>1/(COUNT('SimData1 and 2'!$C$9:$C$508)-1)+$K$67</f>
        <v>0.11623246492985979</v>
      </c>
    </row>
    <row r="69" spans="1:11" x14ac:dyDescent="0.2">
      <c r="A69">
        <v>61</v>
      </c>
      <c r="B69">
        <v>6.6574592953211766</v>
      </c>
      <c r="C69">
        <v>7.2471494799447269</v>
      </c>
      <c r="H69">
        <f>SMALL('SimData1 and 2'!$B$9:$B$508,60)</f>
        <v>5.5956371480997111</v>
      </c>
      <c r="I69">
        <f>1/(COUNT('SimData1 and 2'!$B$9:$B$508)-1)+$I$68</f>
        <v>0.11823647294589186</v>
      </c>
      <c r="J69">
        <f>SMALL('SimData1 and 2'!$C$9:$C$508,60)</f>
        <v>4.8335567881510224</v>
      </c>
      <c r="K69">
        <f>1/(COUNT('SimData1 and 2'!$C$9:$C$508)-1)+$K$68</f>
        <v>0.11823647294589186</v>
      </c>
    </row>
    <row r="70" spans="1:11" x14ac:dyDescent="0.2">
      <c r="A70">
        <v>62</v>
      </c>
      <c r="B70">
        <v>7.2870868904819872</v>
      </c>
      <c r="C70">
        <v>7.208952788269742</v>
      </c>
      <c r="H70">
        <f>SMALL('SimData1 and 2'!$B$9:$B$508,61)</f>
        <v>5.6700461095890278</v>
      </c>
      <c r="I70">
        <f>1/(COUNT('SimData1 and 2'!$B$9:$B$508)-1)+$I$69</f>
        <v>0.12024048096192393</v>
      </c>
      <c r="J70">
        <f>SMALL('SimData1 and 2'!$C$9:$C$508,61)</f>
        <v>4.9101866701402201</v>
      </c>
      <c r="K70">
        <f>1/(COUNT('SimData1 and 2'!$C$9:$C$508)-1)+$K$69</f>
        <v>0.12024048096192393</v>
      </c>
    </row>
    <row r="71" spans="1:11" x14ac:dyDescent="0.2">
      <c r="A71">
        <v>63</v>
      </c>
      <c r="B71">
        <v>7.1732200399906976</v>
      </c>
      <c r="C71">
        <v>6.9407671316433746</v>
      </c>
      <c r="H71">
        <f>SMALL('SimData1 and 2'!$B$9:$B$508,62)</f>
        <v>5.675241104254221</v>
      </c>
      <c r="I71">
        <f>1/(COUNT('SimData1 and 2'!$B$9:$B$508)-1)+$I$70</f>
        <v>0.12224448897795599</v>
      </c>
      <c r="J71">
        <f>SMALL('SimData1 and 2'!$C$9:$C$508,62)</f>
        <v>5.015107384228866</v>
      </c>
      <c r="K71">
        <f>1/(COUNT('SimData1 and 2'!$C$9:$C$508)-1)+$K$70</f>
        <v>0.12224448897795599</v>
      </c>
    </row>
    <row r="72" spans="1:11" x14ac:dyDescent="0.2">
      <c r="A72">
        <v>64</v>
      </c>
      <c r="B72">
        <v>5.1826061362228248</v>
      </c>
      <c r="C72">
        <v>13.931492173308321</v>
      </c>
      <c r="H72">
        <f>SMALL('SimData1 and 2'!$B$9:$B$508,63)</f>
        <v>5.7200699879981762</v>
      </c>
      <c r="I72">
        <f>1/(COUNT('SimData1 and 2'!$B$9:$B$508)-1)+$I$71</f>
        <v>0.12424849699398806</v>
      </c>
      <c r="J72">
        <f>SMALL('SimData1 and 2'!$C$9:$C$508,63)</f>
        <v>5.1955791043544854</v>
      </c>
      <c r="K72">
        <f>1/(COUNT('SimData1 and 2'!$C$9:$C$508)-1)+$K$71</f>
        <v>0.12424849699398806</v>
      </c>
    </row>
    <row r="73" spans="1:11" x14ac:dyDescent="0.2">
      <c r="A73">
        <v>65</v>
      </c>
      <c r="B73">
        <v>5.9961027071967772</v>
      </c>
      <c r="C73">
        <v>15.399981778517017</v>
      </c>
      <c r="H73">
        <f>SMALL('SimData1 and 2'!$B$9:$B$508,64)</f>
        <v>5.7864857778185357</v>
      </c>
      <c r="I73">
        <f>1/(COUNT('SimData1 and 2'!$B$9:$B$508)-1)+$I$72</f>
        <v>0.12625250501002011</v>
      </c>
      <c r="J73">
        <f>SMALL('SimData1 and 2'!$C$9:$C$508,64)</f>
        <v>5.3738192615293023</v>
      </c>
      <c r="K73">
        <f>1/(COUNT('SimData1 and 2'!$C$9:$C$508)-1)+$K$72</f>
        <v>0.12625250501002011</v>
      </c>
    </row>
    <row r="74" spans="1:11" x14ac:dyDescent="0.2">
      <c r="A74">
        <v>66</v>
      </c>
      <c r="B74">
        <v>8.0151280383628514</v>
      </c>
      <c r="C74">
        <v>7.9958627896699488</v>
      </c>
      <c r="H74">
        <f>SMALL('SimData1 and 2'!$B$9:$B$508,65)</f>
        <v>5.8374412138968408</v>
      </c>
      <c r="I74">
        <f>1/(COUNT('SimData1 and 2'!$B$9:$B$508)-1)+$I$73</f>
        <v>0.12825651302605218</v>
      </c>
      <c r="J74">
        <f>SMALL('SimData1 and 2'!$C$9:$C$508,65)</f>
        <v>5.5501264198629361</v>
      </c>
      <c r="K74">
        <f>1/(COUNT('SimData1 and 2'!$C$9:$C$508)-1)+$K$73</f>
        <v>0.12825651302605218</v>
      </c>
    </row>
    <row r="75" spans="1:11" x14ac:dyDescent="0.2">
      <c r="A75">
        <v>67</v>
      </c>
      <c r="B75">
        <v>7.9522938930884184</v>
      </c>
      <c r="C75">
        <v>7.9415630749249182</v>
      </c>
      <c r="H75">
        <f>SMALL('SimData1 and 2'!$B$9:$B$508,66)</f>
        <v>5.8965976576131469</v>
      </c>
      <c r="I75">
        <f>1/(COUNT('SimData1 and 2'!$B$9:$B$508)-1)+$I$74</f>
        <v>0.13026052104208424</v>
      </c>
      <c r="J75">
        <f>SMALL('SimData1 and 2'!$C$9:$C$508,66)</f>
        <v>5.5748664503374474</v>
      </c>
      <c r="K75">
        <f>1/(COUNT('SimData1 and 2'!$C$9:$C$508)-1)+$K$74</f>
        <v>0.13026052104208424</v>
      </c>
    </row>
    <row r="76" spans="1:11" x14ac:dyDescent="0.2">
      <c r="A76">
        <v>68</v>
      </c>
      <c r="B76">
        <v>7.0659366653203959</v>
      </c>
      <c r="C76">
        <v>7.2891732973944769</v>
      </c>
      <c r="H76">
        <f>SMALL('SimData1 and 2'!$B$9:$B$508,67)</f>
        <v>5.9153219888767294</v>
      </c>
      <c r="I76">
        <f>1/(COUNT('SimData1 and 2'!$B$9:$B$508)-1)+$I$75</f>
        <v>0.13226452905811631</v>
      </c>
      <c r="J76">
        <f>SMALL('SimData1 and 2'!$C$9:$C$508,67)</f>
        <v>5.7672321671213327</v>
      </c>
      <c r="K76">
        <f>1/(COUNT('SimData1 and 2'!$C$9:$C$508)-1)+$K$75</f>
        <v>0.13226452905811631</v>
      </c>
    </row>
    <row r="77" spans="1:11" x14ac:dyDescent="0.2">
      <c r="A77">
        <v>69</v>
      </c>
      <c r="B77">
        <v>6.7126439479309798</v>
      </c>
      <c r="C77">
        <v>9.8442132005973662</v>
      </c>
      <c r="H77">
        <f>SMALL('SimData1 and 2'!$B$9:$B$508,68)</f>
        <v>5.9724491712815651</v>
      </c>
      <c r="I77">
        <f>1/(COUNT('SimData1 and 2'!$B$9:$B$508)-1)+$I$76</f>
        <v>0.13426853707414838</v>
      </c>
      <c r="J77">
        <f>SMALL('SimData1 and 2'!$C$9:$C$508,68)</f>
        <v>5.9197700881720055</v>
      </c>
      <c r="K77">
        <f>1/(COUNT('SimData1 and 2'!$C$9:$C$508)-1)+$K$76</f>
        <v>0.13426853707414838</v>
      </c>
    </row>
    <row r="78" spans="1:11" x14ac:dyDescent="0.2">
      <c r="A78">
        <v>70</v>
      </c>
      <c r="B78">
        <v>5.9974476216911121</v>
      </c>
      <c r="C78">
        <v>7.2791238731187065</v>
      </c>
      <c r="H78">
        <f>SMALL('SimData1 and 2'!$B$9:$B$508,69)</f>
        <v>5.9945976817078384</v>
      </c>
      <c r="I78">
        <f>1/(COUNT('SimData1 and 2'!$B$9:$B$508)-1)+$I$77</f>
        <v>0.13627254509018044</v>
      </c>
      <c r="J78">
        <f>SMALL('SimData1 and 2'!$C$9:$C$508,69)</f>
        <v>5.9945763550642042</v>
      </c>
      <c r="K78">
        <f>1/(COUNT('SimData1 and 2'!$C$9:$C$508)-1)+$K$77</f>
        <v>0.13627254509018044</v>
      </c>
    </row>
    <row r="79" spans="1:11" x14ac:dyDescent="0.2">
      <c r="A79">
        <v>71</v>
      </c>
      <c r="B79">
        <v>7.9878253103146477</v>
      </c>
      <c r="C79">
        <v>6.5074450292449635</v>
      </c>
      <c r="H79">
        <f>SMALL('SimData1 and 2'!$B$9:$B$508,70)</f>
        <v>5.995030063101904</v>
      </c>
      <c r="I79">
        <f>1/(COUNT('SimData1 and 2'!$B$9:$B$508)-1)+$I$78</f>
        <v>0.13827655310621251</v>
      </c>
      <c r="J79">
        <f>SMALL('SimData1 and 2'!$C$9:$C$508,70)</f>
        <v>5.9949226735462657</v>
      </c>
      <c r="K79">
        <f>1/(COUNT('SimData1 and 2'!$C$9:$C$508)-1)+$K$78</f>
        <v>0.13827655310621251</v>
      </c>
    </row>
    <row r="80" spans="1:11" x14ac:dyDescent="0.2">
      <c r="A80">
        <v>72</v>
      </c>
      <c r="B80">
        <v>5.1827309684318905</v>
      </c>
      <c r="C80">
        <v>7.1945177180565842</v>
      </c>
      <c r="H80">
        <f>SMALL('SimData1 and 2'!$B$9:$B$508,71)</f>
        <v>5.9953469179800445</v>
      </c>
      <c r="I80">
        <f>1/(COUNT('SimData1 and 2'!$B$9:$B$508)-1)+$I$79</f>
        <v>0.14028056112224457</v>
      </c>
      <c r="J80">
        <f>SMALL('SimData1 and 2'!$C$9:$C$508,71)</f>
        <v>5.9951940669114503</v>
      </c>
      <c r="K80">
        <f>1/(COUNT('SimData1 and 2'!$C$9:$C$508)-1)+$K$79</f>
        <v>0.14028056112224457</v>
      </c>
    </row>
    <row r="81" spans="1:11" x14ac:dyDescent="0.2">
      <c r="A81">
        <v>73</v>
      </c>
      <c r="B81">
        <v>7.2561699074333825</v>
      </c>
      <c r="C81">
        <v>7.0519509907346984</v>
      </c>
      <c r="H81">
        <f>SMALL('SimData1 and 2'!$B$9:$B$508,72)</f>
        <v>5.9955371600312972</v>
      </c>
      <c r="I81">
        <f>1/(COUNT('SimData1 and 2'!$B$9:$B$508)-1)+$I$80</f>
        <v>0.14228456913827664</v>
      </c>
      <c r="J81">
        <f>SMALL('SimData1 and 2'!$C$9:$C$508,72)</f>
        <v>5.995566885958171</v>
      </c>
      <c r="K81">
        <f>1/(COUNT('SimData1 and 2'!$C$9:$C$508)-1)+$K$80</f>
        <v>0.14228456913827664</v>
      </c>
    </row>
    <row r="82" spans="1:11" x14ac:dyDescent="0.2">
      <c r="A82">
        <v>74</v>
      </c>
      <c r="B82">
        <v>5.1825989465220017</v>
      </c>
      <c r="C82">
        <v>7.2459850744603784</v>
      </c>
      <c r="H82">
        <f>SMALL('SimData1 and 2'!$B$9:$B$508,73)</f>
        <v>5.9959262207440602</v>
      </c>
      <c r="I82">
        <f>1/(COUNT('SimData1 and 2'!$B$9:$B$508)-1)+$I$81</f>
        <v>0.14428857715430871</v>
      </c>
      <c r="J82">
        <f>SMALL('SimData1 and 2'!$C$9:$C$508,73)</f>
        <v>5.9958031915292693</v>
      </c>
      <c r="K82">
        <f>1/(COUNT('SimData1 and 2'!$C$9:$C$508)-1)+$K$81</f>
        <v>0.14428857715430871</v>
      </c>
    </row>
    <row r="83" spans="1:11" x14ac:dyDescent="0.2">
      <c r="A83">
        <v>75</v>
      </c>
      <c r="B83">
        <v>7.1757070654963613</v>
      </c>
      <c r="C83">
        <v>7.3615623938551176</v>
      </c>
      <c r="H83">
        <f>SMALL('SimData1 and 2'!$B$9:$B$508,74)</f>
        <v>5.9961027071967772</v>
      </c>
      <c r="I83">
        <f>1/(COUNT('SimData1 and 2'!$B$9:$B$508)-1)+$I$82</f>
        <v>0.14629258517034077</v>
      </c>
      <c r="J83">
        <f>SMALL('SimData1 and 2'!$C$9:$C$508,74)</f>
        <v>5.9960072571317324</v>
      </c>
      <c r="K83">
        <f>1/(COUNT('SimData1 and 2'!$C$9:$C$508)-1)+$K$82</f>
        <v>0.14629258517034077</v>
      </c>
    </row>
    <row r="84" spans="1:11" x14ac:dyDescent="0.2">
      <c r="A84">
        <v>76</v>
      </c>
      <c r="B84">
        <v>7.2301579102125499</v>
      </c>
      <c r="C84">
        <v>4.616054207046254</v>
      </c>
      <c r="H84">
        <f>SMALL('SimData1 and 2'!$B$9:$B$508,75)</f>
        <v>5.9964906540326197</v>
      </c>
      <c r="I84">
        <f>1/(COUNT('SimData1 and 2'!$B$9:$B$508)-1)+$I$83</f>
        <v>0.14829659318637284</v>
      </c>
      <c r="J84">
        <f>SMALL('SimData1 and 2'!$C$9:$C$508,75)</f>
        <v>5.9964352111481425</v>
      </c>
      <c r="K84">
        <f>1/(COUNT('SimData1 and 2'!$C$9:$C$508)-1)+$K$83</f>
        <v>0.14829659318637284</v>
      </c>
    </row>
    <row r="85" spans="1:11" x14ac:dyDescent="0.2">
      <c r="A85">
        <v>77</v>
      </c>
      <c r="B85">
        <v>6.4583966714995231</v>
      </c>
      <c r="C85">
        <v>6.0541808972560878</v>
      </c>
      <c r="H85">
        <f>SMALL('SimData1 and 2'!$B$9:$B$508,76)</f>
        <v>5.9967049550986848</v>
      </c>
      <c r="I85">
        <f>1/(COUNT('SimData1 and 2'!$B$9:$B$508)-1)+$I$84</f>
        <v>0.1503006012024049</v>
      </c>
      <c r="J85">
        <f>SMALL('SimData1 and 2'!$C$9:$C$508,76)</f>
        <v>5.9967721761502464</v>
      </c>
      <c r="K85">
        <f>1/(COUNT('SimData1 and 2'!$C$9:$C$508)-1)+$K$84</f>
        <v>0.1503006012024049</v>
      </c>
    </row>
    <row r="86" spans="1:11" x14ac:dyDescent="0.2">
      <c r="A86">
        <v>78</v>
      </c>
      <c r="B86">
        <v>7.2283760614809793</v>
      </c>
      <c r="C86">
        <v>3.500002180282872</v>
      </c>
      <c r="H86">
        <f>SMALL('SimData1 and 2'!$B$9:$B$508,77)</f>
        <v>5.997010828683738</v>
      </c>
      <c r="I86">
        <f>1/(COUNT('SimData1 and 2'!$B$9:$B$508)-1)+$I$85</f>
        <v>0.15230460921843697</v>
      </c>
      <c r="J86">
        <f>SMALL('SimData1 and 2'!$C$9:$C$508,77)</f>
        <v>5.9971460401289196</v>
      </c>
      <c r="K86">
        <f>1/(COUNT('SimData1 and 2'!$C$9:$C$508)-1)+$K$85</f>
        <v>0.15230460921843697</v>
      </c>
    </row>
    <row r="87" spans="1:11" x14ac:dyDescent="0.2">
      <c r="A87">
        <v>79</v>
      </c>
      <c r="B87">
        <v>6.7699726491040542</v>
      </c>
      <c r="C87">
        <v>5.9977556142690123</v>
      </c>
      <c r="H87">
        <f>SMALL('SimData1 and 2'!$B$9:$B$508,78)</f>
        <v>5.9974476216911121</v>
      </c>
      <c r="I87">
        <f>1/(COUNT('SimData1 and 2'!$B$9:$B$508)-1)+$I$86</f>
        <v>0.15430861723446904</v>
      </c>
      <c r="J87">
        <f>SMALL('SimData1 and 2'!$C$9:$C$508,78)</f>
        <v>5.9972538450667336</v>
      </c>
      <c r="K87">
        <f>1/(COUNT('SimData1 and 2'!$C$9:$C$508)-1)+$K$86</f>
        <v>0.15430861723446904</v>
      </c>
    </row>
    <row r="88" spans="1:11" x14ac:dyDescent="0.2">
      <c r="A88">
        <v>80</v>
      </c>
      <c r="B88">
        <v>7.1938380591458291</v>
      </c>
      <c r="C88">
        <v>3.5000068385213279</v>
      </c>
      <c r="H88">
        <f>SMALL('SimData1 and 2'!$B$9:$B$508,79)</f>
        <v>5.9976225674323507</v>
      </c>
      <c r="I88">
        <f>1/(COUNT('SimData1 and 2'!$B$9:$B$508)-1)+$I$87</f>
        <v>0.1563126252505011</v>
      </c>
      <c r="J88">
        <f>SMALL('SimData1 and 2'!$C$9:$C$508,79)</f>
        <v>5.9977556142690123</v>
      </c>
      <c r="K88">
        <f>1/(COUNT('SimData1 and 2'!$C$9:$C$508)-1)+$K$87</f>
        <v>0.1563126252505011</v>
      </c>
    </row>
    <row r="89" spans="1:11" x14ac:dyDescent="0.2">
      <c r="A89">
        <v>81</v>
      </c>
      <c r="B89">
        <v>6.5653066598849925</v>
      </c>
      <c r="C89">
        <v>7.2014179351682914</v>
      </c>
      <c r="H89">
        <f>SMALL('SimData1 and 2'!$B$9:$B$508,80)</f>
        <v>5.9978900000250945</v>
      </c>
      <c r="I89">
        <f>1/(COUNT('SimData1 and 2'!$B$9:$B$508)-1)+$I$88</f>
        <v>0.15831663326653317</v>
      </c>
      <c r="J89">
        <f>SMALL('SimData1 and 2'!$C$9:$C$508,80)</f>
        <v>5.9978671071304044</v>
      </c>
      <c r="K89">
        <f>1/(COUNT('SimData1 and 2'!$C$9:$C$508)-1)+$K$88</f>
        <v>0.15831663326653317</v>
      </c>
    </row>
    <row r="90" spans="1:11" x14ac:dyDescent="0.2">
      <c r="A90">
        <v>82</v>
      </c>
      <c r="B90">
        <v>7.9598057693837498</v>
      </c>
      <c r="C90">
        <v>8.0433511707882648</v>
      </c>
      <c r="H90">
        <f>SMALL('SimData1 and 2'!$B$9:$B$508,81)</f>
        <v>5.9982735711667114</v>
      </c>
      <c r="I90">
        <f>1/(COUNT('SimData1 and 2'!$B$9:$B$508)-1)+$I$89</f>
        <v>0.16032064128256523</v>
      </c>
      <c r="J90">
        <f>SMALL('SimData1 and 2'!$C$9:$C$508,81)</f>
        <v>5.9981881991808317</v>
      </c>
      <c r="K90">
        <f>1/(COUNT('SimData1 and 2'!$C$9:$C$508)-1)+$K$89</f>
        <v>0.16032064128256523</v>
      </c>
    </row>
    <row r="91" spans="1:11" x14ac:dyDescent="0.2">
      <c r="A91">
        <v>83</v>
      </c>
      <c r="B91">
        <v>7.2699628181465759</v>
      </c>
      <c r="C91">
        <v>6.1186080974371917</v>
      </c>
      <c r="H91">
        <f>SMALL('SimData1 and 2'!$B$9:$B$508,82)</f>
        <v>5.9986819713173647</v>
      </c>
      <c r="I91">
        <f>1/(COUNT('SimData1 and 2'!$B$9:$B$508)-1)+$I$90</f>
        <v>0.1623246492985973</v>
      </c>
      <c r="J91">
        <f>SMALL('SimData1 and 2'!$C$9:$C$508,82)</f>
        <v>5.9986911118249528</v>
      </c>
      <c r="K91">
        <f>1/(COUNT('SimData1 and 2'!$C$9:$C$508)-1)+$K$90</f>
        <v>0.1623246492985973</v>
      </c>
    </row>
    <row r="92" spans="1:11" x14ac:dyDescent="0.2">
      <c r="A92">
        <v>84</v>
      </c>
      <c r="B92">
        <v>7.100981873079629</v>
      </c>
      <c r="C92">
        <v>7.1717097118327988</v>
      </c>
      <c r="H92">
        <f>SMALL('SimData1 and 2'!$B$9:$B$508,83)</f>
        <v>5.9988716181754169</v>
      </c>
      <c r="I92">
        <f>1/(COUNT('SimData1 and 2'!$B$9:$B$508)-1)+$I$91</f>
        <v>0.16432865731462937</v>
      </c>
      <c r="J92">
        <f>SMALL('SimData1 and 2'!$C$9:$C$508,83)</f>
        <v>5.9987668040498416</v>
      </c>
      <c r="K92">
        <f>1/(COUNT('SimData1 and 2'!$C$9:$C$508)-1)+$K$91</f>
        <v>0.16432865731462937</v>
      </c>
    </row>
    <row r="93" spans="1:11" x14ac:dyDescent="0.2">
      <c r="A93">
        <v>85</v>
      </c>
      <c r="B93">
        <v>8.4386354385588831</v>
      </c>
      <c r="C93">
        <v>8.0145227702532296</v>
      </c>
      <c r="H93">
        <f>SMALL('SimData1 and 2'!$B$9:$B$508,84)</f>
        <v>5.999266204244603</v>
      </c>
      <c r="I93">
        <f>1/(COUNT('SimData1 and 2'!$B$9:$B$508)-1)+$I$92</f>
        <v>0.16633266533066143</v>
      </c>
      <c r="J93">
        <f>SMALL('SimData1 and 2'!$C$9:$C$508,84)</f>
        <v>5.9990977849080274</v>
      </c>
      <c r="K93">
        <f>1/(COUNT('SimData1 and 2'!$C$9:$C$508)-1)+$K$92</f>
        <v>0.16633266533066143</v>
      </c>
    </row>
    <row r="94" spans="1:11" x14ac:dyDescent="0.2">
      <c r="A94">
        <v>86</v>
      </c>
      <c r="B94">
        <v>6.3861638953893332</v>
      </c>
      <c r="C94">
        <v>7.2492140657906319</v>
      </c>
      <c r="H94">
        <f>SMALL('SimData1 and 2'!$B$9:$B$508,85)</f>
        <v>5.9996420573116325</v>
      </c>
      <c r="I94">
        <f>1/(COUNT('SimData1 and 2'!$B$9:$B$508)-1)+$I$93</f>
        <v>0.1683366733466935</v>
      </c>
      <c r="J94">
        <f>SMALL('SimData1 and 2'!$C$9:$C$508,85)</f>
        <v>5.9994387986452322</v>
      </c>
      <c r="K94">
        <f>1/(COUNT('SimData1 and 2'!$C$9:$C$508)-1)+$K$93</f>
        <v>0.1683366733466935</v>
      </c>
    </row>
    <row r="95" spans="1:11" x14ac:dyDescent="0.2">
      <c r="A95">
        <v>87</v>
      </c>
      <c r="B95">
        <v>8.0202636773750591</v>
      </c>
      <c r="C95">
        <v>6.6165658847245528</v>
      </c>
      <c r="H95">
        <f>SMALL('SimData1 and 2'!$B$9:$B$508,86)</f>
        <v>5.9999156674834575</v>
      </c>
      <c r="I95">
        <f>1/(COUNT('SimData1 and 2'!$B$9:$B$508)-1)+$I$94</f>
        <v>0.17034068136272557</v>
      </c>
      <c r="J95">
        <f>SMALL('SimData1 and 2'!$C$9:$C$508,86)</f>
        <v>5.9997391766227084</v>
      </c>
      <c r="K95">
        <f>1/(COUNT('SimData1 and 2'!$C$9:$C$508)-1)+$K$94</f>
        <v>0.17034068136272557</v>
      </c>
    </row>
    <row r="96" spans="1:11" x14ac:dyDescent="0.2">
      <c r="A96">
        <v>88</v>
      </c>
      <c r="B96">
        <v>6.1366187889149177</v>
      </c>
      <c r="C96">
        <v>6.2627696943221078</v>
      </c>
      <c r="H96">
        <f>SMALL('SimData1 and 2'!$B$9:$B$508,87)</f>
        <v>6.0000427082127397</v>
      </c>
      <c r="I96">
        <f>1/(COUNT('SimData1 and 2'!$B$9:$B$508)-1)+$I$95</f>
        <v>0.17234468937875763</v>
      </c>
      <c r="J96">
        <f>SMALL('SimData1 and 2'!$C$9:$C$508,87)</f>
        <v>6.0000213714440997</v>
      </c>
      <c r="K96">
        <f>1/(COUNT('SimData1 and 2'!$C$9:$C$508)-1)+$K$95</f>
        <v>0.17234468937875763</v>
      </c>
    </row>
    <row r="97" spans="1:11" x14ac:dyDescent="0.2">
      <c r="A97">
        <v>89</v>
      </c>
      <c r="B97">
        <v>7.2199869283275984</v>
      </c>
      <c r="C97">
        <v>6.0081903885128947</v>
      </c>
      <c r="H97">
        <f>SMALL('SimData1 and 2'!$B$9:$B$508,88)</f>
        <v>6.0004444003888846</v>
      </c>
      <c r="I97">
        <f>1/(COUNT('SimData1 and 2'!$B$9:$B$508)-1)+$I$96</f>
        <v>0.1743486973947897</v>
      </c>
      <c r="J97">
        <f>SMALL('SimData1 and 2'!$C$9:$C$508,88)</f>
        <v>6.0004338737324243</v>
      </c>
      <c r="K97">
        <f>1/(COUNT('SimData1 and 2'!$C$9:$C$508)-1)+$K$96</f>
        <v>0.1743486973947897</v>
      </c>
    </row>
    <row r="98" spans="1:11" x14ac:dyDescent="0.2">
      <c r="A98">
        <v>90</v>
      </c>
      <c r="B98">
        <v>7.2045673545874305</v>
      </c>
      <c r="C98">
        <v>15.399976549457888</v>
      </c>
      <c r="H98">
        <f>SMALL('SimData1 and 2'!$B$9:$B$508,89)</f>
        <v>6.00067981234867</v>
      </c>
      <c r="I98">
        <f>1/(COUNT('SimData1 and 2'!$B$9:$B$508)-1)+$I$97</f>
        <v>0.17635270541082176</v>
      </c>
      <c r="J98">
        <f>SMALL('SimData1 and 2'!$C$9:$C$508,89)</f>
        <v>6.0007633480815237</v>
      </c>
      <c r="K98">
        <f>1/(COUNT('SimData1 and 2'!$C$9:$C$508)-1)+$K$97</f>
        <v>0.17635270541082176</v>
      </c>
    </row>
    <row r="99" spans="1:11" x14ac:dyDescent="0.2">
      <c r="A99">
        <v>91</v>
      </c>
      <c r="B99">
        <v>6.8799392936471442</v>
      </c>
      <c r="C99">
        <v>8.0357153701366979</v>
      </c>
      <c r="H99">
        <f>SMALL('SimData1 and 2'!$B$9:$B$508,90)</f>
        <v>6.0009377057632838</v>
      </c>
      <c r="I99">
        <f>1/(COUNT('SimData1 and 2'!$B$9:$B$508)-1)+$I$98</f>
        <v>0.17835671342685383</v>
      </c>
      <c r="J99">
        <f>SMALL('SimData1 and 2'!$C$9:$C$508,90)</f>
        <v>6.0009771505553768</v>
      </c>
      <c r="K99">
        <f>1/(COUNT('SimData1 and 2'!$C$9:$C$508)-1)+$K$98</f>
        <v>0.17835671342685383</v>
      </c>
    </row>
    <row r="100" spans="1:11" x14ac:dyDescent="0.2">
      <c r="A100">
        <v>92</v>
      </c>
      <c r="B100">
        <v>8.3929867018789572</v>
      </c>
      <c r="C100">
        <v>6.0072623171242272</v>
      </c>
      <c r="H100">
        <f>SMALL('SimData1 and 2'!$B$9:$B$508,91)</f>
        <v>6.0013096691933878</v>
      </c>
      <c r="I100">
        <f>1/(COUNT('SimData1 and 2'!$B$9:$B$508)-1)+$I$99</f>
        <v>0.1803607214428859</v>
      </c>
      <c r="J100">
        <f>SMALL('SimData1 and 2'!$C$9:$C$508,91)</f>
        <v>6.0012919999890677</v>
      </c>
      <c r="K100">
        <f>1/(COUNT('SimData1 and 2'!$C$9:$C$508)-1)+$K$99</f>
        <v>0.1803607214428859</v>
      </c>
    </row>
    <row r="101" spans="1:11" x14ac:dyDescent="0.2">
      <c r="A101">
        <v>93</v>
      </c>
      <c r="B101">
        <v>6.290203945520374</v>
      </c>
      <c r="C101">
        <v>7.2585962701234594</v>
      </c>
      <c r="H101">
        <f>SMALL('SimData1 and 2'!$B$9:$B$508,92)</f>
        <v>6.0017179715569666</v>
      </c>
      <c r="I101">
        <f>1/(COUNT('SimData1 and 2'!$B$9:$B$508)-1)+$I$100</f>
        <v>0.18236472945891796</v>
      </c>
      <c r="J101">
        <f>SMALL('SimData1 and 2'!$C$9:$C$508,92)</f>
        <v>6.0018392438500445</v>
      </c>
      <c r="K101">
        <f>1/(COUNT('SimData1 and 2'!$C$9:$C$508)-1)+$K$100</f>
        <v>0.18236472945891796</v>
      </c>
    </row>
    <row r="102" spans="1:11" x14ac:dyDescent="0.2">
      <c r="A102">
        <v>94</v>
      </c>
      <c r="B102">
        <v>7.2132617459093566</v>
      </c>
      <c r="C102">
        <v>8.0366880462730812</v>
      </c>
      <c r="H102">
        <f>SMALL('SimData1 and 2'!$B$9:$B$508,93)</f>
        <v>6.0020963945313817</v>
      </c>
      <c r="I102">
        <f>1/(COUNT('SimData1 and 2'!$B$9:$B$508)-1)+$I$101</f>
        <v>0.18436873747495003</v>
      </c>
      <c r="J102">
        <f>SMALL('SimData1 and 2'!$C$9:$C$508,93)</f>
        <v>6.0021041734209595</v>
      </c>
      <c r="K102">
        <f>1/(COUNT('SimData1 and 2'!$C$9:$C$508)-1)+$K$101</f>
        <v>0.18436873747495003</v>
      </c>
    </row>
    <row r="103" spans="1:11" x14ac:dyDescent="0.2">
      <c r="A103">
        <v>95</v>
      </c>
      <c r="B103">
        <v>7.2186710543579267</v>
      </c>
      <c r="C103">
        <v>7.3774587491534849</v>
      </c>
      <c r="H103">
        <f>SMALL('SimData1 and 2'!$B$9:$B$508,94)</f>
        <v>6.0023126032758505</v>
      </c>
      <c r="I103">
        <f>1/(COUNT('SimData1 and 2'!$B$9:$B$508)-1)+$I$102</f>
        <v>0.18637274549098209</v>
      </c>
      <c r="J103">
        <f>SMALL('SimData1 and 2'!$C$9:$C$508,94)</f>
        <v>6.0023871855864384</v>
      </c>
      <c r="K103">
        <f>1/(COUNT('SimData1 and 2'!$C$9:$C$508)-1)+$K$102</f>
        <v>0.18637274549098209</v>
      </c>
    </row>
    <row r="104" spans="1:11" x14ac:dyDescent="0.2">
      <c r="A104">
        <v>96</v>
      </c>
      <c r="B104">
        <v>8.3282405096891718</v>
      </c>
      <c r="C104">
        <v>6.6262709222761975</v>
      </c>
      <c r="H104">
        <f>SMALL('SimData1 and 2'!$B$9:$B$508,95)</f>
        <v>6.0025913699016309</v>
      </c>
      <c r="I104">
        <f>1/(COUNT('SimData1 and 2'!$B$9:$B$508)-1)+$I$103</f>
        <v>0.18837675350701416</v>
      </c>
      <c r="J104">
        <f>SMALL('SimData1 and 2'!$C$9:$C$508,95)</f>
        <v>6.002598290498808</v>
      </c>
      <c r="K104">
        <f>1/(COUNT('SimData1 and 2'!$C$9:$C$508)-1)+$K$103</f>
        <v>0.18837675350701416</v>
      </c>
    </row>
    <row r="105" spans="1:11" x14ac:dyDescent="0.2">
      <c r="A105">
        <v>97</v>
      </c>
      <c r="B105">
        <v>6.7868822822339459</v>
      </c>
      <c r="C105">
        <v>8.0086628802729436</v>
      </c>
      <c r="H105">
        <f>SMALL('SimData1 and 2'!$B$9:$B$508,96)</f>
        <v>6.0030024733774816</v>
      </c>
      <c r="I105">
        <f>1/(COUNT('SimData1 and 2'!$B$9:$B$508)-1)+$I$104</f>
        <v>0.19038076152304623</v>
      </c>
      <c r="J105">
        <f>SMALL('SimData1 and 2'!$C$9:$C$508,96)</f>
        <v>6.0029381223516154</v>
      </c>
      <c r="K105">
        <f>1/(COUNT('SimData1 and 2'!$C$9:$C$508)-1)+$K$104</f>
        <v>0.19038076152304623</v>
      </c>
    </row>
    <row r="106" spans="1:11" x14ac:dyDescent="0.2">
      <c r="A106">
        <v>98</v>
      </c>
      <c r="B106">
        <v>6.8629813634328123</v>
      </c>
      <c r="C106">
        <v>7.1259337183579428</v>
      </c>
      <c r="H106">
        <f>SMALL('SimData1 and 2'!$B$9:$B$508,97)</f>
        <v>6.0030968947297669</v>
      </c>
      <c r="I106">
        <f>1/(COUNT('SimData1 and 2'!$B$9:$B$508)-1)+$I$105</f>
        <v>0.19238476953907829</v>
      </c>
      <c r="J106">
        <f>SMALL('SimData1 and 2'!$C$9:$C$508,97)</f>
        <v>6.0032263474335323</v>
      </c>
      <c r="K106">
        <f>1/(COUNT('SimData1 and 2'!$C$9:$C$508)-1)+$K$105</f>
        <v>0.19238476953907829</v>
      </c>
    </row>
    <row r="107" spans="1:11" x14ac:dyDescent="0.2">
      <c r="A107">
        <v>99</v>
      </c>
      <c r="B107">
        <v>6.4338349398312014</v>
      </c>
      <c r="C107">
        <v>7.2002090840552233</v>
      </c>
      <c r="H107">
        <f>SMALL('SimData1 and 2'!$B$9:$B$508,98)</f>
        <v>6.0034484181948908</v>
      </c>
      <c r="I107">
        <f>1/(COUNT('SimData1 and 2'!$B$9:$B$508)-1)+$I$106</f>
        <v>0.19438877755511036</v>
      </c>
      <c r="J107">
        <f>SMALL('SimData1 and 2'!$C$9:$C$508,98)</f>
        <v>6.0035379468616554</v>
      </c>
      <c r="K107">
        <f>1/(COUNT('SimData1 and 2'!$C$9:$C$508)-1)+$K$106</f>
        <v>0.19438877755511036</v>
      </c>
    </row>
    <row r="108" spans="1:11" x14ac:dyDescent="0.2">
      <c r="A108">
        <v>100</v>
      </c>
      <c r="B108">
        <v>6.6691571351255394</v>
      </c>
      <c r="C108">
        <v>6.3916321463513048</v>
      </c>
      <c r="H108">
        <f>SMALL('SimData1 and 2'!$B$9:$B$508,99)</f>
        <v>6.0037279299385053</v>
      </c>
      <c r="I108">
        <f>1/(COUNT('SimData1 and 2'!$B$9:$B$508)-1)+$I$107</f>
        <v>0.19639278557114243</v>
      </c>
      <c r="J108">
        <f>SMALL('SimData1 and 2'!$C$9:$C$508,99)</f>
        <v>6.003804063302991</v>
      </c>
      <c r="K108">
        <f>1/(COUNT('SimData1 and 2'!$C$9:$C$508)-1)+$K$107</f>
        <v>0.19639278557114243</v>
      </c>
    </row>
    <row r="109" spans="1:11" x14ac:dyDescent="0.2">
      <c r="A109">
        <v>101</v>
      </c>
      <c r="B109">
        <v>6.0745429213893862</v>
      </c>
      <c r="C109">
        <v>10.120667482539931</v>
      </c>
      <c r="H109">
        <f>SMALL('SimData1 and 2'!$B$9:$B$508,100)</f>
        <v>6.0041007693678878</v>
      </c>
      <c r="I109">
        <f>1/(COUNT('SimData1 and 2'!$B$9:$B$508)-1)+$I$108</f>
        <v>0.19839679358717449</v>
      </c>
      <c r="J109">
        <f>SMALL('SimData1 and 2'!$C$9:$C$508,100)</f>
        <v>6.0040632275486008</v>
      </c>
      <c r="K109">
        <f>1/(COUNT('SimData1 and 2'!$C$9:$C$508)-1)+$K$108</f>
        <v>0.19839679358717449</v>
      </c>
    </row>
    <row r="110" spans="1:11" x14ac:dyDescent="0.2">
      <c r="A110">
        <v>102</v>
      </c>
      <c r="B110">
        <v>7.2455356847261649</v>
      </c>
      <c r="C110">
        <v>7.3367022045183194</v>
      </c>
      <c r="H110">
        <f>SMALL('SimData1 and 2'!$B$9:$B$508,101)</f>
        <v>6.0046206508319138</v>
      </c>
      <c r="I110">
        <f>1/(COUNT('SimData1 and 2'!$B$9:$B$508)-1)+$I$109</f>
        <v>0.20040080160320656</v>
      </c>
      <c r="J110">
        <f>SMALL('SimData1 and 2'!$C$9:$C$508,101)</f>
        <v>6.0043564044879378</v>
      </c>
      <c r="K110">
        <f>1/(COUNT('SimData1 and 2'!$C$9:$C$508)-1)+$K$109</f>
        <v>0.20040080160320656</v>
      </c>
    </row>
    <row r="111" spans="1:11" x14ac:dyDescent="0.2">
      <c r="A111">
        <v>103</v>
      </c>
      <c r="B111">
        <v>5.1825937990076918</v>
      </c>
      <c r="C111">
        <v>7.2689803830519875</v>
      </c>
      <c r="H111">
        <f>SMALL('SimData1 and 2'!$B$9:$B$508,102)</f>
        <v>6.0048327686028191</v>
      </c>
      <c r="I111">
        <f>1/(COUNT('SimData1 and 2'!$B$9:$B$508)-1)+$I$110</f>
        <v>0.20240480961923862</v>
      </c>
      <c r="J111">
        <f>SMALL('SimData1 and 2'!$C$9:$C$508,102)</f>
        <v>6.0047572396527542</v>
      </c>
      <c r="K111">
        <f>1/(COUNT('SimData1 and 2'!$C$9:$C$508)-1)+$K$110</f>
        <v>0.20240480961923862</v>
      </c>
    </row>
    <row r="112" spans="1:11" x14ac:dyDescent="0.2">
      <c r="A112">
        <v>104</v>
      </c>
      <c r="B112">
        <v>8.438733923504147</v>
      </c>
      <c r="C112">
        <v>6.1348641031206679</v>
      </c>
      <c r="H112">
        <f>SMALL('SimData1 and 2'!$B$9:$B$508,103)</f>
        <v>6.0050760129865424</v>
      </c>
      <c r="I112">
        <f>1/(COUNT('SimData1 and 2'!$B$9:$B$508)-1)+$I$111</f>
        <v>0.20440881763527069</v>
      </c>
      <c r="J112">
        <f>SMALL('SimData1 and 2'!$C$9:$C$508,103)</f>
        <v>6.0050889570667785</v>
      </c>
      <c r="K112">
        <f>1/(COUNT('SimData1 and 2'!$C$9:$C$508)-1)+$K$111</f>
        <v>0.20440881763527069</v>
      </c>
    </row>
    <row r="113" spans="1:11" x14ac:dyDescent="0.2">
      <c r="A113">
        <v>105</v>
      </c>
      <c r="B113">
        <v>7.932700741575136</v>
      </c>
      <c r="C113">
        <v>7.2707008347364415</v>
      </c>
      <c r="H113">
        <f>SMALL('SimData1 and 2'!$B$9:$B$508,104)</f>
        <v>6.0054195746674548</v>
      </c>
      <c r="I113">
        <f>1/(COUNT('SimData1 and 2'!$B$9:$B$508)-1)+$I$112</f>
        <v>0.20641282565130276</v>
      </c>
      <c r="J113">
        <f>SMALL('SimData1 and 2'!$C$9:$C$508,104)</f>
        <v>6.0053706080919236</v>
      </c>
      <c r="K113">
        <f>1/(COUNT('SimData1 and 2'!$C$9:$C$508)-1)+$K$112</f>
        <v>0.20641282565130276</v>
      </c>
    </row>
    <row r="114" spans="1:11" x14ac:dyDescent="0.2">
      <c r="A114">
        <v>106</v>
      </c>
      <c r="B114">
        <v>8.4386432588911084</v>
      </c>
      <c r="C114">
        <v>7.1550988687011152</v>
      </c>
      <c r="H114">
        <f>SMALL('SimData1 and 2'!$B$9:$B$508,105)</f>
        <v>6.0056899478123089</v>
      </c>
      <c r="I114">
        <f>1/(COUNT('SimData1 and 2'!$B$9:$B$508)-1)+$I$113</f>
        <v>0.20841683366733482</v>
      </c>
      <c r="J114">
        <f>SMALL('SimData1 and 2'!$C$9:$C$508,105)</f>
        <v>6.0057214328296222</v>
      </c>
      <c r="K114">
        <f>1/(COUNT('SimData1 and 2'!$C$9:$C$508)-1)+$K$113</f>
        <v>0.20841683366733482</v>
      </c>
    </row>
    <row r="115" spans="1:11" x14ac:dyDescent="0.2">
      <c r="A115">
        <v>107</v>
      </c>
      <c r="B115">
        <v>7.2548160243822082</v>
      </c>
      <c r="C115">
        <v>15.399931121863133</v>
      </c>
      <c r="H115">
        <f>SMALL('SimData1 and 2'!$B$9:$B$508,106)</f>
        <v>6.0059963216242398</v>
      </c>
      <c r="I115">
        <f>1/(COUNT('SimData1 and 2'!$B$9:$B$508)-1)+$I$114</f>
        <v>0.21042084168336689</v>
      </c>
      <c r="J115">
        <f>SMALL('SimData1 and 2'!$C$9:$C$508,106)</f>
        <v>6.0059259761682089</v>
      </c>
      <c r="K115">
        <f>1/(COUNT('SimData1 and 2'!$C$9:$C$508)-1)+$K$114</f>
        <v>0.21042084168336689</v>
      </c>
    </row>
    <row r="116" spans="1:11" x14ac:dyDescent="0.2">
      <c r="A116">
        <v>108</v>
      </c>
      <c r="B116">
        <v>7.2176386056891548</v>
      </c>
      <c r="C116">
        <v>3.5000060157246318</v>
      </c>
      <c r="H116">
        <f>SMALL('SimData1 and 2'!$B$9:$B$508,107)</f>
        <v>6.0064338615983566</v>
      </c>
      <c r="I116">
        <f>1/(COUNT('SimData1 and 2'!$B$9:$B$508)-1)+$I$115</f>
        <v>0.21242484969939895</v>
      </c>
      <c r="J116">
        <f>SMALL('SimData1 and 2'!$C$9:$C$508,107)</f>
        <v>6.0064624470830985</v>
      </c>
      <c r="K116">
        <f>1/(COUNT('SimData1 and 2'!$C$9:$C$508)-1)+$K$115</f>
        <v>0.21242484969939895</v>
      </c>
    </row>
    <row r="117" spans="1:11" x14ac:dyDescent="0.2">
      <c r="A117">
        <v>109</v>
      </c>
      <c r="B117">
        <v>7.2209262571587152</v>
      </c>
      <c r="C117">
        <v>6.6876729705558828</v>
      </c>
      <c r="H117">
        <f>SMALL('SimData1 and 2'!$B$9:$B$508,108)</f>
        <v>6.0067792849163935</v>
      </c>
      <c r="I117">
        <f>1/(COUNT('SimData1 and 2'!$B$9:$B$508)-1)+$I$116</f>
        <v>0.21442885771543102</v>
      </c>
      <c r="J117">
        <f>SMALL('SimData1 and 2'!$C$9:$C$508,108)</f>
        <v>6.0065254183123091</v>
      </c>
      <c r="K117">
        <f>1/(COUNT('SimData1 and 2'!$C$9:$C$508)-1)+$K$116</f>
        <v>0.21442885771543102</v>
      </c>
    </row>
    <row r="118" spans="1:11" x14ac:dyDescent="0.2">
      <c r="A118">
        <v>110</v>
      </c>
      <c r="B118">
        <v>5.1826232629325419</v>
      </c>
      <c r="C118">
        <v>6.0043564044879378</v>
      </c>
      <c r="H118">
        <f>SMALL('SimData1 and 2'!$B$9:$B$508,109)</f>
        <v>6.0069511869427519</v>
      </c>
      <c r="I118">
        <f>1/(COUNT('SimData1 and 2'!$B$9:$B$508)-1)+$I$117</f>
        <v>0.21643286573146309</v>
      </c>
      <c r="J118">
        <f>SMALL('SimData1 and 2'!$C$9:$C$508,109)</f>
        <v>6.0070297174931744</v>
      </c>
      <c r="K118">
        <f>1/(COUNT('SimData1 and 2'!$C$9:$C$508)-1)+$K$117</f>
        <v>0.21643286573146309</v>
      </c>
    </row>
    <row r="119" spans="1:11" x14ac:dyDescent="0.2">
      <c r="A119">
        <v>111</v>
      </c>
      <c r="B119">
        <v>8.4386845785398883</v>
      </c>
      <c r="C119">
        <v>7.2256457081560148</v>
      </c>
      <c r="H119">
        <f>SMALL('SimData1 and 2'!$B$9:$B$508,110)</f>
        <v>6.0072347553302858</v>
      </c>
      <c r="I119">
        <f>1/(COUNT('SimData1 and 2'!$B$9:$B$508)-1)+$I$118</f>
        <v>0.21843687374749515</v>
      </c>
      <c r="J119">
        <f>SMALL('SimData1 and 2'!$C$9:$C$508,110)</f>
        <v>6.0072623171242272</v>
      </c>
      <c r="K119">
        <f>1/(COUNT('SimData1 and 2'!$C$9:$C$508)-1)+$K$118</f>
        <v>0.21843687374749515</v>
      </c>
    </row>
    <row r="120" spans="1:11" x14ac:dyDescent="0.2">
      <c r="A120">
        <v>112</v>
      </c>
      <c r="B120">
        <v>7.1750597258193505</v>
      </c>
      <c r="C120">
        <v>3.5000063507287633</v>
      </c>
      <c r="H120">
        <f>SMALL('SimData1 and 2'!$B$9:$B$508,111)</f>
        <v>6.007512989643315</v>
      </c>
      <c r="I120">
        <f>1/(COUNT('SimData1 and 2'!$B$9:$B$508)-1)+$I$119</f>
        <v>0.22044088176352722</v>
      </c>
      <c r="J120">
        <f>SMALL('SimData1 and 2'!$C$9:$C$508,111)</f>
        <v>6.0074767328132959</v>
      </c>
      <c r="K120">
        <f>1/(COUNT('SimData1 and 2'!$C$9:$C$508)-1)+$K$119</f>
        <v>0.22044088176352722</v>
      </c>
    </row>
    <row r="121" spans="1:11" x14ac:dyDescent="0.2">
      <c r="A121">
        <v>113</v>
      </c>
      <c r="B121">
        <v>7.1839357014794549</v>
      </c>
      <c r="C121">
        <v>7.2238215001321056</v>
      </c>
      <c r="H121">
        <f>SMALL('SimData1 and 2'!$B$9:$B$508,112)</f>
        <v>6.0079247209374165</v>
      </c>
      <c r="I121">
        <f>1/(COUNT('SimData1 and 2'!$B$9:$B$508)-1)+$I$120</f>
        <v>0.22244488977955928</v>
      </c>
      <c r="J121">
        <f>SMALL('SimData1 and 2'!$C$9:$C$508,112)</f>
        <v>6.007804311798898</v>
      </c>
      <c r="K121">
        <f>1/(COUNT('SimData1 and 2'!$C$9:$C$508)-1)+$K$120</f>
        <v>0.22244488977955928</v>
      </c>
    </row>
    <row r="122" spans="1:11" x14ac:dyDescent="0.2">
      <c r="A122">
        <v>114</v>
      </c>
      <c r="B122">
        <v>7.70060587196771</v>
      </c>
      <c r="C122">
        <v>15.399945675519497</v>
      </c>
      <c r="H122">
        <f>SMALL('SimData1 and 2'!$B$9:$B$508,113)</f>
        <v>6.0082549277210138</v>
      </c>
      <c r="I122">
        <f>1/(COUNT('SimData1 and 2'!$B$9:$B$508)-1)+$I$121</f>
        <v>0.22444889779559135</v>
      </c>
      <c r="J122">
        <f>SMALL('SimData1 and 2'!$C$9:$C$508,113)</f>
        <v>6.0081903885128947</v>
      </c>
      <c r="K122">
        <f>1/(COUNT('SimData1 and 2'!$C$9:$C$508)-1)+$K$121</f>
        <v>0.22444889779559135</v>
      </c>
    </row>
    <row r="123" spans="1:11" x14ac:dyDescent="0.2">
      <c r="A123">
        <v>115</v>
      </c>
      <c r="B123">
        <v>8.4386387075806955</v>
      </c>
      <c r="C123">
        <v>7.2205110472557656</v>
      </c>
      <c r="H123">
        <f>SMALL('SimData1 and 2'!$B$9:$B$508,114)</f>
        <v>6.0084863477919495</v>
      </c>
      <c r="I123">
        <f>1/(COUNT('SimData1 and 2'!$B$9:$B$508)-1)+$I$122</f>
        <v>0.22645290581162342</v>
      </c>
      <c r="J123">
        <f>SMALL('SimData1 and 2'!$C$9:$C$508,114)</f>
        <v>6.0083570348018238</v>
      </c>
      <c r="K123">
        <f>1/(COUNT('SimData1 and 2'!$C$9:$C$508)-1)+$K$122</f>
        <v>0.22645290581162342</v>
      </c>
    </row>
    <row r="124" spans="1:11" x14ac:dyDescent="0.2">
      <c r="A124">
        <v>116</v>
      </c>
      <c r="B124">
        <v>7.3208605029928933</v>
      </c>
      <c r="C124">
        <v>12.095183413595784</v>
      </c>
      <c r="H124">
        <f>SMALL('SimData1 and 2'!$B$9:$B$508,115)</f>
        <v>6.019656846780034</v>
      </c>
      <c r="I124">
        <f>1/(COUNT('SimData1 and 2'!$B$9:$B$508)-1)+$I$123</f>
        <v>0.22845691382765548</v>
      </c>
      <c r="J124">
        <f>SMALL('SimData1 and 2'!$C$9:$C$508,115)</f>
        <v>6.0176541436591622</v>
      </c>
      <c r="K124">
        <f>1/(COUNT('SimData1 and 2'!$C$9:$C$508)-1)+$K$123</f>
        <v>0.22845691382765548</v>
      </c>
    </row>
    <row r="125" spans="1:11" x14ac:dyDescent="0.2">
      <c r="A125">
        <v>117</v>
      </c>
      <c r="B125">
        <v>5.1827459112287153</v>
      </c>
      <c r="C125">
        <v>7.9189694421819947</v>
      </c>
      <c r="H125">
        <f>SMALL('SimData1 and 2'!$B$9:$B$508,116)</f>
        <v>6.0244368299815987</v>
      </c>
      <c r="I125">
        <f>1/(COUNT('SimData1 and 2'!$B$9:$B$508)-1)+$I$124</f>
        <v>0.23046092184368755</v>
      </c>
      <c r="J125">
        <f>SMALL('SimData1 and 2'!$C$9:$C$508,116)</f>
        <v>6.0238745858787865</v>
      </c>
      <c r="K125">
        <f>1/(COUNT('SimData1 and 2'!$C$9:$C$508)-1)+$K$124</f>
        <v>0.23046092184368755</v>
      </c>
    </row>
    <row r="126" spans="1:11" x14ac:dyDescent="0.2">
      <c r="A126">
        <v>118</v>
      </c>
      <c r="B126">
        <v>6.8232084712121797</v>
      </c>
      <c r="C126">
        <v>7.4998446170899138</v>
      </c>
      <c r="H126">
        <f>SMALL('SimData1 and 2'!$B$9:$B$508,117)</f>
        <v>6.039788490858788</v>
      </c>
      <c r="I126">
        <f>1/(COUNT('SimData1 and 2'!$B$9:$B$508)-1)+$I$125</f>
        <v>0.23246492985971962</v>
      </c>
      <c r="J126">
        <f>SMALL('SimData1 and 2'!$C$9:$C$508,117)</f>
        <v>6.0386611083011115</v>
      </c>
      <c r="K126">
        <f>1/(COUNT('SimData1 and 2'!$C$9:$C$508)-1)+$K$125</f>
        <v>0.23246492985971962</v>
      </c>
    </row>
    <row r="127" spans="1:11" x14ac:dyDescent="0.2">
      <c r="A127">
        <v>119</v>
      </c>
      <c r="B127">
        <v>7.2088860386113272</v>
      </c>
      <c r="C127">
        <v>5.1955791043544854</v>
      </c>
      <c r="H127">
        <f>SMALL('SimData1 and 2'!$B$9:$B$508,118)</f>
        <v>6.0443092739714315</v>
      </c>
      <c r="I127">
        <f>1/(COUNT('SimData1 and 2'!$B$9:$B$508)-1)+$I$126</f>
        <v>0.23446893787575168</v>
      </c>
      <c r="J127">
        <f>SMALL('SimData1 and 2'!$C$9:$C$508,118)</f>
        <v>6.0541808972560878</v>
      </c>
      <c r="K127">
        <f>1/(COUNT('SimData1 and 2'!$C$9:$C$508)-1)+$K$126</f>
        <v>0.23446893787575168</v>
      </c>
    </row>
    <row r="128" spans="1:11" x14ac:dyDescent="0.2">
      <c r="A128">
        <v>120</v>
      </c>
      <c r="B128">
        <v>7.1984512022621399</v>
      </c>
      <c r="C128">
        <v>6.4839606159072947</v>
      </c>
      <c r="H128">
        <f>SMALL('SimData1 and 2'!$B$9:$B$508,119)</f>
        <v>6.0558048091741696</v>
      </c>
      <c r="I128">
        <f>1/(COUNT('SimData1 and 2'!$B$9:$B$508)-1)+$I$127</f>
        <v>0.23647294589178375</v>
      </c>
      <c r="J128">
        <f>SMALL('SimData1 and 2'!$C$9:$C$508,119)</f>
        <v>6.0616786387058159</v>
      </c>
      <c r="K128">
        <f>1/(COUNT('SimData1 and 2'!$C$9:$C$508)-1)+$K$127</f>
        <v>0.23647294589178375</v>
      </c>
    </row>
    <row r="129" spans="1:11" x14ac:dyDescent="0.2">
      <c r="A129">
        <v>121</v>
      </c>
      <c r="B129">
        <v>7.9545670040967043</v>
      </c>
      <c r="C129">
        <v>6.5189071633860873</v>
      </c>
      <c r="H129">
        <f>SMALL('SimData1 and 2'!$B$9:$B$508,120)</f>
        <v>6.0745429213893862</v>
      </c>
      <c r="I129">
        <f>1/(COUNT('SimData1 and 2'!$B$9:$B$508)-1)+$I$128</f>
        <v>0.23847695390781581</v>
      </c>
      <c r="J129">
        <f>SMALL('SimData1 and 2'!$C$9:$C$508,120)</f>
        <v>6.0756988034208215</v>
      </c>
      <c r="K129">
        <f>1/(COUNT('SimData1 and 2'!$C$9:$C$508)-1)+$K$128</f>
        <v>0.23847695390781581</v>
      </c>
    </row>
    <row r="130" spans="1:11" x14ac:dyDescent="0.2">
      <c r="A130">
        <v>122</v>
      </c>
      <c r="B130">
        <v>5.1826642108413372</v>
      </c>
      <c r="C130">
        <v>7.968576524411076</v>
      </c>
      <c r="H130">
        <f>SMALL('SimData1 and 2'!$B$9:$B$508,121)</f>
        <v>6.0790155669885468</v>
      </c>
      <c r="I130">
        <f>1/(COUNT('SimData1 and 2'!$B$9:$B$508)-1)+$I$129</f>
        <v>0.24048096192384788</v>
      </c>
      <c r="J130">
        <f>SMALL('SimData1 and 2'!$C$9:$C$508,121)</f>
        <v>6.0853644419967186</v>
      </c>
      <c r="K130">
        <f>1/(COUNT('SimData1 and 2'!$C$9:$C$508)-1)+$K$129</f>
        <v>0.24048096192384788</v>
      </c>
    </row>
    <row r="131" spans="1:11" x14ac:dyDescent="0.2">
      <c r="A131">
        <v>123</v>
      </c>
      <c r="B131">
        <v>7.2713389315849701</v>
      </c>
      <c r="C131">
        <v>7.2161853943725305</v>
      </c>
      <c r="H131">
        <f>SMALL('SimData1 and 2'!$B$9:$B$508,122)</f>
        <v>6.0944467381492116</v>
      </c>
      <c r="I131">
        <f>1/(COUNT('SimData1 and 2'!$B$9:$B$508)-1)+$I$130</f>
        <v>0.24248496993987995</v>
      </c>
      <c r="J131">
        <f>SMALL('SimData1 and 2'!$C$9:$C$508,122)</f>
        <v>6.0891412097649988</v>
      </c>
      <c r="K131">
        <f>1/(COUNT('SimData1 and 2'!$C$9:$C$508)-1)+$K$130</f>
        <v>0.24248496993987995</v>
      </c>
    </row>
    <row r="132" spans="1:11" x14ac:dyDescent="0.2">
      <c r="A132">
        <v>124</v>
      </c>
      <c r="B132">
        <v>5.1827546286366024</v>
      </c>
      <c r="C132">
        <v>6.0035379468616554</v>
      </c>
      <c r="H132">
        <f>SMALL('SimData1 and 2'!$B$9:$B$508,123)</f>
        <v>6.0986530223787643</v>
      </c>
      <c r="I132">
        <f>1/(COUNT('SimData1 and 2'!$B$9:$B$508)-1)+$I$131</f>
        <v>0.24448897795591201</v>
      </c>
      <c r="J132">
        <f>SMALL('SimData1 and 2'!$C$9:$C$508,123)</f>
        <v>6.1072862549867706</v>
      </c>
      <c r="K132">
        <f>1/(COUNT('SimData1 and 2'!$C$9:$C$508)-1)+$K$131</f>
        <v>0.24448897795591201</v>
      </c>
    </row>
    <row r="133" spans="1:11" x14ac:dyDescent="0.2">
      <c r="A133">
        <v>125</v>
      </c>
      <c r="B133">
        <v>7.2245651043079224</v>
      </c>
      <c r="C133">
        <v>13.145956732498401</v>
      </c>
      <c r="H133">
        <f>SMALL('SimData1 and 2'!$B$9:$B$508,124)</f>
        <v>6.1172439701843491</v>
      </c>
      <c r="I133">
        <f>1/(COUNT('SimData1 and 2'!$B$9:$B$508)-1)+$I$132</f>
        <v>0.24649298597194408</v>
      </c>
      <c r="J133">
        <f>SMALL('SimData1 and 2'!$C$9:$C$508,124)</f>
        <v>6.1151050927476671</v>
      </c>
      <c r="K133">
        <f>1/(COUNT('SimData1 and 2'!$C$9:$C$508)-1)+$K$132</f>
        <v>0.24649298597194408</v>
      </c>
    </row>
    <row r="134" spans="1:11" x14ac:dyDescent="0.2">
      <c r="A134">
        <v>126</v>
      </c>
      <c r="B134">
        <v>7.2375948715495841</v>
      </c>
      <c r="C134">
        <v>5.9945763550642042</v>
      </c>
      <c r="H134">
        <f>SMALL('SimData1 and 2'!$B$9:$B$508,125)</f>
        <v>6.1254953552068603</v>
      </c>
      <c r="I134">
        <f>1/(COUNT('SimData1 and 2'!$B$9:$B$508)-1)+$I$133</f>
        <v>0.24849699398797614</v>
      </c>
      <c r="J134">
        <f>SMALL('SimData1 and 2'!$C$9:$C$508,125)</f>
        <v>6.1186080974371917</v>
      </c>
      <c r="K134">
        <f>1/(COUNT('SimData1 and 2'!$C$9:$C$508)-1)+$K$133</f>
        <v>0.24849699398797614</v>
      </c>
    </row>
    <row r="135" spans="1:11" x14ac:dyDescent="0.2">
      <c r="A135">
        <v>127</v>
      </c>
      <c r="B135">
        <v>7.2863088488937588</v>
      </c>
      <c r="C135">
        <v>7.2897880671435473</v>
      </c>
      <c r="H135">
        <f>SMALL('SimData1 and 2'!$B$9:$B$508,126)</f>
        <v>6.1366187889149177</v>
      </c>
      <c r="I135">
        <f>1/(COUNT('SimData1 and 2'!$B$9:$B$508)-1)+$I$134</f>
        <v>0.25050100200400821</v>
      </c>
      <c r="J135">
        <f>SMALL('SimData1 and 2'!$C$9:$C$508,126)</f>
        <v>6.1348641031206679</v>
      </c>
      <c r="K135">
        <f>1/(COUNT('SimData1 and 2'!$C$9:$C$508)-1)+$K$134</f>
        <v>0.25050100200400821</v>
      </c>
    </row>
    <row r="136" spans="1:11" x14ac:dyDescent="0.2">
      <c r="A136">
        <v>128</v>
      </c>
      <c r="B136">
        <v>7.9816298599488729</v>
      </c>
      <c r="C136">
        <v>9.0192854532008599</v>
      </c>
      <c r="H136">
        <f>SMALL('SimData1 and 2'!$B$9:$B$508,127)</f>
        <v>6.1477336976810308</v>
      </c>
      <c r="I136">
        <f>1/(COUNT('SimData1 and 2'!$B$9:$B$508)-1)+$I$135</f>
        <v>0.25250501002004028</v>
      </c>
      <c r="J136">
        <f>SMALL('SimData1 and 2'!$C$9:$C$508,127)</f>
        <v>6.1434959310136144</v>
      </c>
      <c r="K136">
        <f>1/(COUNT('SimData1 and 2'!$C$9:$C$508)-1)+$K$135</f>
        <v>0.25250501002004028</v>
      </c>
    </row>
    <row r="137" spans="1:11" x14ac:dyDescent="0.2">
      <c r="A137">
        <v>129</v>
      </c>
      <c r="B137">
        <v>5.1826745819395565</v>
      </c>
      <c r="C137">
        <v>5.9997391766227084</v>
      </c>
      <c r="H137">
        <f>SMALL('SimData1 and 2'!$B$9:$B$508,128)</f>
        <v>6.151416581353633</v>
      </c>
      <c r="I137">
        <f>1/(COUNT('SimData1 and 2'!$B$9:$B$508)-1)+$I$136</f>
        <v>0.25450901803607234</v>
      </c>
      <c r="J137">
        <f>SMALL('SimData1 and 2'!$C$9:$C$508,128)</f>
        <v>6.1562878729455033</v>
      </c>
      <c r="K137">
        <f>1/(COUNT('SimData1 and 2'!$C$9:$C$508)-1)+$K$136</f>
        <v>0.25450901803607234</v>
      </c>
    </row>
    <row r="138" spans="1:11" x14ac:dyDescent="0.2">
      <c r="A138">
        <v>130</v>
      </c>
      <c r="B138">
        <v>6.0034484181948908</v>
      </c>
      <c r="C138">
        <v>7.1826624420885805</v>
      </c>
      <c r="H138">
        <f>SMALL('SimData1 and 2'!$B$9:$B$508,129)</f>
        <v>6.1615155477964123</v>
      </c>
      <c r="I138">
        <f>1/(COUNT('SimData1 and 2'!$B$9:$B$508)-1)+$I$137</f>
        <v>0.25651302605210441</v>
      </c>
      <c r="J138">
        <f>SMALL('SimData1 and 2'!$C$9:$C$508,129)</f>
        <v>6.1681785467789858</v>
      </c>
      <c r="K138">
        <f>1/(COUNT('SimData1 and 2'!$C$9:$C$508)-1)+$K$137</f>
        <v>0.25651302605210441</v>
      </c>
    </row>
    <row r="139" spans="1:11" x14ac:dyDescent="0.2">
      <c r="A139">
        <v>131</v>
      </c>
      <c r="B139">
        <v>5.1826283780231801</v>
      </c>
      <c r="C139">
        <v>3.500001271218983</v>
      </c>
      <c r="H139">
        <f>SMALL('SimData1 and 2'!$B$9:$B$508,130)</f>
        <v>6.1784984995106571</v>
      </c>
      <c r="I139">
        <f>1/(COUNT('SimData1 and 2'!$B$9:$B$508)-1)+$I$138</f>
        <v>0.25851703406813648</v>
      </c>
      <c r="J139">
        <f>SMALL('SimData1 and 2'!$C$9:$C$508,130)</f>
        <v>6.1738631833545705</v>
      </c>
      <c r="K139">
        <f>1/(COUNT('SimData1 and 2'!$C$9:$C$508)-1)+$K$138</f>
        <v>0.25851703406813648</v>
      </c>
    </row>
    <row r="140" spans="1:11" x14ac:dyDescent="0.2">
      <c r="A140">
        <v>132</v>
      </c>
      <c r="B140">
        <v>7.2275950193773602</v>
      </c>
      <c r="C140">
        <v>7.1958139261224607</v>
      </c>
      <c r="H140">
        <f>SMALL('SimData1 and 2'!$B$9:$B$508,131)</f>
        <v>6.189879839898861</v>
      </c>
      <c r="I140">
        <f>1/(COUNT('SimData1 and 2'!$B$9:$B$508)-1)+$I$139</f>
        <v>0.26052104208416854</v>
      </c>
      <c r="J140">
        <f>SMALL('SimData1 and 2'!$C$9:$C$508,131)</f>
        <v>6.1870846440946456</v>
      </c>
      <c r="K140">
        <f>1/(COUNT('SimData1 and 2'!$C$9:$C$508)-1)+$K$139</f>
        <v>0.26052104208416854</v>
      </c>
    </row>
    <row r="141" spans="1:11" x14ac:dyDescent="0.2">
      <c r="A141">
        <v>133</v>
      </c>
      <c r="B141">
        <v>6.7441451032307143</v>
      </c>
      <c r="C141">
        <v>7.2243749666954056</v>
      </c>
      <c r="H141">
        <f>SMALL('SimData1 and 2'!$B$9:$B$508,132)</f>
        <v>6.1983075427454732</v>
      </c>
      <c r="I141">
        <f>1/(COUNT('SimData1 and 2'!$B$9:$B$508)-1)+$I$140</f>
        <v>0.26252505010020061</v>
      </c>
      <c r="J141">
        <f>SMALL('SimData1 and 2'!$C$9:$C$508,132)</f>
        <v>6.1972537522341593</v>
      </c>
      <c r="K141">
        <f>1/(COUNT('SimData1 and 2'!$C$9:$C$508)-1)+$K$140</f>
        <v>0.26252505010020061</v>
      </c>
    </row>
    <row r="142" spans="1:11" x14ac:dyDescent="0.2">
      <c r="A142">
        <v>134</v>
      </c>
      <c r="B142">
        <v>6.0082549277210138</v>
      </c>
      <c r="C142">
        <v>7.2695081272700008</v>
      </c>
      <c r="H142">
        <f>SMALL('SimData1 and 2'!$B$9:$B$508,133)</f>
        <v>6.2038207590693535</v>
      </c>
      <c r="I142">
        <f>1/(COUNT('SimData1 and 2'!$B$9:$B$508)-1)+$I$141</f>
        <v>0.26452905811623267</v>
      </c>
      <c r="J142">
        <f>SMALL('SimData1 and 2'!$C$9:$C$508,133)</f>
        <v>6.2065332179871273</v>
      </c>
      <c r="K142">
        <f>1/(COUNT('SimData1 and 2'!$C$9:$C$508)-1)+$K$141</f>
        <v>0.26452905811623267</v>
      </c>
    </row>
    <row r="143" spans="1:11" x14ac:dyDescent="0.2">
      <c r="A143">
        <v>135</v>
      </c>
      <c r="B143">
        <v>6.3017731794286673</v>
      </c>
      <c r="C143">
        <v>3.5000008505125626</v>
      </c>
      <c r="H143">
        <f>SMALL('SimData1 and 2'!$B$9:$B$508,134)</f>
        <v>6.2163003265023153</v>
      </c>
      <c r="I143">
        <f>1/(COUNT('SimData1 and 2'!$B$9:$B$508)-1)+$I$142</f>
        <v>0.26653306613226474</v>
      </c>
      <c r="J143">
        <f>SMALL('SimData1 and 2'!$C$9:$C$508,134)</f>
        <v>6.2210085231440786</v>
      </c>
      <c r="K143">
        <f>1/(COUNT('SimData1 and 2'!$C$9:$C$508)-1)+$K$142</f>
        <v>0.26653306613226474</v>
      </c>
    </row>
    <row r="144" spans="1:11" x14ac:dyDescent="0.2">
      <c r="A144">
        <v>136</v>
      </c>
      <c r="B144">
        <v>6.0004444003888846</v>
      </c>
      <c r="C144">
        <v>7.1931771222739371</v>
      </c>
      <c r="H144">
        <f>SMALL('SimData1 and 2'!$B$9:$B$508,135)</f>
        <v>6.2302050335408143</v>
      </c>
      <c r="I144">
        <f>1/(COUNT('SimData1 and 2'!$B$9:$B$508)-1)+$I$143</f>
        <v>0.26853707414829681</v>
      </c>
      <c r="J144">
        <f>SMALL('SimData1 and 2'!$C$9:$C$508,135)</f>
        <v>6.2270972898635915</v>
      </c>
      <c r="K144">
        <f>1/(COUNT('SimData1 and 2'!$C$9:$C$508)-1)+$K$143</f>
        <v>0.26853707414829681</v>
      </c>
    </row>
    <row r="145" spans="1:11" x14ac:dyDescent="0.2">
      <c r="A145">
        <v>137</v>
      </c>
      <c r="B145">
        <v>7.1925298978463488</v>
      </c>
      <c r="C145">
        <v>7.2179762650710657</v>
      </c>
      <c r="H145">
        <f>SMALL('SimData1 and 2'!$B$9:$B$508,136)</f>
        <v>6.2371280495898471</v>
      </c>
      <c r="I145">
        <f>1/(COUNT('SimData1 and 2'!$B$9:$B$508)-1)+$I$144</f>
        <v>0.27054108216432887</v>
      </c>
      <c r="J145">
        <f>SMALL('SimData1 and 2'!$C$9:$C$508,136)</f>
        <v>6.2425592177707374</v>
      </c>
      <c r="K145">
        <f>1/(COUNT('SimData1 and 2'!$C$9:$C$508)-1)+$K$144</f>
        <v>0.27054108216432887</v>
      </c>
    </row>
    <row r="146" spans="1:11" x14ac:dyDescent="0.2">
      <c r="A146">
        <v>138</v>
      </c>
      <c r="B146">
        <v>7.7235783480731479</v>
      </c>
      <c r="C146">
        <v>7.2128864032764355</v>
      </c>
      <c r="H146">
        <f>SMALL('SimData1 and 2'!$B$9:$B$508,137)</f>
        <v>6.2523858621827308</v>
      </c>
      <c r="I146">
        <f>1/(COUNT('SimData1 and 2'!$B$9:$B$508)-1)+$I$145</f>
        <v>0.27254509018036094</v>
      </c>
      <c r="J146">
        <f>SMALL('SimData1 and 2'!$C$9:$C$508,137)</f>
        <v>6.2517983492338161</v>
      </c>
      <c r="K146">
        <f>1/(COUNT('SimData1 and 2'!$C$9:$C$508)-1)+$K$145</f>
        <v>0.27254509018036094</v>
      </c>
    </row>
    <row r="147" spans="1:11" x14ac:dyDescent="0.2">
      <c r="A147">
        <v>139</v>
      </c>
      <c r="B147">
        <v>8.4387527134710769</v>
      </c>
      <c r="C147">
        <v>6.003804063302991</v>
      </c>
      <c r="H147">
        <f>SMALL('SimData1 and 2'!$B$9:$B$508,138)</f>
        <v>6.2561843440835458</v>
      </c>
      <c r="I147">
        <f>1/(COUNT('SimData1 and 2'!$B$9:$B$508)-1)+$I$146</f>
        <v>0.274549098196393</v>
      </c>
      <c r="J147">
        <f>SMALL('SimData1 and 2'!$C$9:$C$508,138)</f>
        <v>6.2627696943221078</v>
      </c>
      <c r="K147">
        <f>1/(COUNT('SimData1 and 2'!$C$9:$C$508)-1)+$K$146</f>
        <v>0.274549098196393</v>
      </c>
    </row>
    <row r="148" spans="1:11" x14ac:dyDescent="0.2">
      <c r="A148">
        <v>140</v>
      </c>
      <c r="B148">
        <v>7.4288845681960094</v>
      </c>
      <c r="C148">
        <v>5.9986911118249528</v>
      </c>
      <c r="H148">
        <f>SMALL('SimData1 and 2'!$B$9:$B$508,139)</f>
        <v>6.2688747814333059</v>
      </c>
      <c r="I148">
        <f>1/(COUNT('SimData1 and 2'!$B$9:$B$508)-1)+$I$147</f>
        <v>0.27655310621242507</v>
      </c>
      <c r="J148">
        <f>SMALL('SimData1 and 2'!$C$9:$C$508,139)</f>
        <v>6.274110077262681</v>
      </c>
      <c r="K148">
        <f>1/(COUNT('SimData1 and 2'!$C$9:$C$508)-1)+$K$147</f>
        <v>0.27655310621242507</v>
      </c>
    </row>
    <row r="149" spans="1:11" x14ac:dyDescent="0.2">
      <c r="A149">
        <v>141</v>
      </c>
      <c r="B149">
        <v>7.3569314087273749</v>
      </c>
      <c r="C149">
        <v>3.5000057837911829</v>
      </c>
      <c r="H149">
        <f>SMALL('SimData1 and 2'!$B$9:$B$508,140)</f>
        <v>6.2847191741106148</v>
      </c>
      <c r="I149">
        <f>1/(COUNT('SimData1 and 2'!$B$9:$B$508)-1)+$I$148</f>
        <v>0.27855711422845714</v>
      </c>
      <c r="J149">
        <f>SMALL('SimData1 and 2'!$C$9:$C$508,140)</f>
        <v>6.2847500027381518</v>
      </c>
      <c r="K149">
        <f>1/(COUNT('SimData1 and 2'!$C$9:$C$508)-1)+$K$148</f>
        <v>0.27855711422845714</v>
      </c>
    </row>
    <row r="150" spans="1:11" x14ac:dyDescent="0.2">
      <c r="A150">
        <v>142</v>
      </c>
      <c r="B150">
        <v>8.2555907397034503</v>
      </c>
      <c r="C150">
        <v>15.399942887046731</v>
      </c>
      <c r="H150">
        <f>SMALL('SimData1 and 2'!$B$9:$B$508,141)</f>
        <v>6.290203945520374</v>
      </c>
      <c r="I150">
        <f>1/(COUNT('SimData1 and 2'!$B$9:$B$508)-1)+$I$149</f>
        <v>0.2805611222444892</v>
      </c>
      <c r="J150">
        <f>SMALL('SimData1 and 2'!$C$9:$C$508,141)</f>
        <v>6.2934601134703616</v>
      </c>
      <c r="K150">
        <f>1/(COUNT('SimData1 and 2'!$C$9:$C$508)-1)+$K$149</f>
        <v>0.2805611222444892</v>
      </c>
    </row>
    <row r="151" spans="1:11" x14ac:dyDescent="0.2">
      <c r="A151">
        <v>143</v>
      </c>
      <c r="B151">
        <v>6.1615155477964123</v>
      </c>
      <c r="C151">
        <v>6.4548762387651974</v>
      </c>
      <c r="H151">
        <f>SMALL('SimData1 and 2'!$B$9:$B$508,142)</f>
        <v>6.3017731794286673</v>
      </c>
      <c r="I151">
        <f>1/(COUNT('SimData1 and 2'!$B$9:$B$508)-1)+$I$150</f>
        <v>0.28256513026052127</v>
      </c>
      <c r="J151">
        <f>SMALL('SimData1 and 2'!$C$9:$C$508,142)</f>
        <v>6.3055166332030659</v>
      </c>
      <c r="K151">
        <f>1/(COUNT('SimData1 and 2'!$C$9:$C$508)-1)+$K$150</f>
        <v>0.28256513026052127</v>
      </c>
    </row>
    <row r="152" spans="1:11" x14ac:dyDescent="0.2">
      <c r="A152">
        <v>144</v>
      </c>
      <c r="B152">
        <v>6.2561843440835458</v>
      </c>
      <c r="C152">
        <v>3.5000052248799465</v>
      </c>
      <c r="H152">
        <f>SMALL('SimData1 and 2'!$B$9:$B$508,143)</f>
        <v>6.3107793966973258</v>
      </c>
      <c r="I152">
        <f>1/(COUNT('SimData1 and 2'!$B$9:$B$508)-1)+$I$151</f>
        <v>0.28456913827655334</v>
      </c>
      <c r="J152">
        <f>SMALL('SimData1 and 2'!$C$9:$C$508,143)</f>
        <v>6.3183058133221301</v>
      </c>
      <c r="K152">
        <f>1/(COUNT('SimData1 and 2'!$C$9:$C$508)-1)+$K$151</f>
        <v>0.28456913827655334</v>
      </c>
    </row>
    <row r="153" spans="1:11" x14ac:dyDescent="0.2">
      <c r="A153">
        <v>145</v>
      </c>
      <c r="B153">
        <v>7.2419239829660658</v>
      </c>
      <c r="C153">
        <v>3.500004754925873</v>
      </c>
      <c r="H153">
        <f>SMALL('SimData1 and 2'!$B$9:$B$508,144)</f>
        <v>6.3253726268032491</v>
      </c>
      <c r="I153">
        <f>1/(COUNT('SimData1 and 2'!$B$9:$B$508)-1)+$I$152</f>
        <v>0.2865731462925854</v>
      </c>
      <c r="J153">
        <f>SMALL('SimData1 and 2'!$C$9:$C$508,144)</f>
        <v>6.3255783348933239</v>
      </c>
      <c r="K153">
        <f>1/(COUNT('SimData1 and 2'!$C$9:$C$508)-1)+$K$152</f>
        <v>0.2865731462925854</v>
      </c>
    </row>
    <row r="154" spans="1:11" x14ac:dyDescent="0.2">
      <c r="A154">
        <v>146</v>
      </c>
      <c r="B154">
        <v>7.2071035591473791</v>
      </c>
      <c r="C154">
        <v>7.9567088245935063</v>
      </c>
      <c r="H154">
        <f>SMALL('SimData1 and 2'!$B$9:$B$508,145)</f>
        <v>6.3376042645794328</v>
      </c>
      <c r="I154">
        <f>1/(COUNT('SimData1 and 2'!$B$9:$B$508)-1)+$I$153</f>
        <v>0.28857715430861747</v>
      </c>
      <c r="J154">
        <f>SMALL('SimData1 and 2'!$C$9:$C$508,145)</f>
        <v>6.3370611121327549</v>
      </c>
      <c r="K154">
        <f>1/(COUNT('SimData1 and 2'!$C$9:$C$508)-1)+$K$153</f>
        <v>0.28857715430861747</v>
      </c>
    </row>
    <row r="155" spans="1:11" x14ac:dyDescent="0.2">
      <c r="A155">
        <v>147</v>
      </c>
      <c r="B155">
        <v>8.4387647226058036</v>
      </c>
      <c r="C155">
        <v>7.252920852974392</v>
      </c>
      <c r="H155">
        <f>SMALL('SimData1 and 2'!$B$9:$B$508,146)</f>
        <v>6.3480945005929295</v>
      </c>
      <c r="I155">
        <f>1/(COUNT('SimData1 and 2'!$B$9:$B$508)-1)+$I$154</f>
        <v>0.29058116232464953</v>
      </c>
      <c r="J155">
        <f>SMALL('SimData1 and 2'!$C$9:$C$508,146)</f>
        <v>6.3467722992618523</v>
      </c>
      <c r="K155">
        <f>1/(COUNT('SimData1 and 2'!$C$9:$C$508)-1)+$K$154</f>
        <v>0.29058116232464953</v>
      </c>
    </row>
    <row r="156" spans="1:11" x14ac:dyDescent="0.2">
      <c r="A156">
        <v>148</v>
      </c>
      <c r="B156">
        <v>8.4387171935447469</v>
      </c>
      <c r="C156">
        <v>6.8704746839176707</v>
      </c>
      <c r="H156">
        <f>SMALL('SimData1 and 2'!$B$9:$B$508,147)</f>
        <v>6.3548048603238989</v>
      </c>
      <c r="I156">
        <f>1/(COUNT('SimData1 and 2'!$B$9:$B$508)-1)+$I$155</f>
        <v>0.2925851703406816</v>
      </c>
      <c r="J156">
        <f>SMALL('SimData1 and 2'!$C$9:$C$508,147)</f>
        <v>6.3586277507983437</v>
      </c>
      <c r="K156">
        <f>1/(COUNT('SimData1 and 2'!$C$9:$C$508)-1)+$K$155</f>
        <v>0.2925851703406816</v>
      </c>
    </row>
    <row r="157" spans="1:11" x14ac:dyDescent="0.2">
      <c r="A157">
        <v>149</v>
      </c>
      <c r="B157">
        <v>6.4448180734935168</v>
      </c>
      <c r="C157">
        <v>7.2248124745838727</v>
      </c>
      <c r="H157">
        <f>SMALL('SimData1 and 2'!$B$9:$B$508,148)</f>
        <v>6.3686810247117878</v>
      </c>
      <c r="I157">
        <f>1/(COUNT('SimData1 and 2'!$B$9:$B$508)-1)+$I$156</f>
        <v>0.29458917835671367</v>
      </c>
      <c r="J157">
        <f>SMALL('SimData1 and 2'!$C$9:$C$508,148)</f>
        <v>6.3710479533296862</v>
      </c>
      <c r="K157">
        <f>1/(COUNT('SimData1 and 2'!$C$9:$C$508)-1)+$K$156</f>
        <v>0.29458917835671367</v>
      </c>
    </row>
    <row r="158" spans="1:11" x14ac:dyDescent="0.2">
      <c r="A158">
        <v>150</v>
      </c>
      <c r="B158">
        <v>5.1826175257830931</v>
      </c>
      <c r="C158">
        <v>7.2165224600491547</v>
      </c>
      <c r="H158">
        <f>SMALL('SimData1 and 2'!$B$9:$B$508,149)</f>
        <v>6.3763443662274844</v>
      </c>
      <c r="I158">
        <f>1/(COUNT('SimData1 and 2'!$B$9:$B$508)-1)+$I$157</f>
        <v>0.29659318637274573</v>
      </c>
      <c r="J158">
        <f>SMALL('SimData1 and 2'!$C$9:$C$508,149)</f>
        <v>6.3802119402199446</v>
      </c>
      <c r="K158">
        <f>1/(COUNT('SimData1 and 2'!$C$9:$C$508)-1)+$K$157</f>
        <v>0.29659318637274573</v>
      </c>
    </row>
    <row r="159" spans="1:11" x14ac:dyDescent="0.2">
      <c r="A159">
        <v>151</v>
      </c>
      <c r="B159">
        <v>7.2146293497612373</v>
      </c>
      <c r="C159">
        <v>7.7536298186495243</v>
      </c>
      <c r="H159">
        <f>SMALL('SimData1 and 2'!$B$9:$B$508,150)</f>
        <v>6.3861638953893332</v>
      </c>
      <c r="I159">
        <f>1/(COUNT('SimData1 and 2'!$B$9:$B$508)-1)+$I$158</f>
        <v>0.2985971943887778</v>
      </c>
      <c r="J159">
        <f>SMALL('SimData1 and 2'!$C$9:$C$508,150)</f>
        <v>6.3916321463513048</v>
      </c>
      <c r="K159">
        <f>1/(COUNT('SimData1 and 2'!$C$9:$C$508)-1)+$K$158</f>
        <v>0.2985971943887778</v>
      </c>
    </row>
    <row r="160" spans="1:11" x14ac:dyDescent="0.2">
      <c r="A160">
        <v>152</v>
      </c>
      <c r="B160">
        <v>5.2207322313721622</v>
      </c>
      <c r="C160">
        <v>7.2845627839936773</v>
      </c>
      <c r="H160">
        <f>SMALL('SimData1 and 2'!$B$9:$B$508,151)</f>
        <v>6.3970803474685987</v>
      </c>
      <c r="I160">
        <f>1/(COUNT('SimData1 and 2'!$B$9:$B$508)-1)+$I$159</f>
        <v>0.30060120240480986</v>
      </c>
      <c r="J160">
        <f>SMALL('SimData1 and 2'!$C$9:$C$508,151)</f>
        <v>6.3931161262834744</v>
      </c>
      <c r="K160">
        <f>1/(COUNT('SimData1 and 2'!$C$9:$C$508)-1)+$K$159</f>
        <v>0.30060120240480986</v>
      </c>
    </row>
    <row r="161" spans="1:11" x14ac:dyDescent="0.2">
      <c r="A161">
        <v>153</v>
      </c>
      <c r="B161">
        <v>6.4461642207114487</v>
      </c>
      <c r="C161">
        <v>7.2934978570531204</v>
      </c>
      <c r="H161">
        <f>SMALL('SimData1 and 2'!$B$9:$B$508,152)</f>
        <v>6.4114882919007394</v>
      </c>
      <c r="I161">
        <f>1/(COUNT('SimData1 and 2'!$B$9:$B$508)-1)+$I$160</f>
        <v>0.30260521042084193</v>
      </c>
      <c r="J161">
        <f>SMALL('SimData1 and 2'!$C$9:$C$508,152)</f>
        <v>6.4046408388151121</v>
      </c>
      <c r="K161">
        <f>1/(COUNT('SimData1 and 2'!$C$9:$C$508)-1)+$K$160</f>
        <v>0.30260521042084193</v>
      </c>
    </row>
    <row r="162" spans="1:11" x14ac:dyDescent="0.2">
      <c r="A162">
        <v>154</v>
      </c>
      <c r="B162">
        <v>7.219316745496716</v>
      </c>
      <c r="C162">
        <v>6.0064624470830985</v>
      </c>
      <c r="H162">
        <f>SMALL('SimData1 and 2'!$B$9:$B$508,153)</f>
        <v>6.4147962761321917</v>
      </c>
      <c r="I162">
        <f>1/(COUNT('SimData1 and 2'!$B$9:$B$508)-1)+$I$161</f>
        <v>0.304609218436874</v>
      </c>
      <c r="J162">
        <f>SMALL('SimData1 and 2'!$C$9:$C$508,153)</f>
        <v>6.4171420016055256</v>
      </c>
      <c r="K162">
        <f>1/(COUNT('SimData1 and 2'!$C$9:$C$508)-1)+$K$161</f>
        <v>0.304609218436874</v>
      </c>
    </row>
    <row r="163" spans="1:11" x14ac:dyDescent="0.2">
      <c r="A163">
        <v>155</v>
      </c>
      <c r="B163">
        <v>5.6700461095890278</v>
      </c>
      <c r="C163">
        <v>5.9978671071304044</v>
      </c>
      <c r="H163">
        <f>SMALL('SimData1 and 2'!$B$9:$B$508,154)</f>
        <v>6.4338349398312014</v>
      </c>
      <c r="I163">
        <f>1/(COUNT('SimData1 and 2'!$B$9:$B$508)-1)+$I$162</f>
        <v>0.30661322645290606</v>
      </c>
      <c r="J163">
        <f>SMALL('SimData1 and 2'!$C$9:$C$508,154)</f>
        <v>6.4314155549692984</v>
      </c>
      <c r="K163">
        <f>1/(COUNT('SimData1 and 2'!$C$9:$C$508)-1)+$K$162</f>
        <v>0.30661322645290606</v>
      </c>
    </row>
    <row r="164" spans="1:11" x14ac:dyDescent="0.2">
      <c r="A164">
        <v>156</v>
      </c>
      <c r="B164">
        <v>7.2124374691672033</v>
      </c>
      <c r="C164">
        <v>15.399967340587132</v>
      </c>
      <c r="H164">
        <f>SMALL('SimData1 and 2'!$B$9:$B$508,155)</f>
        <v>6.4448180734935168</v>
      </c>
      <c r="I164">
        <f>1/(COUNT('SimData1 and 2'!$B$9:$B$508)-1)+$I$163</f>
        <v>0.30861723446893813</v>
      </c>
      <c r="J164">
        <f>SMALL('SimData1 and 2'!$C$9:$C$508,155)</f>
        <v>6.4402595041229258</v>
      </c>
      <c r="K164">
        <f>1/(COUNT('SimData1 and 2'!$C$9:$C$508)-1)+$K$163</f>
        <v>0.30861723446893813</v>
      </c>
    </row>
    <row r="165" spans="1:11" x14ac:dyDescent="0.2">
      <c r="A165">
        <v>157</v>
      </c>
      <c r="B165">
        <v>7.2197934758786149</v>
      </c>
      <c r="C165">
        <v>3.500005347803937</v>
      </c>
      <c r="H165">
        <f>SMALL('SimData1 and 2'!$B$9:$B$508,156)</f>
        <v>6.4461642207114487</v>
      </c>
      <c r="I165">
        <f>1/(COUNT('SimData1 and 2'!$B$9:$B$508)-1)+$I$164</f>
        <v>0.31062124248497019</v>
      </c>
      <c r="J165">
        <f>SMALL('SimData1 and 2'!$C$9:$C$508,156)</f>
        <v>6.4548762387651974</v>
      </c>
      <c r="K165">
        <f>1/(COUNT('SimData1 and 2'!$C$9:$C$508)-1)+$K$164</f>
        <v>0.31062124248497019</v>
      </c>
    </row>
    <row r="166" spans="1:11" x14ac:dyDescent="0.2">
      <c r="A166">
        <v>158</v>
      </c>
      <c r="B166">
        <v>8.4387289237362122</v>
      </c>
      <c r="C166">
        <v>7.9701226406178973</v>
      </c>
      <c r="H166">
        <f>SMALL('SimData1 and 2'!$B$9:$B$508,157)</f>
        <v>6.4583966714995231</v>
      </c>
      <c r="I166">
        <f>1/(COUNT('SimData1 and 2'!$B$9:$B$508)-1)+$I$165</f>
        <v>0.31262525050100226</v>
      </c>
      <c r="J166">
        <f>SMALL('SimData1 and 2'!$C$9:$C$508,157)</f>
        <v>6.4633064968591647</v>
      </c>
      <c r="K166">
        <f>1/(COUNT('SimData1 and 2'!$C$9:$C$508)-1)+$K$165</f>
        <v>0.31262525050100226</v>
      </c>
    </row>
    <row r="167" spans="1:11" x14ac:dyDescent="0.2">
      <c r="A167">
        <v>159</v>
      </c>
      <c r="B167">
        <v>7.9776767274742824</v>
      </c>
      <c r="C167">
        <v>6.1972537522341593</v>
      </c>
      <c r="H167">
        <f>SMALL('SimData1 and 2'!$B$9:$B$508,158)</f>
        <v>6.46875961780027</v>
      </c>
      <c r="I167">
        <f>1/(COUNT('SimData1 and 2'!$B$9:$B$508)-1)+$I$166</f>
        <v>0.31462925851703433</v>
      </c>
      <c r="J167">
        <f>SMALL('SimData1 and 2'!$C$9:$C$508,158)</f>
        <v>6.4705090787873099</v>
      </c>
      <c r="K167">
        <f>1/(COUNT('SimData1 and 2'!$C$9:$C$508)-1)+$K$166</f>
        <v>0.31462925851703433</v>
      </c>
    </row>
    <row r="168" spans="1:11" x14ac:dyDescent="0.2">
      <c r="A168">
        <v>160</v>
      </c>
      <c r="B168">
        <v>7.4381314454799599</v>
      </c>
      <c r="C168">
        <v>7.7735582371393228</v>
      </c>
      <c r="H168">
        <f>SMALL('SimData1 and 2'!$B$9:$B$508,159)</f>
        <v>6.4799775793747498</v>
      </c>
      <c r="I168">
        <f>1/(COUNT('SimData1 and 2'!$B$9:$B$508)-1)+$I$167</f>
        <v>0.31663326653306639</v>
      </c>
      <c r="J168">
        <f>SMALL('SimData1 and 2'!$C$9:$C$508,159)</f>
        <v>6.4839606159072947</v>
      </c>
      <c r="K168">
        <f>1/(COUNT('SimData1 and 2'!$C$9:$C$508)-1)+$K$167</f>
        <v>0.31663326653306639</v>
      </c>
    </row>
    <row r="169" spans="1:11" x14ac:dyDescent="0.2">
      <c r="A169">
        <v>161</v>
      </c>
      <c r="B169">
        <v>7.1986309312793271</v>
      </c>
      <c r="C169">
        <v>7.1889242274835636</v>
      </c>
      <c r="H169">
        <f>SMALL('SimData1 and 2'!$B$9:$B$508,160)</f>
        <v>6.4884809562598047</v>
      </c>
      <c r="I169">
        <f>1/(COUNT('SimData1 and 2'!$B$9:$B$508)-1)+$I$168</f>
        <v>0.31863727454909846</v>
      </c>
      <c r="J169">
        <f>SMALL('SimData1 and 2'!$C$9:$C$508,160)</f>
        <v>6.4925212745240399</v>
      </c>
      <c r="K169">
        <f>1/(COUNT('SimData1 and 2'!$C$9:$C$508)-1)+$K$168</f>
        <v>0.31863727454909846</v>
      </c>
    </row>
    <row r="170" spans="1:11" x14ac:dyDescent="0.2">
      <c r="A170">
        <v>162</v>
      </c>
      <c r="B170">
        <v>7.2020596895585571</v>
      </c>
      <c r="C170">
        <v>15.399938533854264</v>
      </c>
      <c r="H170">
        <f>SMALL('SimData1 and 2'!$B$9:$B$508,161)</f>
        <v>6.5085558112063593</v>
      </c>
      <c r="I170">
        <f>1/(COUNT('SimData1 and 2'!$B$9:$B$508)-1)+$I$169</f>
        <v>0.32064128256513053</v>
      </c>
      <c r="J170">
        <f>SMALL('SimData1 and 2'!$C$9:$C$508,161)</f>
        <v>6.5074450292449635</v>
      </c>
      <c r="K170">
        <f>1/(COUNT('SimData1 and 2'!$C$9:$C$508)-1)+$K$169</f>
        <v>0.32064128256513053</v>
      </c>
    </row>
    <row r="171" spans="1:11" x14ac:dyDescent="0.2">
      <c r="A171">
        <v>163</v>
      </c>
      <c r="B171">
        <v>5.9986819713173647</v>
      </c>
      <c r="C171">
        <v>6.0032263474335323</v>
      </c>
      <c r="H171">
        <f>SMALL('SimData1 and 2'!$B$9:$B$508,162)</f>
        <v>6.5190999610261979</v>
      </c>
      <c r="I171">
        <f>1/(COUNT('SimData1 and 2'!$B$9:$B$508)-1)+$I$170</f>
        <v>0.32264529058116259</v>
      </c>
      <c r="J171">
        <f>SMALL('SimData1 and 2'!$C$9:$C$508,162)</f>
        <v>6.5189071633860873</v>
      </c>
      <c r="K171">
        <f>1/(COUNT('SimData1 and 2'!$C$9:$C$508)-1)+$K$170</f>
        <v>0.32264529058116259</v>
      </c>
    </row>
    <row r="172" spans="1:11" x14ac:dyDescent="0.2">
      <c r="A172">
        <v>164</v>
      </c>
      <c r="B172">
        <v>6.4114882919007394</v>
      </c>
      <c r="C172">
        <v>7.1750578545082018</v>
      </c>
      <c r="H172">
        <f>SMALL('SimData1 and 2'!$B$9:$B$508,163)</f>
        <v>6.5356241100675607</v>
      </c>
      <c r="I172">
        <f>1/(COUNT('SimData1 and 2'!$B$9:$B$508)-1)+$I$171</f>
        <v>0.32464929859719466</v>
      </c>
      <c r="J172">
        <f>SMALL('SimData1 and 2'!$C$9:$C$508,163)</f>
        <v>6.5469807627726633</v>
      </c>
      <c r="K172">
        <f>1/(COUNT('SimData1 and 2'!$C$9:$C$508)-1)+$K$171</f>
        <v>0.32464929859719466</v>
      </c>
    </row>
    <row r="173" spans="1:11" x14ac:dyDescent="0.2">
      <c r="A173">
        <v>165</v>
      </c>
      <c r="B173">
        <v>8.3831474392076757</v>
      </c>
      <c r="C173">
        <v>6.6754089714960765</v>
      </c>
      <c r="H173">
        <f>SMALL('SimData1 and 2'!$B$9:$B$508,164)</f>
        <v>6.5606044637606082</v>
      </c>
      <c r="I173">
        <f>1/(COUNT('SimData1 and 2'!$B$9:$B$508)-1)+$I$172</f>
        <v>0.32665330661322672</v>
      </c>
      <c r="J173">
        <f>SMALL('SimData1 and 2'!$C$9:$C$508,164)</f>
        <v>6.5614262438987714</v>
      </c>
      <c r="K173">
        <f>1/(COUNT('SimData1 and 2'!$C$9:$C$508)-1)+$K$172</f>
        <v>0.32665330661322672</v>
      </c>
    </row>
    <row r="174" spans="1:11" x14ac:dyDescent="0.2">
      <c r="A174">
        <v>166</v>
      </c>
      <c r="B174">
        <v>5.1826530899492269</v>
      </c>
      <c r="C174">
        <v>7.9761827109402423</v>
      </c>
      <c r="H174">
        <f>SMALL('SimData1 and 2'!$B$9:$B$508,165)</f>
        <v>6.5653066598849925</v>
      </c>
      <c r="I174">
        <f>1/(COUNT('SimData1 and 2'!$B$9:$B$508)-1)+$I$173</f>
        <v>0.32865731462925879</v>
      </c>
      <c r="J174">
        <f>SMALL('SimData1 and 2'!$C$9:$C$508,165)</f>
        <v>6.5689714625322333</v>
      </c>
      <c r="K174">
        <f>1/(COUNT('SimData1 and 2'!$C$9:$C$508)-1)+$K$173</f>
        <v>0.32865731462925879</v>
      </c>
    </row>
    <row r="175" spans="1:11" x14ac:dyDescent="0.2">
      <c r="A175">
        <v>167</v>
      </c>
      <c r="B175">
        <v>5.2343178722245476</v>
      </c>
      <c r="C175">
        <v>7.2918031862268231</v>
      </c>
      <c r="H175">
        <f>SMALL('SimData1 and 2'!$B$9:$B$508,166)</f>
        <v>6.5838652821034733</v>
      </c>
      <c r="I175">
        <f>1/(COUNT('SimData1 and 2'!$B$9:$B$508)-1)+$I$174</f>
        <v>0.33066132264529086</v>
      </c>
      <c r="J175">
        <f>SMALL('SimData1 and 2'!$C$9:$C$508,166)</f>
        <v>6.5828118664246631</v>
      </c>
      <c r="K175">
        <f>1/(COUNT('SimData1 and 2'!$C$9:$C$508)-1)+$K$174</f>
        <v>0.33066132264529086</v>
      </c>
    </row>
    <row r="176" spans="1:11" x14ac:dyDescent="0.2">
      <c r="A176">
        <v>168</v>
      </c>
      <c r="B176">
        <v>7.232382222657086</v>
      </c>
      <c r="C176">
        <v>6.3931161262834744</v>
      </c>
      <c r="H176">
        <f>SMALL('SimData1 and 2'!$B$9:$B$508,167)</f>
        <v>6.6001395171809785</v>
      </c>
      <c r="I176">
        <f>1/(COUNT('SimData1 and 2'!$B$9:$B$508)-1)+$I$175</f>
        <v>0.33266533066132292</v>
      </c>
      <c r="J176">
        <f>SMALL('SimData1 and 2'!$C$9:$C$508,167)</f>
        <v>6.5986111698801846</v>
      </c>
      <c r="K176">
        <f>1/(COUNT('SimData1 and 2'!$C$9:$C$508)-1)+$K$175</f>
        <v>0.33266533066132292</v>
      </c>
    </row>
    <row r="177" spans="1:11" x14ac:dyDescent="0.2">
      <c r="A177">
        <v>169</v>
      </c>
      <c r="B177">
        <v>5.675241104254221</v>
      </c>
      <c r="C177">
        <v>6.1562878729455033</v>
      </c>
      <c r="H177">
        <f>SMALL('SimData1 and 2'!$B$9:$B$508,168)</f>
        <v>6.6157474811140373</v>
      </c>
      <c r="I177">
        <f>1/(COUNT('SimData1 and 2'!$B$9:$B$508)-1)+$I$176</f>
        <v>0.33466933867735499</v>
      </c>
      <c r="J177">
        <f>SMALL('SimData1 and 2'!$C$9:$C$508,168)</f>
        <v>6.6165658847245528</v>
      </c>
      <c r="K177">
        <f>1/(COUNT('SimData1 and 2'!$C$9:$C$508)-1)+$K$176</f>
        <v>0.33466933867735499</v>
      </c>
    </row>
    <row r="178" spans="1:11" x14ac:dyDescent="0.2">
      <c r="A178">
        <v>170</v>
      </c>
      <c r="B178">
        <v>7.7692462687927692</v>
      </c>
      <c r="C178">
        <v>6.8930672989951347</v>
      </c>
      <c r="H178">
        <f>SMALL('SimData1 and 2'!$B$9:$B$508,169)</f>
        <v>6.6242745583578104</v>
      </c>
      <c r="I178">
        <f>1/(COUNT('SimData1 and 2'!$B$9:$B$508)-1)+$I$177</f>
        <v>0.33667334669338705</v>
      </c>
      <c r="J178">
        <f>SMALL('SimData1 and 2'!$C$9:$C$508,169)</f>
        <v>6.6262709222761975</v>
      </c>
      <c r="K178">
        <f>1/(COUNT('SimData1 and 2'!$C$9:$C$508)-1)+$K$177</f>
        <v>0.33667334669338705</v>
      </c>
    </row>
    <row r="179" spans="1:11" x14ac:dyDescent="0.2">
      <c r="A179">
        <v>171</v>
      </c>
      <c r="B179">
        <v>6.0017179715569666</v>
      </c>
      <c r="C179">
        <v>6.9301826218778935</v>
      </c>
      <c r="H179">
        <f>SMALL('SimData1 and 2'!$B$9:$B$508,170)</f>
        <v>6.6447654039849056</v>
      </c>
      <c r="I179">
        <f>1/(COUNT('SimData1 and 2'!$B$9:$B$508)-1)+$I$178</f>
        <v>0.33867735470941912</v>
      </c>
      <c r="J179">
        <f>SMALL('SimData1 and 2'!$C$9:$C$508,170)</f>
        <v>6.6374276680837347</v>
      </c>
      <c r="K179">
        <f>1/(COUNT('SimData1 and 2'!$C$9:$C$508)-1)+$K$178</f>
        <v>0.33867735470941912</v>
      </c>
    </row>
    <row r="180" spans="1:11" x14ac:dyDescent="0.2">
      <c r="A180">
        <v>172</v>
      </c>
      <c r="B180">
        <v>7.2170762933857837</v>
      </c>
      <c r="C180">
        <v>7.2856527804587872</v>
      </c>
      <c r="H180">
        <f>SMALL('SimData1 and 2'!$B$9:$B$508,171)</f>
        <v>6.6574592953211766</v>
      </c>
      <c r="I180">
        <f>1/(COUNT('SimData1 and 2'!$B$9:$B$508)-1)+$I$179</f>
        <v>0.34068136272545119</v>
      </c>
      <c r="J180">
        <f>SMALL('SimData1 and 2'!$C$9:$C$508,171)</f>
        <v>6.6647422163743215</v>
      </c>
      <c r="K180">
        <f>1/(COUNT('SimData1 and 2'!$C$9:$C$508)-1)+$K$179</f>
        <v>0.34068136272545119</v>
      </c>
    </row>
    <row r="181" spans="1:11" x14ac:dyDescent="0.2">
      <c r="A181">
        <v>173</v>
      </c>
      <c r="B181">
        <v>8.0255811918375102</v>
      </c>
      <c r="C181">
        <v>3.5000018514421898</v>
      </c>
      <c r="H181">
        <f>SMALL('SimData1 and 2'!$B$9:$B$508,172)</f>
        <v>6.6691571351255394</v>
      </c>
      <c r="I181">
        <f>1/(COUNT('SimData1 and 2'!$B$9:$B$508)-1)+$I$180</f>
        <v>0.34268537074148325</v>
      </c>
      <c r="J181">
        <f>SMALL('SimData1 and 2'!$C$9:$C$508,172)</f>
        <v>6.6754089714960765</v>
      </c>
      <c r="K181">
        <f>1/(COUNT('SimData1 and 2'!$C$9:$C$508)-1)+$K$180</f>
        <v>0.34268537074148325</v>
      </c>
    </row>
    <row r="182" spans="1:11" x14ac:dyDescent="0.2">
      <c r="A182">
        <v>174</v>
      </c>
      <c r="B182">
        <v>7.2149004907465502</v>
      </c>
      <c r="C182">
        <v>3.5000024866096897</v>
      </c>
      <c r="H182">
        <f>SMALL('SimData1 and 2'!$B$9:$B$508,173)</f>
        <v>6.6929925257399132</v>
      </c>
      <c r="I182">
        <f>1/(COUNT('SimData1 and 2'!$B$9:$B$508)-1)+$I$181</f>
        <v>0.34468937875751532</v>
      </c>
      <c r="J182">
        <f>SMALL('SimData1 and 2'!$C$9:$C$508,173)</f>
        <v>6.6876729705558828</v>
      </c>
      <c r="K182">
        <f>1/(COUNT('SimData1 and 2'!$C$9:$C$508)-1)+$K$181</f>
        <v>0.34468937875751532</v>
      </c>
    </row>
    <row r="183" spans="1:11" x14ac:dyDescent="0.2">
      <c r="A183">
        <v>175</v>
      </c>
      <c r="B183">
        <v>5.7200699879981762</v>
      </c>
      <c r="C183">
        <v>6.0007633480815237</v>
      </c>
      <c r="H183">
        <f>SMALL('SimData1 and 2'!$B$9:$B$508,174)</f>
        <v>6.6979656758275095</v>
      </c>
      <c r="I183">
        <f>1/(COUNT('SimData1 and 2'!$B$9:$B$508)-1)+$I$182</f>
        <v>0.34669338677354739</v>
      </c>
      <c r="J183">
        <f>SMALL('SimData1 and 2'!$C$9:$C$508,174)</f>
        <v>6.7087132758443957</v>
      </c>
      <c r="K183">
        <f>1/(COUNT('SimData1 and 2'!$C$9:$C$508)-1)+$K$182</f>
        <v>0.34669338677354739</v>
      </c>
    </row>
    <row r="184" spans="1:11" x14ac:dyDescent="0.2">
      <c r="A184">
        <v>176</v>
      </c>
      <c r="B184">
        <v>7.4051413265315666</v>
      </c>
      <c r="C184">
        <v>6.9194731582869</v>
      </c>
      <c r="H184">
        <f>SMALL('SimData1 and 2'!$B$9:$B$508,175)</f>
        <v>6.7126439479309798</v>
      </c>
      <c r="I184">
        <f>1/(COUNT('SimData1 and 2'!$B$9:$B$508)-1)+$I$183</f>
        <v>0.34869739478957945</v>
      </c>
      <c r="J184">
        <f>SMALL('SimData1 and 2'!$C$9:$C$508,175)</f>
        <v>6.7198622363665814</v>
      </c>
      <c r="K184">
        <f>1/(COUNT('SimData1 and 2'!$C$9:$C$508)-1)+$K$183</f>
        <v>0.34869739478957945</v>
      </c>
    </row>
    <row r="185" spans="1:11" x14ac:dyDescent="0.2">
      <c r="A185">
        <v>177</v>
      </c>
      <c r="B185">
        <v>7.9223283149671522</v>
      </c>
      <c r="C185">
        <v>7.8804874596562753</v>
      </c>
      <c r="H185">
        <f>SMALL('SimData1 and 2'!$B$9:$B$508,176)</f>
        <v>6.7287256497256358</v>
      </c>
      <c r="I185">
        <f>1/(COUNT('SimData1 and 2'!$B$9:$B$508)-1)+$I$184</f>
        <v>0.35070140280561152</v>
      </c>
      <c r="J185">
        <f>SMALL('SimData1 and 2'!$C$9:$C$508,176)</f>
        <v>6.728021374996966</v>
      </c>
      <c r="K185">
        <f>1/(COUNT('SimData1 and 2'!$C$9:$C$508)-1)+$K$184</f>
        <v>0.35070140280561152</v>
      </c>
    </row>
    <row r="186" spans="1:11" x14ac:dyDescent="0.2">
      <c r="A186">
        <v>178</v>
      </c>
      <c r="B186">
        <v>6.0023126032758505</v>
      </c>
      <c r="C186">
        <v>15.399993843264104</v>
      </c>
      <c r="H186">
        <f>SMALL('SimData1 and 2'!$B$9:$B$508,177)</f>
        <v>6.7441451032307143</v>
      </c>
      <c r="I186">
        <f>1/(COUNT('SimData1 and 2'!$B$9:$B$508)-1)+$I$185</f>
        <v>0.35270541082164358</v>
      </c>
      <c r="J186">
        <f>SMALL('SimData1 and 2'!$C$9:$C$508,177)</f>
        <v>6.7452995116950962</v>
      </c>
      <c r="K186">
        <f>1/(COUNT('SimData1 and 2'!$C$9:$C$508)-1)+$K$185</f>
        <v>0.35270541082164358</v>
      </c>
    </row>
    <row r="187" spans="1:11" x14ac:dyDescent="0.2">
      <c r="A187">
        <v>179</v>
      </c>
      <c r="B187">
        <v>8.4387572962348472</v>
      </c>
      <c r="C187">
        <v>7.1920964909549934</v>
      </c>
      <c r="H187">
        <f>SMALL('SimData1 and 2'!$B$9:$B$508,178)</f>
        <v>6.7699726491040542</v>
      </c>
      <c r="I187">
        <f>1/(COUNT('SimData1 and 2'!$B$9:$B$508)-1)+$I$186</f>
        <v>0.35470941883767565</v>
      </c>
      <c r="J187">
        <f>SMALL('SimData1 and 2'!$C$9:$C$508,178)</f>
        <v>6.7720835073924892</v>
      </c>
      <c r="K187">
        <f>1/(COUNT('SimData1 and 2'!$C$9:$C$508)-1)+$K$186</f>
        <v>0.35470941883767565</v>
      </c>
    </row>
    <row r="188" spans="1:11" x14ac:dyDescent="0.2">
      <c r="A188">
        <v>180</v>
      </c>
      <c r="B188">
        <v>7.1094275124443067</v>
      </c>
      <c r="C188">
        <v>7.1980699277460429</v>
      </c>
      <c r="H188">
        <f>SMALL('SimData1 and 2'!$B$9:$B$508,179)</f>
        <v>6.7868822822339459</v>
      </c>
      <c r="I188">
        <f>1/(COUNT('SimData1 and 2'!$B$9:$B$508)-1)+$I$187</f>
        <v>0.35671342685370772</v>
      </c>
      <c r="J188">
        <f>SMALL('SimData1 and 2'!$C$9:$C$508,179)</f>
        <v>6.7868001257074884</v>
      </c>
      <c r="K188">
        <f>1/(COUNT('SimData1 and 2'!$C$9:$C$508)-1)+$K$187</f>
        <v>0.35671342685370772</v>
      </c>
    </row>
    <row r="189" spans="1:11" x14ac:dyDescent="0.2">
      <c r="A189">
        <v>181</v>
      </c>
      <c r="B189">
        <v>5.1826033420511797</v>
      </c>
      <c r="C189">
        <v>3.5000061559327471</v>
      </c>
      <c r="H189">
        <f>SMALL('SimData1 and 2'!$B$9:$B$508,180)</f>
        <v>6.7948603906014826</v>
      </c>
      <c r="I189">
        <f>1/(COUNT('SimData1 and 2'!$B$9:$B$508)-1)+$I$188</f>
        <v>0.35871743486973978</v>
      </c>
      <c r="J189">
        <f>SMALL('SimData1 and 2'!$C$9:$C$508,180)</f>
        <v>6.788656146466221</v>
      </c>
      <c r="K189">
        <f>1/(COUNT('SimData1 and 2'!$C$9:$C$508)-1)+$K$188</f>
        <v>0.35871743486973978</v>
      </c>
    </row>
    <row r="190" spans="1:11" x14ac:dyDescent="0.2">
      <c r="A190">
        <v>182</v>
      </c>
      <c r="B190">
        <v>8.3075938063738111</v>
      </c>
      <c r="C190">
        <v>15.399989266871014</v>
      </c>
      <c r="H190">
        <f>SMALL('SimData1 and 2'!$B$9:$B$508,181)</f>
        <v>6.8131436953776525</v>
      </c>
      <c r="I190">
        <f>1/(COUNT('SimData1 and 2'!$B$9:$B$508)-1)+$I$189</f>
        <v>0.36072144288577185</v>
      </c>
      <c r="J190">
        <f>SMALL('SimData1 and 2'!$C$9:$C$508,181)</f>
        <v>6.8094918360427723</v>
      </c>
      <c r="K190">
        <f>1/(COUNT('SimData1 and 2'!$C$9:$C$508)-1)+$K$189</f>
        <v>0.36072144288577185</v>
      </c>
    </row>
    <row r="191" spans="1:11" x14ac:dyDescent="0.2">
      <c r="A191">
        <v>183</v>
      </c>
      <c r="B191">
        <v>5.1826475109590637</v>
      </c>
      <c r="C191">
        <v>7.227802459790353</v>
      </c>
      <c r="H191">
        <f>SMALL('SimData1 and 2'!$B$9:$B$508,182)</f>
        <v>6.8232084712121797</v>
      </c>
      <c r="I191">
        <f>1/(COUNT('SimData1 and 2'!$B$9:$B$508)-1)+$I$190</f>
        <v>0.36272545090180391</v>
      </c>
      <c r="J191">
        <f>SMALL('SimData1 and 2'!$C$9:$C$508,182)</f>
        <v>6.825885956715239</v>
      </c>
      <c r="K191">
        <f>1/(COUNT('SimData1 and 2'!$C$9:$C$508)-1)+$K$190</f>
        <v>0.36272545090180391</v>
      </c>
    </row>
    <row r="192" spans="1:11" x14ac:dyDescent="0.2">
      <c r="A192">
        <v>184</v>
      </c>
      <c r="B192">
        <v>8.0299814721831169</v>
      </c>
      <c r="C192">
        <v>14.930562085462313</v>
      </c>
      <c r="H192">
        <f>SMALL('SimData1 and 2'!$B$9:$B$508,183)</f>
        <v>6.8381200535470077</v>
      </c>
      <c r="I192">
        <f>1/(COUNT('SimData1 and 2'!$B$9:$B$508)-1)+$I$191</f>
        <v>0.36472945891783598</v>
      </c>
      <c r="J192">
        <f>SMALL('SimData1 and 2'!$C$9:$C$508,183)</f>
        <v>6.8412357544833231</v>
      </c>
      <c r="K192">
        <f>1/(COUNT('SimData1 and 2'!$C$9:$C$508)-1)+$K$191</f>
        <v>0.36472945891783598</v>
      </c>
    </row>
    <row r="193" spans="1:11" x14ac:dyDescent="0.2">
      <c r="A193">
        <v>185</v>
      </c>
      <c r="B193">
        <v>6.2038207590693535</v>
      </c>
      <c r="C193">
        <v>7.9049234625139198</v>
      </c>
      <c r="H193">
        <f>SMALL('SimData1 and 2'!$B$9:$B$508,184)</f>
        <v>6.8525559348934717</v>
      </c>
      <c r="I193">
        <f>1/(COUNT('SimData1 and 2'!$B$9:$B$508)-1)+$I$192</f>
        <v>0.36673346693386805</v>
      </c>
      <c r="J193">
        <f>SMALL('SimData1 and 2'!$C$9:$C$508,184)</f>
        <v>6.8508479545385947</v>
      </c>
      <c r="K193">
        <f>1/(COUNT('SimData1 and 2'!$C$9:$C$508)-1)+$K$192</f>
        <v>0.36673346693386805</v>
      </c>
    </row>
    <row r="194" spans="1:11" x14ac:dyDescent="0.2">
      <c r="A194">
        <v>186</v>
      </c>
      <c r="B194">
        <v>7.5122925046696256</v>
      </c>
      <c r="C194">
        <v>7.2139387514684445</v>
      </c>
      <c r="H194">
        <f>SMALL('SimData1 and 2'!$B$9:$B$508,185)</f>
        <v>6.8629813634328123</v>
      </c>
      <c r="I194">
        <f>1/(COUNT('SimData1 and 2'!$B$9:$B$508)-1)+$I$193</f>
        <v>0.36873747494990011</v>
      </c>
      <c r="J194">
        <f>SMALL('SimData1 and 2'!$C$9:$C$508,185)</f>
        <v>6.8704746839176707</v>
      </c>
      <c r="K194">
        <f>1/(COUNT('SimData1 and 2'!$C$9:$C$508)-1)+$K$193</f>
        <v>0.36873747494990011</v>
      </c>
    </row>
    <row r="195" spans="1:11" x14ac:dyDescent="0.2">
      <c r="A195">
        <v>187</v>
      </c>
      <c r="B195">
        <v>7.2158911848570373</v>
      </c>
      <c r="C195">
        <v>7.2801542261607581</v>
      </c>
      <c r="H195">
        <f>SMALL('SimData1 and 2'!$B$9:$B$508,186)</f>
        <v>6.8799392936471442</v>
      </c>
      <c r="I195">
        <f>1/(COUNT('SimData1 and 2'!$B$9:$B$508)-1)+$I$194</f>
        <v>0.37074148296593218</v>
      </c>
      <c r="J195">
        <f>SMALL('SimData1 and 2'!$C$9:$C$508,186)</f>
        <v>6.8832453275948122</v>
      </c>
      <c r="K195">
        <f>1/(COUNT('SimData1 and 2'!$C$9:$C$508)-1)+$K$194</f>
        <v>0.37074148296593218</v>
      </c>
    </row>
    <row r="196" spans="1:11" x14ac:dyDescent="0.2">
      <c r="A196">
        <v>188</v>
      </c>
      <c r="B196">
        <v>8.0436732406325628</v>
      </c>
      <c r="C196">
        <v>6.7198622363665814</v>
      </c>
      <c r="H196">
        <f>SMALL('SimData1 and 2'!$B$9:$B$508,187)</f>
        <v>6.8995271014605937</v>
      </c>
      <c r="I196">
        <f>1/(COUNT('SimData1 and 2'!$B$9:$B$508)-1)+$I$195</f>
        <v>0.37274549098196424</v>
      </c>
      <c r="J196">
        <f>SMALL('SimData1 and 2'!$C$9:$C$508,187)</f>
        <v>6.8930672989951347</v>
      </c>
      <c r="K196">
        <f>1/(COUNT('SimData1 and 2'!$C$9:$C$508)-1)+$K$195</f>
        <v>0.37274549098196424</v>
      </c>
    </row>
    <row r="197" spans="1:11" x14ac:dyDescent="0.2">
      <c r="A197">
        <v>189</v>
      </c>
      <c r="B197">
        <v>7.9213249348081458</v>
      </c>
      <c r="C197">
        <v>7.2826405036118</v>
      </c>
      <c r="H197">
        <f>SMALL('SimData1 and 2'!$B$9:$B$508,188)</f>
        <v>6.9123781537530045</v>
      </c>
      <c r="I197">
        <f>1/(COUNT('SimData1 and 2'!$B$9:$B$508)-1)+$I$196</f>
        <v>0.37474949899799631</v>
      </c>
      <c r="J197">
        <f>SMALL('SimData1 and 2'!$C$9:$C$508,188)</f>
        <v>6.9194731582869</v>
      </c>
      <c r="K197">
        <f>1/(COUNT('SimData1 and 2'!$C$9:$C$508)-1)+$K$196</f>
        <v>0.37474949899799631</v>
      </c>
    </row>
    <row r="198" spans="1:11" x14ac:dyDescent="0.2">
      <c r="A198">
        <v>190</v>
      </c>
      <c r="B198">
        <v>7.122194851324184</v>
      </c>
      <c r="C198">
        <v>7.2254662821420048</v>
      </c>
      <c r="H198">
        <f>SMALL('SimData1 and 2'!$B$9:$B$508,189)</f>
        <v>6.9336286996997449</v>
      </c>
      <c r="I198">
        <f>1/(COUNT('SimData1 and 2'!$B$9:$B$508)-1)+$I$197</f>
        <v>0.37675350701402838</v>
      </c>
      <c r="J198">
        <f>SMALL('SimData1 and 2'!$C$9:$C$508,189)</f>
        <v>6.9301826218778935</v>
      </c>
      <c r="K198">
        <f>1/(COUNT('SimData1 and 2'!$C$9:$C$508)-1)+$K$197</f>
        <v>0.37675350701402838</v>
      </c>
    </row>
    <row r="199" spans="1:11" x14ac:dyDescent="0.2">
      <c r="A199">
        <v>191</v>
      </c>
      <c r="B199">
        <v>7.2749211952185036</v>
      </c>
      <c r="C199">
        <v>3.5000041177551684</v>
      </c>
      <c r="H199">
        <f>SMALL('SimData1 and 2'!$B$9:$B$508,190)</f>
        <v>6.9476093552489173</v>
      </c>
      <c r="I199">
        <f>1/(COUNT('SimData1 and 2'!$B$9:$B$508)-1)+$I$198</f>
        <v>0.37875751503006044</v>
      </c>
      <c r="J199">
        <f>SMALL('SimData1 and 2'!$C$9:$C$508,190)</f>
        <v>6.9407671316433746</v>
      </c>
      <c r="K199">
        <f>1/(COUNT('SimData1 and 2'!$C$9:$C$508)-1)+$K$198</f>
        <v>0.37875751503006044</v>
      </c>
    </row>
    <row r="200" spans="1:11" x14ac:dyDescent="0.2">
      <c r="A200">
        <v>192</v>
      </c>
      <c r="B200">
        <v>5.1827144284514919</v>
      </c>
      <c r="C200">
        <v>7.8460997515020381</v>
      </c>
      <c r="H200">
        <f>SMALL('SimData1 and 2'!$B$9:$B$508,191)</f>
        <v>6.9625977945033606</v>
      </c>
      <c r="I200">
        <f>1/(COUNT('SimData1 and 2'!$B$9:$B$508)-1)+$I$199</f>
        <v>0.38076152304609251</v>
      </c>
      <c r="J200">
        <f>SMALL('SimData1 and 2'!$C$9:$C$508,191)</f>
        <v>6.9579963092437271</v>
      </c>
      <c r="K200">
        <f>1/(COUNT('SimData1 and 2'!$C$9:$C$508)-1)+$K$199</f>
        <v>0.38076152304609251</v>
      </c>
    </row>
    <row r="201" spans="1:11" x14ac:dyDescent="0.2">
      <c r="A201">
        <v>193</v>
      </c>
      <c r="B201">
        <v>6.3107793966973258</v>
      </c>
      <c r="C201">
        <v>14.568699817566479</v>
      </c>
      <c r="H201">
        <f>SMALL('SimData1 and 2'!$B$9:$B$508,192)</f>
        <v>6.9804024535277343</v>
      </c>
      <c r="I201">
        <f>1/(COUNT('SimData1 and 2'!$B$9:$B$508)-1)+$I$200</f>
        <v>0.38276553106212458</v>
      </c>
      <c r="J201">
        <f>SMALL('SimData1 and 2'!$C$9:$C$508,192)</f>
        <v>6.9720676569104505</v>
      </c>
      <c r="K201">
        <f>1/(COUNT('SimData1 and 2'!$C$9:$C$508)-1)+$K$200</f>
        <v>0.38276553106212458</v>
      </c>
    </row>
    <row r="202" spans="1:11" x14ac:dyDescent="0.2">
      <c r="A202">
        <v>194</v>
      </c>
      <c r="B202">
        <v>7.2405454480100504</v>
      </c>
      <c r="C202">
        <v>3.5000050275180419</v>
      </c>
      <c r="H202">
        <f>SMALL('SimData1 and 2'!$B$9:$B$508,193)</f>
        <v>6.9875190419207192</v>
      </c>
      <c r="I202">
        <f>1/(COUNT('SimData1 and 2'!$B$9:$B$508)-1)+$I$201</f>
        <v>0.38476953907815664</v>
      </c>
      <c r="J202">
        <f>SMALL('SimData1 and 2'!$C$9:$C$508,193)</f>
        <v>6.9895081873406903</v>
      </c>
      <c r="K202">
        <f>1/(COUNT('SimData1 and 2'!$C$9:$C$508)-1)+$K$201</f>
        <v>0.38476953907815664</v>
      </c>
    </row>
    <row r="203" spans="1:11" x14ac:dyDescent="0.2">
      <c r="A203">
        <v>195</v>
      </c>
      <c r="B203">
        <v>7.1778541344325451</v>
      </c>
      <c r="C203">
        <v>7.9791455863505316</v>
      </c>
      <c r="H203">
        <f>SMALL('SimData1 and 2'!$B$9:$B$508,194)</f>
        <v>7.0049366928258303</v>
      </c>
      <c r="I203">
        <f>1/(COUNT('SimData1 and 2'!$B$9:$B$508)-1)+$I$202</f>
        <v>0.38677354709418871</v>
      </c>
      <c r="J203">
        <f>SMALL('SimData1 and 2'!$C$9:$C$508,194)</f>
        <v>7.0012471943619836</v>
      </c>
      <c r="K203">
        <f>1/(COUNT('SimData1 and 2'!$C$9:$C$508)-1)+$K$202</f>
        <v>0.38677354709418871</v>
      </c>
    </row>
    <row r="204" spans="1:11" x14ac:dyDescent="0.2">
      <c r="A204">
        <v>196</v>
      </c>
      <c r="B204">
        <v>5.1826499234281966</v>
      </c>
      <c r="C204">
        <v>7.8003649699917013</v>
      </c>
      <c r="H204">
        <f>SMALL('SimData1 and 2'!$B$9:$B$508,195)</f>
        <v>7.0195203133364572</v>
      </c>
      <c r="I204">
        <f>1/(COUNT('SimData1 and 2'!$B$9:$B$508)-1)+$I$203</f>
        <v>0.38877755511022077</v>
      </c>
      <c r="J204">
        <f>SMALL('SimData1 and 2'!$C$9:$C$508,195)</f>
        <v>7.0152072027730563</v>
      </c>
      <c r="K204">
        <f>1/(COUNT('SimData1 and 2'!$C$9:$C$508)-1)+$K$203</f>
        <v>0.38877755511022077</v>
      </c>
    </row>
    <row r="205" spans="1:11" x14ac:dyDescent="0.2">
      <c r="A205">
        <v>197</v>
      </c>
      <c r="B205">
        <v>5.9945976817078384</v>
      </c>
      <c r="C205">
        <v>7.0709039987910218</v>
      </c>
      <c r="H205">
        <f>SMALL('SimData1 and 2'!$B$9:$B$508,196)</f>
        <v>7.0415205866297832</v>
      </c>
      <c r="I205">
        <f>1/(COUNT('SimData1 and 2'!$B$9:$B$508)-1)+$I$204</f>
        <v>0.39078156312625284</v>
      </c>
      <c r="J205">
        <f>SMALL('SimData1 and 2'!$C$9:$C$508,196)</f>
        <v>7.0300654781194103</v>
      </c>
      <c r="K205">
        <f>1/(COUNT('SimData1 and 2'!$C$9:$C$508)-1)+$K$204</f>
        <v>0.39078156312625284</v>
      </c>
    </row>
    <row r="206" spans="1:11" x14ac:dyDescent="0.2">
      <c r="A206">
        <v>198</v>
      </c>
      <c r="B206">
        <v>5.1826964097527881</v>
      </c>
      <c r="C206">
        <v>7.9742278038556922</v>
      </c>
      <c r="H206">
        <f>SMALL('SimData1 and 2'!$B$9:$B$508,197)</f>
        <v>7.0526029971224746</v>
      </c>
      <c r="I206">
        <f>1/(COUNT('SimData1 and 2'!$B$9:$B$508)-1)+$I$205</f>
        <v>0.39278557114228491</v>
      </c>
      <c r="J206">
        <f>SMALL('SimData1 and 2'!$C$9:$C$508,197)</f>
        <v>7.0519509907346984</v>
      </c>
      <c r="K206">
        <f>1/(COUNT('SimData1 and 2'!$C$9:$C$508)-1)+$K$205</f>
        <v>0.39278557114228491</v>
      </c>
    </row>
    <row r="207" spans="1:11" x14ac:dyDescent="0.2">
      <c r="A207">
        <v>199</v>
      </c>
      <c r="B207">
        <v>6.4884809562598047</v>
      </c>
      <c r="C207">
        <v>7.643511785859241</v>
      </c>
      <c r="H207">
        <f>SMALL('SimData1 and 2'!$B$9:$B$508,198)</f>
        <v>7.0659366653203959</v>
      </c>
      <c r="I207">
        <f>1/(COUNT('SimData1 and 2'!$B$9:$B$508)-1)+$I$206</f>
        <v>0.39478957915831697</v>
      </c>
      <c r="J207">
        <f>SMALL('SimData1 and 2'!$C$9:$C$508,198)</f>
        <v>7.0709039987910218</v>
      </c>
      <c r="K207">
        <f>1/(COUNT('SimData1 and 2'!$C$9:$C$508)-1)+$K$206</f>
        <v>0.39478957915831697</v>
      </c>
    </row>
    <row r="208" spans="1:11" x14ac:dyDescent="0.2">
      <c r="A208">
        <v>200</v>
      </c>
      <c r="B208">
        <v>7.8861012493478722</v>
      </c>
      <c r="C208">
        <v>15.399947604812628</v>
      </c>
      <c r="H208">
        <f>SMALL('SimData1 and 2'!$B$9:$B$508,199)</f>
        <v>7.0824409402437336</v>
      </c>
      <c r="I208">
        <f>1/(COUNT('SimData1 and 2'!$B$9:$B$508)-1)+$I$207</f>
        <v>0.39679358717434904</v>
      </c>
      <c r="J208">
        <f>SMALL('SimData1 and 2'!$C$9:$C$508,199)</f>
        <v>7.0772097665271625</v>
      </c>
      <c r="K208">
        <f>1/(COUNT('SimData1 and 2'!$C$9:$C$508)-1)+$K$207</f>
        <v>0.39679358717434904</v>
      </c>
    </row>
    <row r="209" spans="1:11" x14ac:dyDescent="0.2">
      <c r="A209">
        <v>201</v>
      </c>
      <c r="B209">
        <v>5.8965976576131469</v>
      </c>
      <c r="C209">
        <v>5.9972538450667336</v>
      </c>
      <c r="H209">
        <f>SMALL('SimData1 and 2'!$B$9:$B$508,200)</f>
        <v>7.100981873079629</v>
      </c>
      <c r="I209">
        <f>1/(COUNT('SimData1 and 2'!$B$9:$B$508)-1)+$I$208</f>
        <v>0.3987975951903811</v>
      </c>
      <c r="J209">
        <f>SMALL('SimData1 and 2'!$C$9:$C$508,200)</f>
        <v>7.0984562974743053</v>
      </c>
      <c r="K209">
        <f>1/(COUNT('SimData1 and 2'!$C$9:$C$508)-1)+$K$208</f>
        <v>0.3987975951903811</v>
      </c>
    </row>
    <row r="210" spans="1:11" x14ac:dyDescent="0.2">
      <c r="A210">
        <v>202</v>
      </c>
      <c r="B210">
        <v>6.0041007693678878</v>
      </c>
      <c r="C210">
        <v>3.5000064958472294</v>
      </c>
      <c r="H210">
        <f>SMALL('SimData1 and 2'!$B$9:$B$508,201)</f>
        <v>7.1094275124443067</v>
      </c>
      <c r="I210">
        <f>1/(COUNT('SimData1 and 2'!$B$9:$B$508)-1)+$I$209</f>
        <v>0.40080160320641317</v>
      </c>
      <c r="J210">
        <f>SMALL('SimData1 and 2'!$C$9:$C$508,201)</f>
        <v>7.1025478323771241</v>
      </c>
      <c r="K210">
        <f>1/(COUNT('SimData1 and 2'!$C$9:$C$508)-1)+$K$209</f>
        <v>0.40080160320641317</v>
      </c>
    </row>
    <row r="211" spans="1:11" x14ac:dyDescent="0.2">
      <c r="A211">
        <v>203</v>
      </c>
      <c r="B211">
        <v>8.0114652639121431</v>
      </c>
      <c r="C211">
        <v>7.9226421631929895</v>
      </c>
      <c r="H211">
        <f>SMALL('SimData1 and 2'!$B$9:$B$508,202)</f>
        <v>7.122194851324184</v>
      </c>
      <c r="I211">
        <f>1/(COUNT('SimData1 and 2'!$B$9:$B$508)-1)+$I$210</f>
        <v>0.40280561122244524</v>
      </c>
      <c r="J211">
        <f>SMALL('SimData1 and 2'!$C$9:$C$508,202)</f>
        <v>7.1259337183579428</v>
      </c>
      <c r="K211">
        <f>1/(COUNT('SimData1 and 2'!$C$9:$C$508)-1)+$K$210</f>
        <v>0.40280561122244524</v>
      </c>
    </row>
    <row r="212" spans="1:11" x14ac:dyDescent="0.2">
      <c r="A212">
        <v>204</v>
      </c>
      <c r="B212">
        <v>7.5957788715619516</v>
      </c>
      <c r="C212">
        <v>7.2333421175271724</v>
      </c>
      <c r="H212">
        <f>SMALL('SimData1 and 2'!$B$9:$B$508,203)</f>
        <v>7.1406198987196161</v>
      </c>
      <c r="I212">
        <f>1/(COUNT('SimData1 and 2'!$B$9:$B$508)-1)+$I$211</f>
        <v>0.4048096192384773</v>
      </c>
      <c r="J212">
        <f>SMALL('SimData1 and 2'!$C$9:$C$508,203)</f>
        <v>7.1375367787389754</v>
      </c>
      <c r="K212">
        <f>1/(COUNT('SimData1 and 2'!$C$9:$C$508)-1)+$K$211</f>
        <v>0.4048096192384773</v>
      </c>
    </row>
    <row r="213" spans="1:11" x14ac:dyDescent="0.2">
      <c r="A213">
        <v>205</v>
      </c>
      <c r="B213">
        <v>7.9699977799074082</v>
      </c>
      <c r="C213">
        <v>4.323231132611868</v>
      </c>
      <c r="H213">
        <f>SMALL('SimData1 and 2'!$B$9:$B$508,204)</f>
        <v>7.1523039830163899</v>
      </c>
      <c r="I213">
        <f>1/(COUNT('SimData1 and 2'!$B$9:$B$508)-1)+$I$212</f>
        <v>0.40681362725450937</v>
      </c>
      <c r="J213">
        <f>SMALL('SimData1 and 2'!$C$9:$C$508,204)</f>
        <v>7.1550988687011152</v>
      </c>
      <c r="K213">
        <f>1/(COUNT('SimData1 and 2'!$C$9:$C$508)-1)+$K$212</f>
        <v>0.40681362725450937</v>
      </c>
    </row>
    <row r="214" spans="1:11" x14ac:dyDescent="0.2">
      <c r="A214">
        <v>206</v>
      </c>
      <c r="B214">
        <v>6.5356241100675607</v>
      </c>
      <c r="C214">
        <v>7.1705465926537943</v>
      </c>
      <c r="H214">
        <f>SMALL('SimData1 and 2'!$B$9:$B$508,205)</f>
        <v>7.168449449649728</v>
      </c>
      <c r="I214">
        <f>1/(COUNT('SimData1 and 2'!$B$9:$B$508)-1)+$I$213</f>
        <v>0.40881763527054144</v>
      </c>
      <c r="J214">
        <f>SMALL('SimData1 and 2'!$C$9:$C$508,205)</f>
        <v>7.1702832076898382</v>
      </c>
      <c r="K214">
        <f>1/(COUNT('SimData1 and 2'!$C$9:$C$508)-1)+$K$213</f>
        <v>0.40881763527054144</v>
      </c>
    </row>
    <row r="215" spans="1:11" x14ac:dyDescent="0.2">
      <c r="A215">
        <v>207</v>
      </c>
      <c r="B215">
        <v>7.2289001883274162</v>
      </c>
      <c r="C215">
        <v>15.399984815379904</v>
      </c>
      <c r="H215">
        <f>SMALL('SimData1 and 2'!$B$9:$B$508,206)</f>
        <v>7.1707482919008863</v>
      </c>
      <c r="I215">
        <f>1/(COUNT('SimData1 and 2'!$B$9:$B$508)-1)+$I$214</f>
        <v>0.4108216432865735</v>
      </c>
      <c r="J215">
        <f>SMALL('SimData1 and 2'!$C$9:$C$508,206)</f>
        <v>7.1705465926537943</v>
      </c>
      <c r="K215">
        <f>1/(COUNT('SimData1 and 2'!$C$9:$C$508)-1)+$K$214</f>
        <v>0.4108216432865735</v>
      </c>
    </row>
    <row r="216" spans="1:11" x14ac:dyDescent="0.2">
      <c r="A216">
        <v>208</v>
      </c>
      <c r="B216">
        <v>5.1827222312384791</v>
      </c>
      <c r="C216">
        <v>7.3712303205848126</v>
      </c>
      <c r="H216">
        <f>SMALL('SimData1 and 2'!$B$9:$B$508,207)</f>
        <v>7.1717217701765277</v>
      </c>
      <c r="I216">
        <f>1/(COUNT('SimData1 and 2'!$B$9:$B$508)-1)+$I$215</f>
        <v>0.41282565130260557</v>
      </c>
      <c r="J216">
        <f>SMALL('SimData1 and 2'!$C$9:$C$508,207)</f>
        <v>7.1717097118327988</v>
      </c>
      <c r="K216">
        <f>1/(COUNT('SimData1 and 2'!$C$9:$C$508)-1)+$K$215</f>
        <v>0.41282565130260557</v>
      </c>
    </row>
    <row r="217" spans="1:11" x14ac:dyDescent="0.2">
      <c r="A217">
        <v>209</v>
      </c>
      <c r="B217">
        <v>8.4386667928624952</v>
      </c>
      <c r="C217">
        <v>15.399952881989611</v>
      </c>
      <c r="H217">
        <f>SMALL('SimData1 and 2'!$B$9:$B$508,208)</f>
        <v>7.1732200399906976</v>
      </c>
      <c r="I217">
        <f>1/(COUNT('SimData1 and 2'!$B$9:$B$508)-1)+$I$216</f>
        <v>0.41482965931863763</v>
      </c>
      <c r="J217">
        <f>SMALL('SimData1 and 2'!$C$9:$C$508,208)</f>
        <v>7.1729518764677263</v>
      </c>
      <c r="K217">
        <f>1/(COUNT('SimData1 and 2'!$C$9:$C$508)-1)+$K$216</f>
        <v>0.41482965931863763</v>
      </c>
    </row>
    <row r="218" spans="1:11" x14ac:dyDescent="0.2">
      <c r="A218">
        <v>210</v>
      </c>
      <c r="B218">
        <v>5.4796909186931479</v>
      </c>
      <c r="C218">
        <v>7.2175379897829295</v>
      </c>
      <c r="H218">
        <f>SMALL('SimData1 and 2'!$B$9:$B$508,209)</f>
        <v>7.1739626056698871</v>
      </c>
      <c r="I218">
        <f>1/(COUNT('SimData1 and 2'!$B$9:$B$508)-1)+$I$217</f>
        <v>0.4168336673346697</v>
      </c>
      <c r="J218">
        <f>SMALL('SimData1 and 2'!$C$9:$C$508,209)</f>
        <v>7.1735391129361208</v>
      </c>
      <c r="K218">
        <f>1/(COUNT('SimData1 and 2'!$C$9:$C$508)-1)+$K$217</f>
        <v>0.4168336673346697</v>
      </c>
    </row>
    <row r="219" spans="1:11" x14ac:dyDescent="0.2">
      <c r="A219">
        <v>211</v>
      </c>
      <c r="B219">
        <v>6.151416581353633</v>
      </c>
      <c r="C219">
        <v>7.2062203752514833</v>
      </c>
      <c r="H219">
        <f>SMALL('SimData1 and 2'!$B$9:$B$508,210)</f>
        <v>7.1750597258193505</v>
      </c>
      <c r="I219">
        <f>1/(COUNT('SimData1 and 2'!$B$9:$B$508)-1)+$I$218</f>
        <v>0.41883767535070177</v>
      </c>
      <c r="J219">
        <f>SMALL('SimData1 and 2'!$C$9:$C$508,210)</f>
        <v>7.1750578545082018</v>
      </c>
      <c r="K219">
        <f>1/(COUNT('SimData1 and 2'!$C$9:$C$508)-1)+$K$218</f>
        <v>0.41883767535070177</v>
      </c>
    </row>
    <row r="220" spans="1:11" x14ac:dyDescent="0.2">
      <c r="A220">
        <v>212</v>
      </c>
      <c r="B220">
        <v>5.1827339829873162</v>
      </c>
      <c r="C220">
        <v>7.2080226291213201</v>
      </c>
      <c r="H220">
        <f>SMALL('SimData1 and 2'!$B$9:$B$508,211)</f>
        <v>7.1757070654963613</v>
      </c>
      <c r="I220">
        <f>1/(COUNT('SimData1 and 2'!$B$9:$B$508)-1)+$I$219</f>
        <v>0.42084168336673383</v>
      </c>
      <c r="J220">
        <f>SMALL('SimData1 and 2'!$C$9:$C$508,211)</f>
        <v>7.1751821044198243</v>
      </c>
      <c r="K220">
        <f>1/(COUNT('SimData1 and 2'!$C$9:$C$508)-1)+$K$219</f>
        <v>0.42084168336673383</v>
      </c>
    </row>
    <row r="221" spans="1:11" x14ac:dyDescent="0.2">
      <c r="A221">
        <v>213</v>
      </c>
      <c r="B221">
        <v>8.4387445606209592</v>
      </c>
      <c r="C221">
        <v>7.7277319588959648</v>
      </c>
      <c r="H221">
        <f>SMALL('SimData1 and 2'!$B$9:$B$508,212)</f>
        <v>7.1769850839075726</v>
      </c>
      <c r="I221">
        <f>1/(COUNT('SimData1 and 2'!$B$9:$B$508)-1)+$I$220</f>
        <v>0.4228456913827659</v>
      </c>
      <c r="J221">
        <f>SMALL('SimData1 and 2'!$C$9:$C$508,212)</f>
        <v>7.1764777064811422</v>
      </c>
      <c r="K221">
        <f>1/(COUNT('SimData1 and 2'!$C$9:$C$508)-1)+$K$220</f>
        <v>0.4228456913827659</v>
      </c>
    </row>
    <row r="222" spans="1:11" x14ac:dyDescent="0.2">
      <c r="A222">
        <v>214</v>
      </c>
      <c r="B222">
        <v>7.6858392807486622</v>
      </c>
      <c r="C222">
        <v>7.2414634679972529</v>
      </c>
      <c r="H222">
        <f>SMALL('SimData1 and 2'!$B$9:$B$508,213)</f>
        <v>7.1778541344325451</v>
      </c>
      <c r="I222">
        <f>1/(COUNT('SimData1 and 2'!$B$9:$B$508)-1)+$I$221</f>
        <v>0.42484969939879796</v>
      </c>
      <c r="J222">
        <f>SMALL('SimData1 and 2'!$C$9:$C$508,213)</f>
        <v>7.1777293545195153</v>
      </c>
      <c r="K222">
        <f>1/(COUNT('SimData1 and 2'!$C$9:$C$508)-1)+$K$221</f>
        <v>0.42484969939879796</v>
      </c>
    </row>
    <row r="223" spans="1:11" x14ac:dyDescent="0.2">
      <c r="A223">
        <v>215</v>
      </c>
      <c r="B223">
        <v>7.2466626822488571</v>
      </c>
      <c r="C223">
        <v>7.2657575224092108</v>
      </c>
      <c r="H223">
        <f>SMALL('SimData1 and 2'!$B$9:$B$508,214)</f>
        <v>7.1781215076426772</v>
      </c>
      <c r="I223">
        <f>1/(COUNT('SimData1 and 2'!$B$9:$B$508)-1)+$I$222</f>
        <v>0.42685370741483003</v>
      </c>
      <c r="J223">
        <f>SMALL('SimData1 and 2'!$C$9:$C$508,214)</f>
        <v>7.178128460515663</v>
      </c>
      <c r="K223">
        <f>1/(COUNT('SimData1 and 2'!$C$9:$C$508)-1)+$K$222</f>
        <v>0.42685370741483003</v>
      </c>
    </row>
    <row r="224" spans="1:11" x14ac:dyDescent="0.2">
      <c r="A224">
        <v>216</v>
      </c>
      <c r="B224">
        <v>7.7107362876810193</v>
      </c>
      <c r="C224">
        <v>6.2847500027381518</v>
      </c>
      <c r="H224">
        <f>SMALL('SimData1 and 2'!$B$9:$B$508,215)</f>
        <v>7.1795323284368484</v>
      </c>
      <c r="I224">
        <f>1/(COUNT('SimData1 and 2'!$B$9:$B$508)-1)+$I$223</f>
        <v>0.4288577154308621</v>
      </c>
      <c r="J224">
        <f>SMALL('SimData1 and 2'!$C$9:$C$508,215)</f>
        <v>7.1789564872576044</v>
      </c>
      <c r="K224">
        <f>1/(COUNT('SimData1 and 2'!$C$9:$C$508)-1)+$K$223</f>
        <v>0.4288577154308621</v>
      </c>
    </row>
    <row r="225" spans="1:11" x14ac:dyDescent="0.2">
      <c r="A225">
        <v>217</v>
      </c>
      <c r="B225">
        <v>7.9806914261496971</v>
      </c>
      <c r="C225">
        <v>7.2343057993900759</v>
      </c>
      <c r="H225">
        <f>SMALL('SimData1 and 2'!$B$9:$B$508,216)</f>
        <v>7.180300448430371</v>
      </c>
      <c r="I225">
        <f>1/(COUNT('SimData1 and 2'!$B$9:$B$508)-1)+$I$224</f>
        <v>0.43086172344689416</v>
      </c>
      <c r="J225">
        <f>SMALL('SimData1 and 2'!$C$9:$C$508,216)</f>
        <v>7.1803743700970344</v>
      </c>
      <c r="K225">
        <f>1/(COUNT('SimData1 and 2'!$C$9:$C$508)-1)+$K$224</f>
        <v>0.43086172344689416</v>
      </c>
    </row>
    <row r="226" spans="1:11" x14ac:dyDescent="0.2">
      <c r="A226">
        <v>218</v>
      </c>
      <c r="B226">
        <v>7.2108806045824547</v>
      </c>
      <c r="C226">
        <v>7.9266000811020056</v>
      </c>
      <c r="H226">
        <f>SMALL('SimData1 and 2'!$B$9:$B$508,217)</f>
        <v>7.1812772307045476</v>
      </c>
      <c r="I226">
        <f>1/(COUNT('SimData1 and 2'!$B$9:$B$508)-1)+$I$225</f>
        <v>0.43286573146292623</v>
      </c>
      <c r="J226">
        <f>SMALL('SimData1 and 2'!$C$9:$C$508,217)</f>
        <v>7.181697434749573</v>
      </c>
      <c r="K226">
        <f>1/(COUNT('SimData1 and 2'!$C$9:$C$508)-1)+$K$225</f>
        <v>0.43286573146292623</v>
      </c>
    </row>
    <row r="227" spans="1:11" x14ac:dyDescent="0.2">
      <c r="A227">
        <v>219</v>
      </c>
      <c r="B227">
        <v>6.6001395171809785</v>
      </c>
      <c r="C227">
        <v>6.9579963092437271</v>
      </c>
      <c r="H227">
        <f>SMALL('SimData1 and 2'!$B$9:$B$508,218)</f>
        <v>7.1824312584402179</v>
      </c>
      <c r="I227">
        <f>1/(COUNT('SimData1 and 2'!$B$9:$B$508)-1)+$I$226</f>
        <v>0.43486973947895829</v>
      </c>
      <c r="J227">
        <f>SMALL('SimData1 and 2'!$C$9:$C$508,218)</f>
        <v>7.1824248469487237</v>
      </c>
      <c r="K227">
        <f>1/(COUNT('SimData1 and 2'!$C$9:$C$508)-1)+$K$226</f>
        <v>0.43486973947895829</v>
      </c>
    </row>
    <row r="228" spans="1:11" x14ac:dyDescent="0.2">
      <c r="A228">
        <v>220</v>
      </c>
      <c r="B228">
        <v>8.1978479824200168</v>
      </c>
      <c r="C228">
        <v>6.0070297174931744</v>
      </c>
      <c r="H228">
        <f>SMALL('SimData1 and 2'!$B$9:$B$508,219)</f>
        <v>7.1831580813744971</v>
      </c>
      <c r="I228">
        <f>1/(COUNT('SimData1 and 2'!$B$9:$B$508)-1)+$I$227</f>
        <v>0.43687374749499036</v>
      </c>
      <c r="J228">
        <f>SMALL('SimData1 and 2'!$C$9:$C$508,219)</f>
        <v>7.1826624420885805</v>
      </c>
      <c r="K228">
        <f>1/(COUNT('SimData1 and 2'!$C$9:$C$508)-1)+$K$227</f>
        <v>0.43687374749499036</v>
      </c>
    </row>
    <row r="229" spans="1:11" x14ac:dyDescent="0.2">
      <c r="A229">
        <v>221</v>
      </c>
      <c r="B229">
        <v>5.1826910035877756</v>
      </c>
      <c r="C229">
        <v>6.3586277507983437</v>
      </c>
      <c r="H229">
        <f>SMALL('SimData1 and 2'!$B$9:$B$508,220)</f>
        <v>7.1839357014794549</v>
      </c>
      <c r="I229">
        <f>1/(COUNT('SimData1 and 2'!$B$9:$B$508)-1)+$I$228</f>
        <v>0.43887775551102243</v>
      </c>
      <c r="J229">
        <f>SMALL('SimData1 and 2'!$C$9:$C$508,220)</f>
        <v>7.1841458802729328</v>
      </c>
      <c r="K229">
        <f>1/(COUNT('SimData1 and 2'!$C$9:$C$508)-1)+$K$228</f>
        <v>0.43887775551102243</v>
      </c>
    </row>
    <row r="230" spans="1:11" x14ac:dyDescent="0.2">
      <c r="A230">
        <v>222</v>
      </c>
      <c r="B230">
        <v>8.4386988394856566</v>
      </c>
      <c r="C230">
        <v>7.9610092232734768</v>
      </c>
      <c r="H230">
        <f>SMALL('SimData1 and 2'!$B$9:$B$508,221)</f>
        <v>7.1852726774674878</v>
      </c>
      <c r="I230">
        <f>1/(COUNT('SimData1 and 2'!$B$9:$B$508)-1)+$I$229</f>
        <v>0.44088176352705449</v>
      </c>
      <c r="J230">
        <f>SMALL('SimData1 and 2'!$C$9:$C$508,221)</f>
        <v>7.1847514601139988</v>
      </c>
      <c r="K230">
        <f>1/(COUNT('SimData1 and 2'!$C$9:$C$508)-1)+$K$229</f>
        <v>0.44088176352705449</v>
      </c>
    </row>
    <row r="231" spans="1:11" x14ac:dyDescent="0.2">
      <c r="A231">
        <v>223</v>
      </c>
      <c r="B231">
        <v>7.1717217701765277</v>
      </c>
      <c r="C231">
        <v>6.0074767328132959</v>
      </c>
      <c r="H231">
        <f>SMALL('SimData1 and 2'!$B$9:$B$508,222)</f>
        <v>7.1854704452724363</v>
      </c>
      <c r="I231">
        <f>1/(COUNT('SimData1 and 2'!$B$9:$B$508)-1)+$I$230</f>
        <v>0.44288577154308656</v>
      </c>
      <c r="J231">
        <f>SMALL('SimData1 and 2'!$C$9:$C$508,222)</f>
        <v>7.1859188581642899</v>
      </c>
      <c r="K231">
        <f>1/(COUNT('SimData1 and 2'!$C$9:$C$508)-1)+$K$230</f>
        <v>0.44288577154308656</v>
      </c>
    </row>
    <row r="232" spans="1:11" x14ac:dyDescent="0.2">
      <c r="A232">
        <v>224</v>
      </c>
      <c r="B232">
        <v>8.4386566693911647</v>
      </c>
      <c r="C232">
        <v>7.191027128396648</v>
      </c>
      <c r="H232">
        <f>SMALL('SimData1 and 2'!$B$9:$B$508,223)</f>
        <v>7.1867631564382473</v>
      </c>
      <c r="I232">
        <f>1/(COUNT('SimData1 and 2'!$B$9:$B$508)-1)+$I$231</f>
        <v>0.44488977955911863</v>
      </c>
      <c r="J232">
        <f>SMALL('SimData1 and 2'!$C$9:$C$508,223)</f>
        <v>7.1868386063981733</v>
      </c>
      <c r="K232">
        <f>1/(COUNT('SimData1 and 2'!$C$9:$C$508)-1)+$K$231</f>
        <v>0.44488977955911863</v>
      </c>
    </row>
    <row r="233" spans="1:11" x14ac:dyDescent="0.2">
      <c r="A233">
        <v>225</v>
      </c>
      <c r="B233">
        <v>5.1826149255703688</v>
      </c>
      <c r="C233">
        <v>7.2135865007629825</v>
      </c>
      <c r="H233">
        <f>SMALL('SimData1 and 2'!$B$9:$B$508,224)</f>
        <v>7.187606956279593</v>
      </c>
      <c r="I233">
        <f>1/(COUNT('SimData1 and 2'!$B$9:$B$508)-1)+$I$232</f>
        <v>0.44689378757515069</v>
      </c>
      <c r="J233">
        <f>SMALL('SimData1 and 2'!$C$9:$C$508,224)</f>
        <v>7.188203593978427</v>
      </c>
      <c r="K233">
        <f>1/(COUNT('SimData1 and 2'!$C$9:$C$508)-1)+$K$232</f>
        <v>0.44689378757515069</v>
      </c>
    </row>
    <row r="234" spans="1:11" x14ac:dyDescent="0.2">
      <c r="A234">
        <v>226</v>
      </c>
      <c r="B234">
        <v>7.9427212216240779</v>
      </c>
      <c r="C234">
        <v>15.39995476225744</v>
      </c>
      <c r="H234">
        <f>SMALL('SimData1 and 2'!$B$9:$B$508,225)</f>
        <v>7.1884492345513831</v>
      </c>
      <c r="I234">
        <f>1/(COUNT('SimData1 and 2'!$B$9:$B$508)-1)+$I$233</f>
        <v>0.44889779559118276</v>
      </c>
      <c r="J234">
        <f>SMALL('SimData1 and 2'!$C$9:$C$508,225)</f>
        <v>7.1889242274835636</v>
      </c>
      <c r="K234">
        <f>1/(COUNT('SimData1 and 2'!$C$9:$C$508)-1)+$K$233</f>
        <v>0.44889779559118276</v>
      </c>
    </row>
    <row r="235" spans="1:11" x14ac:dyDescent="0.2">
      <c r="A235">
        <v>227</v>
      </c>
      <c r="B235">
        <v>7.8225714582133108</v>
      </c>
      <c r="C235">
        <v>3.500006942382158</v>
      </c>
      <c r="H235">
        <f>SMALL('SimData1 and 2'!$B$9:$B$508,226)</f>
        <v>7.189270791574855</v>
      </c>
      <c r="I235">
        <f>1/(COUNT('SimData1 and 2'!$B$9:$B$508)-1)+$I$234</f>
        <v>0.45090180360721482</v>
      </c>
      <c r="J235">
        <f>SMALL('SimData1 and 2'!$C$9:$C$508,226)</f>
        <v>7.1892129745828672</v>
      </c>
      <c r="K235">
        <f>1/(COUNT('SimData1 and 2'!$C$9:$C$508)-1)+$K$234</f>
        <v>0.45090180360721482</v>
      </c>
    </row>
    <row r="236" spans="1:11" x14ac:dyDescent="0.2">
      <c r="A236">
        <v>228</v>
      </c>
      <c r="B236">
        <v>5.1825978441246363</v>
      </c>
      <c r="C236">
        <v>7.6865639132405263</v>
      </c>
      <c r="H236">
        <f>SMALL('SimData1 and 2'!$B$9:$B$508,227)</f>
        <v>7.1901396260792385</v>
      </c>
      <c r="I236">
        <f>1/(COUNT('SimData1 and 2'!$B$9:$B$508)-1)+$I$235</f>
        <v>0.45290581162324689</v>
      </c>
      <c r="J236">
        <f>SMALL('SimData1 and 2'!$C$9:$C$508,227)</f>
        <v>7.191027128396648</v>
      </c>
      <c r="K236">
        <f>1/(COUNT('SimData1 and 2'!$C$9:$C$508)-1)+$K$235</f>
        <v>0.45290581162324689</v>
      </c>
    </row>
    <row r="237" spans="1:11" x14ac:dyDescent="0.2">
      <c r="A237">
        <v>229</v>
      </c>
      <c r="B237">
        <v>5.182640223183947</v>
      </c>
      <c r="C237">
        <v>7.1859188581642899</v>
      </c>
      <c r="H237">
        <f>SMALL('SimData1 and 2'!$B$9:$B$508,228)</f>
        <v>7.1918380461092362</v>
      </c>
      <c r="I237">
        <f>1/(COUNT('SimData1 and 2'!$B$9:$B$508)-1)+$I$236</f>
        <v>0.45490981963927896</v>
      </c>
      <c r="J237">
        <f>SMALL('SimData1 and 2'!$C$9:$C$508,228)</f>
        <v>7.1911890777722736</v>
      </c>
      <c r="K237">
        <f>1/(COUNT('SimData1 and 2'!$C$9:$C$508)-1)+$K$236</f>
        <v>0.45490981963927896</v>
      </c>
    </row>
    <row r="238" spans="1:11" x14ac:dyDescent="0.2">
      <c r="A238">
        <v>230</v>
      </c>
      <c r="B238">
        <v>7.280379082026089</v>
      </c>
      <c r="C238">
        <v>3.5000061801482829</v>
      </c>
      <c r="H238">
        <f>SMALL('SimData1 and 2'!$B$9:$B$508,229)</f>
        <v>7.1925298978463488</v>
      </c>
      <c r="I238">
        <f>1/(COUNT('SimData1 and 2'!$B$9:$B$508)-1)+$I$237</f>
        <v>0.45691382765531102</v>
      </c>
      <c r="J238">
        <f>SMALL('SimData1 and 2'!$C$9:$C$508,229)</f>
        <v>7.1920964909549934</v>
      </c>
      <c r="K238">
        <f>1/(COUNT('SimData1 and 2'!$C$9:$C$508)-1)+$K$237</f>
        <v>0.45691382765531102</v>
      </c>
    </row>
    <row r="239" spans="1:11" x14ac:dyDescent="0.2">
      <c r="A239">
        <v>231</v>
      </c>
      <c r="B239">
        <v>6.0009377057632838</v>
      </c>
      <c r="C239">
        <v>7.9284543574390138</v>
      </c>
      <c r="H239">
        <f>SMALL('SimData1 and 2'!$B$9:$B$508,230)</f>
        <v>7.1931135957545678</v>
      </c>
      <c r="I239">
        <f>1/(COUNT('SimData1 and 2'!$B$9:$B$508)-1)+$I$238</f>
        <v>0.45891783567134309</v>
      </c>
      <c r="J239">
        <f>SMALL('SimData1 and 2'!$C$9:$C$508,230)</f>
        <v>7.1931771222739371</v>
      </c>
      <c r="K239">
        <f>1/(COUNT('SimData1 and 2'!$C$9:$C$508)-1)+$K$238</f>
        <v>0.45891783567134309</v>
      </c>
    </row>
    <row r="240" spans="1:11" x14ac:dyDescent="0.2">
      <c r="A240">
        <v>232</v>
      </c>
      <c r="B240">
        <v>6.6979656758275095</v>
      </c>
      <c r="C240">
        <v>3.5000007324745379</v>
      </c>
      <c r="H240">
        <f>SMALL('SimData1 and 2'!$B$9:$B$508,231)</f>
        <v>7.1938380591458291</v>
      </c>
      <c r="I240">
        <f>1/(COUNT('SimData1 and 2'!$B$9:$B$508)-1)+$I$239</f>
        <v>0.46092184368737515</v>
      </c>
      <c r="J240">
        <f>SMALL('SimData1 and 2'!$C$9:$C$508,231)</f>
        <v>7.1945177180565842</v>
      </c>
      <c r="K240">
        <f>1/(COUNT('SimData1 and 2'!$C$9:$C$508)-1)+$K$239</f>
        <v>0.46092184368737515</v>
      </c>
    </row>
    <row r="241" spans="1:11" x14ac:dyDescent="0.2">
      <c r="A241">
        <v>233</v>
      </c>
      <c r="B241">
        <v>6.0072347553302858</v>
      </c>
      <c r="C241">
        <v>15.399947360368277</v>
      </c>
      <c r="H241">
        <f>SMALL('SimData1 and 2'!$B$9:$B$508,232)</f>
        <v>7.1952355327631077</v>
      </c>
      <c r="I241">
        <f>1/(COUNT('SimData1 and 2'!$B$9:$B$508)-1)+$I$240</f>
        <v>0.46292585170340722</v>
      </c>
      <c r="J241">
        <f>SMALL('SimData1 and 2'!$C$9:$C$508,232)</f>
        <v>7.1951393550345877</v>
      </c>
      <c r="K241">
        <f>1/(COUNT('SimData1 and 2'!$C$9:$C$508)-1)+$K$240</f>
        <v>0.46292585170340722</v>
      </c>
    </row>
    <row r="242" spans="1:11" x14ac:dyDescent="0.2">
      <c r="A242">
        <v>234</v>
      </c>
      <c r="B242">
        <v>7.2236843616472024</v>
      </c>
      <c r="C242">
        <v>7.8635632056410589</v>
      </c>
      <c r="H242">
        <f>SMALL('SimData1 and 2'!$B$9:$B$508,233)</f>
        <v>7.1965723219276274</v>
      </c>
      <c r="I242">
        <f>1/(COUNT('SimData1 and 2'!$B$9:$B$508)-1)+$I$241</f>
        <v>0.46492985971943929</v>
      </c>
      <c r="J242">
        <f>SMALL('SimData1 and 2'!$C$9:$C$508,233)</f>
        <v>7.1958139261224607</v>
      </c>
      <c r="K242">
        <f>1/(COUNT('SimData1 and 2'!$C$9:$C$508)-1)+$K$241</f>
        <v>0.46492985971943929</v>
      </c>
    </row>
    <row r="243" spans="1:11" x14ac:dyDescent="0.2">
      <c r="A243">
        <v>235</v>
      </c>
      <c r="B243">
        <v>5.1827491933231657</v>
      </c>
      <c r="C243">
        <v>7.2302095502467054</v>
      </c>
      <c r="H243">
        <f>SMALL('SimData1 and 2'!$B$9:$B$508,234)</f>
        <v>7.1975202566658867</v>
      </c>
      <c r="I243">
        <f>1/(COUNT('SimData1 and 2'!$B$9:$B$508)-1)+$I$242</f>
        <v>0.46693386773547135</v>
      </c>
      <c r="J243">
        <f>SMALL('SimData1 and 2'!$C$9:$C$508,234)</f>
        <v>7.1969363620451876</v>
      </c>
      <c r="K243">
        <f>1/(COUNT('SimData1 and 2'!$C$9:$C$508)-1)+$K$242</f>
        <v>0.46693386773547135</v>
      </c>
    </row>
    <row r="244" spans="1:11" x14ac:dyDescent="0.2">
      <c r="A244">
        <v>236</v>
      </c>
      <c r="B244">
        <v>8.0372872524984569</v>
      </c>
      <c r="C244">
        <v>13.500865854056553</v>
      </c>
      <c r="H244">
        <f>SMALL('SimData1 and 2'!$B$9:$B$508,235)</f>
        <v>7.1984512022621399</v>
      </c>
      <c r="I244">
        <f>1/(COUNT('SimData1 and 2'!$B$9:$B$508)-1)+$I$243</f>
        <v>0.46893787575150342</v>
      </c>
      <c r="J244">
        <f>SMALL('SimData1 and 2'!$C$9:$C$508,235)</f>
        <v>7.1980699277460429</v>
      </c>
      <c r="K244">
        <f>1/(COUNT('SimData1 and 2'!$C$9:$C$508)-1)+$K$243</f>
        <v>0.46893787575150342</v>
      </c>
    </row>
    <row r="245" spans="1:11" x14ac:dyDescent="0.2">
      <c r="A245">
        <v>237</v>
      </c>
      <c r="B245">
        <v>6.0030968947297669</v>
      </c>
      <c r="C245">
        <v>6.4046408388151121</v>
      </c>
      <c r="H245">
        <f>SMALL('SimData1 and 2'!$B$9:$B$508,236)</f>
        <v>7.1986309312793271</v>
      </c>
      <c r="I245">
        <f>1/(COUNT('SimData1 and 2'!$B$9:$B$508)-1)+$I$244</f>
        <v>0.47094188376753549</v>
      </c>
      <c r="J245">
        <f>SMALL('SimData1 and 2'!$C$9:$C$508,236)</f>
        <v>7.1986268195806247</v>
      </c>
      <c r="K245">
        <f>1/(COUNT('SimData1 and 2'!$C$9:$C$508)-1)+$K$244</f>
        <v>0.47094188376753549</v>
      </c>
    </row>
    <row r="246" spans="1:11" x14ac:dyDescent="0.2">
      <c r="A246">
        <v>238</v>
      </c>
      <c r="B246">
        <v>8.4386471948660144</v>
      </c>
      <c r="C246">
        <v>6.0059259761682089</v>
      </c>
      <c r="H246">
        <f>SMALL('SimData1 and 2'!$B$9:$B$508,237)</f>
        <v>7.1998725291388164</v>
      </c>
      <c r="I246">
        <f>1/(COUNT('SimData1 and 2'!$B$9:$B$508)-1)+$I$245</f>
        <v>0.47294589178356755</v>
      </c>
      <c r="J246">
        <f>SMALL('SimData1 and 2'!$C$9:$C$508,237)</f>
        <v>7.2002090840552233</v>
      </c>
      <c r="K246">
        <f>1/(COUNT('SimData1 and 2'!$C$9:$C$508)-1)+$K$245</f>
        <v>0.47294589178356755</v>
      </c>
    </row>
    <row r="247" spans="1:11" x14ac:dyDescent="0.2">
      <c r="A247">
        <v>239</v>
      </c>
      <c r="B247">
        <v>7.8092256736636472</v>
      </c>
      <c r="C247">
        <v>7.2038460634863188</v>
      </c>
      <c r="H247">
        <f>SMALL('SimData1 and 2'!$B$9:$B$508,238)</f>
        <v>7.2008442952367107</v>
      </c>
      <c r="I247">
        <f>1/(COUNT('SimData1 and 2'!$B$9:$B$508)-1)+$I$246</f>
        <v>0.47494989979959962</v>
      </c>
      <c r="J247">
        <f>SMALL('SimData1 and 2'!$C$9:$C$508,238)</f>
        <v>7.2011283157883073</v>
      </c>
      <c r="K247">
        <f>1/(COUNT('SimData1 and 2'!$C$9:$C$508)-1)+$K$246</f>
        <v>0.47494989979959962</v>
      </c>
    </row>
    <row r="248" spans="1:11" x14ac:dyDescent="0.2">
      <c r="A248">
        <v>240</v>
      </c>
      <c r="B248">
        <v>7.0526029971224746</v>
      </c>
      <c r="C248">
        <v>10.728545893797648</v>
      </c>
      <c r="H248">
        <f>SMALL('SimData1 and 2'!$B$9:$B$508,239)</f>
        <v>7.2020596895585571</v>
      </c>
      <c r="I248">
        <f>1/(COUNT('SimData1 and 2'!$B$9:$B$508)-1)+$I$247</f>
        <v>0.47695390781563168</v>
      </c>
      <c r="J248">
        <f>SMALL('SimData1 and 2'!$C$9:$C$508,239)</f>
        <v>7.2014179351682914</v>
      </c>
      <c r="K248">
        <f>1/(COUNT('SimData1 and 2'!$C$9:$C$508)-1)+$K$247</f>
        <v>0.47695390781563168</v>
      </c>
    </row>
    <row r="249" spans="1:11" x14ac:dyDescent="0.2">
      <c r="A249">
        <v>241</v>
      </c>
      <c r="B249">
        <v>7.8841513681472062</v>
      </c>
      <c r="C249">
        <v>7.1824248469487237</v>
      </c>
      <c r="H249">
        <f>SMALL('SimData1 and 2'!$B$9:$B$508,240)</f>
        <v>7.2025583472689831</v>
      </c>
      <c r="I249">
        <f>1/(COUNT('SimData1 and 2'!$B$9:$B$508)-1)+$I$248</f>
        <v>0.47895791583166375</v>
      </c>
      <c r="J249">
        <f>SMALL('SimData1 and 2'!$C$9:$C$508,240)</f>
        <v>7.2025062392140544</v>
      </c>
      <c r="K249">
        <f>1/(COUNT('SimData1 and 2'!$C$9:$C$508)-1)+$K$248</f>
        <v>0.47895791583166375</v>
      </c>
    </row>
    <row r="250" spans="1:11" x14ac:dyDescent="0.2">
      <c r="A250">
        <v>242</v>
      </c>
      <c r="B250">
        <v>8.0825980343500845</v>
      </c>
      <c r="C250">
        <v>6.788656146466221</v>
      </c>
      <c r="H250">
        <f>SMALL('SimData1 and 2'!$B$9:$B$508,241)</f>
        <v>7.203401789378403</v>
      </c>
      <c r="I250">
        <f>1/(COUNT('SimData1 and 2'!$B$9:$B$508)-1)+$I$249</f>
        <v>0.48096192384769582</v>
      </c>
      <c r="J250">
        <f>SMALL('SimData1 and 2'!$C$9:$C$508,241)</f>
        <v>7.2038460634863188</v>
      </c>
      <c r="K250">
        <f>1/(COUNT('SimData1 and 2'!$C$9:$C$508)-1)+$K$249</f>
        <v>0.48096192384769582</v>
      </c>
    </row>
    <row r="251" spans="1:11" x14ac:dyDescent="0.2">
      <c r="A251">
        <v>243</v>
      </c>
      <c r="B251">
        <v>7.9648216637475482</v>
      </c>
      <c r="C251">
        <v>11.791625763253982</v>
      </c>
      <c r="H251">
        <f>SMALL('SimData1 and 2'!$B$9:$B$508,242)</f>
        <v>7.2045673545874305</v>
      </c>
      <c r="I251">
        <f>1/(COUNT('SimData1 and 2'!$B$9:$B$508)-1)+$I$250</f>
        <v>0.48296593186372788</v>
      </c>
      <c r="J251">
        <f>SMALL('SimData1 and 2'!$C$9:$C$508,242)</f>
        <v>7.2043766634508106</v>
      </c>
      <c r="K251">
        <f>1/(COUNT('SimData1 and 2'!$C$9:$C$508)-1)+$K$250</f>
        <v>0.48296593186372788</v>
      </c>
    </row>
    <row r="252" spans="1:11" x14ac:dyDescent="0.2">
      <c r="A252">
        <v>244</v>
      </c>
      <c r="B252">
        <v>5.995030063101904</v>
      </c>
      <c r="C252">
        <v>15.399972316095123</v>
      </c>
      <c r="H252">
        <f>SMALL('SimData1 and 2'!$B$9:$B$508,243)</f>
        <v>7.2056338163078903</v>
      </c>
      <c r="I252">
        <f>1/(COUNT('SimData1 and 2'!$B$9:$B$508)-1)+$I$251</f>
        <v>0.48496993987975995</v>
      </c>
      <c r="J252">
        <f>SMALL('SimData1 and 2'!$C$9:$C$508,243)</f>
        <v>7.2057843277672395</v>
      </c>
      <c r="K252">
        <f>1/(COUNT('SimData1 and 2'!$C$9:$C$508)-1)+$K$251</f>
        <v>0.48496993987975995</v>
      </c>
    </row>
    <row r="253" spans="1:11" x14ac:dyDescent="0.2">
      <c r="A253">
        <v>245</v>
      </c>
      <c r="B253">
        <v>6.189879839898861</v>
      </c>
      <c r="C253">
        <v>7.1777293545195153</v>
      </c>
      <c r="H253">
        <f>SMALL('SimData1 and 2'!$B$9:$B$508,244)</f>
        <v>7.2067452784510255</v>
      </c>
      <c r="I253">
        <f>1/(COUNT('SimData1 and 2'!$B$9:$B$508)-1)+$I$252</f>
        <v>0.48697394789579201</v>
      </c>
      <c r="J253">
        <f>SMALL('SimData1 and 2'!$C$9:$C$508,244)</f>
        <v>7.2062203752514833</v>
      </c>
      <c r="K253">
        <f>1/(COUNT('SimData1 and 2'!$C$9:$C$508)-1)+$K$252</f>
        <v>0.48697394789579201</v>
      </c>
    </row>
    <row r="254" spans="1:11" x14ac:dyDescent="0.2">
      <c r="A254">
        <v>246</v>
      </c>
      <c r="B254">
        <v>7.6285556095623157</v>
      </c>
      <c r="C254">
        <v>7.1702832076898382</v>
      </c>
      <c r="H254">
        <f>SMALL('SimData1 and 2'!$B$9:$B$508,245)</f>
        <v>7.2071035591473791</v>
      </c>
      <c r="I254">
        <f>1/(COUNT('SimData1 and 2'!$B$9:$B$508)-1)+$I$253</f>
        <v>0.48897795591182408</v>
      </c>
      <c r="J254">
        <f>SMALL('SimData1 and 2'!$C$9:$C$508,245)</f>
        <v>7.2070132166276277</v>
      </c>
      <c r="K254">
        <f>1/(COUNT('SimData1 and 2'!$C$9:$C$508)-1)+$K$253</f>
        <v>0.48897795591182408</v>
      </c>
    </row>
    <row r="255" spans="1:11" x14ac:dyDescent="0.2">
      <c r="A255">
        <v>247</v>
      </c>
      <c r="B255">
        <v>7.168449449649728</v>
      </c>
      <c r="C255">
        <v>15.399964071954933</v>
      </c>
      <c r="H255">
        <f>SMALL('SimData1 and 2'!$B$9:$B$508,246)</f>
        <v>7.2086930419328192</v>
      </c>
      <c r="I255">
        <f>1/(COUNT('SimData1 and 2'!$B$9:$B$508)-1)+$I$254</f>
        <v>0.49098196392785615</v>
      </c>
      <c r="J255">
        <f>SMALL('SimData1 and 2'!$C$9:$C$508,246)</f>
        <v>7.2080226291213201</v>
      </c>
      <c r="K255">
        <f>1/(COUNT('SimData1 and 2'!$C$9:$C$508)-1)+$K$254</f>
        <v>0.49098196392785615</v>
      </c>
    </row>
    <row r="256" spans="1:11" x14ac:dyDescent="0.2">
      <c r="A256">
        <v>248</v>
      </c>
      <c r="B256">
        <v>5.1827683192680283</v>
      </c>
      <c r="C256">
        <v>5.995566885958171</v>
      </c>
      <c r="H256">
        <f>SMALL('SimData1 and 2'!$B$9:$B$508,247)</f>
        <v>7.2088860386113272</v>
      </c>
      <c r="I256">
        <f>1/(COUNT('SimData1 and 2'!$B$9:$B$508)-1)+$I$255</f>
        <v>0.49298597194388821</v>
      </c>
      <c r="J256">
        <f>SMALL('SimData1 and 2'!$C$9:$C$508,247)</f>
        <v>7.208952788269742</v>
      </c>
      <c r="K256">
        <f>1/(COUNT('SimData1 and 2'!$C$9:$C$508)-1)+$K$255</f>
        <v>0.49298597194388821</v>
      </c>
    </row>
    <row r="257" spans="1:11" x14ac:dyDescent="0.2">
      <c r="A257">
        <v>249</v>
      </c>
      <c r="B257">
        <v>8.4387410460311578</v>
      </c>
      <c r="C257">
        <v>6.2517983492338161</v>
      </c>
      <c r="H257">
        <f>SMALL('SimData1 and 2'!$B$9:$B$508,248)</f>
        <v>7.2097904141139733</v>
      </c>
      <c r="I257">
        <f>1/(COUNT('SimData1 and 2'!$B$9:$B$508)-1)+$I$256</f>
        <v>0.49498997995992028</v>
      </c>
      <c r="J257">
        <f>SMALL('SimData1 and 2'!$C$9:$C$508,248)</f>
        <v>7.2101836493227331</v>
      </c>
      <c r="K257">
        <f>1/(COUNT('SimData1 and 2'!$C$9:$C$508)-1)+$K$256</f>
        <v>0.49498997995992028</v>
      </c>
    </row>
    <row r="258" spans="1:11" x14ac:dyDescent="0.2">
      <c r="A258">
        <v>250</v>
      </c>
      <c r="B258">
        <v>6.0790155669885468</v>
      </c>
      <c r="C258">
        <v>8.0011323403626999</v>
      </c>
      <c r="H258">
        <f>SMALL('SimData1 and 2'!$B$9:$B$508,249)</f>
        <v>7.2108806045824547</v>
      </c>
      <c r="I258">
        <f>1/(COUNT('SimData1 and 2'!$B$9:$B$508)-1)+$I$257</f>
        <v>0.49699398797595234</v>
      </c>
      <c r="J258">
        <f>SMALL('SimData1 and 2'!$C$9:$C$508,249)</f>
        <v>7.2108050858452639</v>
      </c>
      <c r="K258">
        <f>1/(COUNT('SimData1 and 2'!$C$9:$C$508)-1)+$K$257</f>
        <v>0.49699398797595234</v>
      </c>
    </row>
    <row r="259" spans="1:11" x14ac:dyDescent="0.2">
      <c r="A259">
        <v>251</v>
      </c>
      <c r="B259">
        <v>7.1975202566658867</v>
      </c>
      <c r="C259">
        <v>15.34345453168164</v>
      </c>
      <c r="H259">
        <f>SMALL('SimData1 and 2'!$B$9:$B$508,250)</f>
        <v>7.2124374691672033</v>
      </c>
      <c r="I259">
        <f>1/(COUNT('SimData1 and 2'!$B$9:$B$508)-1)+$I$258</f>
        <v>0.49899799599198441</v>
      </c>
      <c r="J259">
        <f>SMALL('SimData1 and 2'!$C$9:$C$508,250)</f>
        <v>7.2119217299147529</v>
      </c>
      <c r="K259">
        <f>1/(COUNT('SimData1 and 2'!$C$9:$C$508)-1)+$K$258</f>
        <v>0.49899799599198441</v>
      </c>
    </row>
    <row r="260" spans="1:11" x14ac:dyDescent="0.2">
      <c r="A260">
        <v>252</v>
      </c>
      <c r="B260">
        <v>5.3154972634148692</v>
      </c>
      <c r="C260">
        <v>3.500004050373235</v>
      </c>
      <c r="H260">
        <f>SMALL('SimData1 and 2'!$B$9:$B$508,251)</f>
        <v>7.2125221598704838</v>
      </c>
      <c r="I260">
        <f>1/(COUNT('SimData1 and 2'!$B$9:$B$508)-1)+$I$259</f>
        <v>0.50100200400801642</v>
      </c>
      <c r="J260">
        <f>SMALL('SimData1 and 2'!$C$9:$C$508,251)</f>
        <v>7.2125989690143069</v>
      </c>
      <c r="K260">
        <f>1/(COUNT('SimData1 and 2'!$C$9:$C$508)-1)+$K$259</f>
        <v>0.50100200400801642</v>
      </c>
    </row>
    <row r="261" spans="1:11" x14ac:dyDescent="0.2">
      <c r="A261">
        <v>253</v>
      </c>
      <c r="B261">
        <v>8.4386761249454096</v>
      </c>
      <c r="C261">
        <v>15.399997394858355</v>
      </c>
      <c r="H261">
        <f>SMALL('SimData1 and 2'!$B$9:$B$508,252)</f>
        <v>7.2132617459093566</v>
      </c>
      <c r="I261">
        <f>1/(COUNT('SimData1 and 2'!$B$9:$B$508)-1)+$I$260</f>
        <v>0.50300601202404849</v>
      </c>
      <c r="J261">
        <f>SMALL('SimData1 and 2'!$C$9:$C$508,252)</f>
        <v>7.2128864032764355</v>
      </c>
      <c r="K261">
        <f>1/(COUNT('SimData1 and 2'!$C$9:$C$508)-1)+$K$260</f>
        <v>0.50300601202404849</v>
      </c>
    </row>
    <row r="262" spans="1:11" x14ac:dyDescent="0.2">
      <c r="A262">
        <v>254</v>
      </c>
      <c r="B262">
        <v>5.9153219888767294</v>
      </c>
      <c r="C262">
        <v>8.0019271273524968</v>
      </c>
      <c r="H262">
        <f>SMALL('SimData1 and 2'!$B$9:$B$508,253)</f>
        <v>7.213356381689219</v>
      </c>
      <c r="I262">
        <f>1/(COUNT('SimData1 and 2'!$B$9:$B$508)-1)+$I$261</f>
        <v>0.50501002004008055</v>
      </c>
      <c r="J262">
        <f>SMALL('SimData1 and 2'!$C$9:$C$508,253)</f>
        <v>7.2135865007629825</v>
      </c>
      <c r="K262">
        <f>1/(COUNT('SimData1 and 2'!$C$9:$C$508)-1)+$K$261</f>
        <v>0.50501002004008055</v>
      </c>
    </row>
    <row r="263" spans="1:11" x14ac:dyDescent="0.2">
      <c r="A263">
        <v>255</v>
      </c>
      <c r="B263">
        <v>6.0048327686028191</v>
      </c>
      <c r="C263">
        <v>7.1375367787389754</v>
      </c>
      <c r="H263">
        <f>SMALL('SimData1 and 2'!$B$9:$B$508,254)</f>
        <v>7.2138117882801733</v>
      </c>
      <c r="I263">
        <f>1/(COUNT('SimData1 and 2'!$B$9:$B$508)-1)+$I$262</f>
        <v>0.50701402805611262</v>
      </c>
      <c r="J263">
        <f>SMALL('SimData1 and 2'!$C$9:$C$508,254)</f>
        <v>7.2139387514684445</v>
      </c>
      <c r="K263">
        <f>1/(COUNT('SimData1 and 2'!$C$9:$C$508)-1)+$K$262</f>
        <v>0.50701402805611262</v>
      </c>
    </row>
    <row r="264" spans="1:11" x14ac:dyDescent="0.2">
      <c r="A264">
        <v>256</v>
      </c>
      <c r="B264">
        <v>5.1827020130783579</v>
      </c>
      <c r="C264">
        <v>3.500001451614501</v>
      </c>
      <c r="H264">
        <f>SMALL('SimData1 and 2'!$B$9:$B$508,255)</f>
        <v>7.2142981250427356</v>
      </c>
      <c r="I264">
        <f>1/(COUNT('SimData1 and 2'!$B$9:$B$508)-1)+$I$263</f>
        <v>0.50901803607214469</v>
      </c>
      <c r="J264">
        <f>SMALL('SimData1 and 2'!$C$9:$C$508,255)</f>
        <v>7.2143428832018541</v>
      </c>
      <c r="K264">
        <f>1/(COUNT('SimData1 and 2'!$C$9:$C$508)-1)+$K$263</f>
        <v>0.50901803607214469</v>
      </c>
    </row>
    <row r="265" spans="1:11" x14ac:dyDescent="0.2">
      <c r="A265">
        <v>257</v>
      </c>
      <c r="B265">
        <v>8.438706051467781</v>
      </c>
      <c r="C265">
        <v>15.399980391904162</v>
      </c>
      <c r="H265">
        <f>SMALL('SimData1 and 2'!$B$9:$B$508,256)</f>
        <v>7.2146293497612373</v>
      </c>
      <c r="I265">
        <f>1/(COUNT('SimData1 and 2'!$B$9:$B$508)-1)+$I$264</f>
        <v>0.51102204408817675</v>
      </c>
      <c r="J265">
        <f>SMALL('SimData1 and 2'!$C$9:$C$508,256)</f>
        <v>7.214772690643299</v>
      </c>
      <c r="K265">
        <f>1/(COUNT('SimData1 and 2'!$C$9:$C$508)-1)+$K$264</f>
        <v>0.51102204408817675</v>
      </c>
    </row>
    <row r="266" spans="1:11" x14ac:dyDescent="0.2">
      <c r="A266">
        <v>258</v>
      </c>
      <c r="B266">
        <v>5.1826707717855056</v>
      </c>
      <c r="C266">
        <v>7.2317299282597496</v>
      </c>
      <c r="H266">
        <f>SMALL('SimData1 and 2'!$B$9:$B$508,257)</f>
        <v>7.2149004907465502</v>
      </c>
      <c r="I266">
        <f>1/(COUNT('SimData1 and 2'!$B$9:$B$508)-1)+$I$265</f>
        <v>0.51302605210420882</v>
      </c>
      <c r="J266">
        <f>SMALL('SimData1 and 2'!$C$9:$C$508,257)</f>
        <v>7.215000139836647</v>
      </c>
      <c r="K266">
        <f>1/(COUNT('SimData1 and 2'!$C$9:$C$508)-1)+$K$265</f>
        <v>0.51302605210420882</v>
      </c>
    </row>
    <row r="267" spans="1:11" x14ac:dyDescent="0.2">
      <c r="A267">
        <v>259</v>
      </c>
      <c r="B267">
        <v>7.5811390523232571</v>
      </c>
      <c r="C267">
        <v>6.2210085231440786</v>
      </c>
      <c r="H267">
        <f>SMALL('SimData1 and 2'!$B$9:$B$508,258)</f>
        <v>7.2156073706517878</v>
      </c>
      <c r="I267">
        <f>1/(COUNT('SimData1 and 2'!$B$9:$B$508)-1)+$I$266</f>
        <v>0.51503006012024088</v>
      </c>
      <c r="J267">
        <f>SMALL('SimData1 and 2'!$C$9:$C$508,258)</f>
        <v>7.2152500261321952</v>
      </c>
      <c r="K267">
        <f>1/(COUNT('SimData1 and 2'!$C$9:$C$508)-1)+$K$266</f>
        <v>0.51503006012024088</v>
      </c>
    </row>
    <row r="268" spans="1:11" x14ac:dyDescent="0.2">
      <c r="A268">
        <v>260</v>
      </c>
      <c r="B268">
        <v>7.2249588137630294</v>
      </c>
      <c r="C268">
        <v>7.0012471943619836</v>
      </c>
      <c r="H268">
        <f>SMALL('SimData1 and 2'!$B$9:$B$508,259)</f>
        <v>7.2158911848570373</v>
      </c>
      <c r="I268">
        <f>1/(COUNT('SimData1 and 2'!$B$9:$B$508)-1)+$I$267</f>
        <v>0.51703406813627295</v>
      </c>
      <c r="J268">
        <f>SMALL('SimData1 and 2'!$C$9:$C$508,259)</f>
        <v>7.2159970021616449</v>
      </c>
      <c r="K268">
        <f>1/(COUNT('SimData1 and 2'!$C$9:$C$508)-1)+$K$267</f>
        <v>0.51703406813627295</v>
      </c>
    </row>
    <row r="269" spans="1:11" x14ac:dyDescent="0.2">
      <c r="A269">
        <v>261</v>
      </c>
      <c r="B269">
        <v>6.3376042645794328</v>
      </c>
      <c r="C269">
        <v>6.4171420016055256</v>
      </c>
      <c r="H269">
        <f>SMALL('SimData1 and 2'!$B$9:$B$508,260)</f>
        <v>7.2160757130506088</v>
      </c>
      <c r="I269">
        <f>1/(COUNT('SimData1 and 2'!$B$9:$B$508)-1)+$I$268</f>
        <v>0.51903807615230502</v>
      </c>
      <c r="J269">
        <f>SMALL('SimData1 and 2'!$C$9:$C$508,260)</f>
        <v>7.2161853943725305</v>
      </c>
      <c r="K269">
        <f>1/(COUNT('SimData1 and 2'!$C$9:$C$508)-1)+$K$268</f>
        <v>0.51903807615230502</v>
      </c>
    </row>
    <row r="270" spans="1:11" x14ac:dyDescent="0.2">
      <c r="A270">
        <v>262</v>
      </c>
      <c r="B270">
        <v>7.1884492345513831</v>
      </c>
      <c r="C270">
        <v>15.399941285470771</v>
      </c>
      <c r="H270">
        <f>SMALL('SimData1 and 2'!$B$9:$B$508,261)</f>
        <v>7.2165013704695307</v>
      </c>
      <c r="I270">
        <f>1/(COUNT('SimData1 and 2'!$B$9:$B$508)-1)+$I$269</f>
        <v>0.52104208416833708</v>
      </c>
      <c r="J270">
        <f>SMALL('SimData1 and 2'!$C$9:$C$508,261)</f>
        <v>7.2165224600491547</v>
      </c>
      <c r="K270">
        <f>1/(COUNT('SimData1 and 2'!$C$9:$C$508)-1)+$K$269</f>
        <v>0.52104208416833708</v>
      </c>
    </row>
    <row r="271" spans="1:11" x14ac:dyDescent="0.2">
      <c r="A271">
        <v>263</v>
      </c>
      <c r="B271">
        <v>7.6592026696972804</v>
      </c>
      <c r="C271">
        <v>15.399992069180641</v>
      </c>
      <c r="H271">
        <f>SMALL('SimData1 and 2'!$B$9:$B$508,262)</f>
        <v>7.2170762933857837</v>
      </c>
      <c r="I271">
        <f>1/(COUNT('SimData1 and 2'!$B$9:$B$508)-1)+$I$270</f>
        <v>0.52304609218436915</v>
      </c>
      <c r="J271">
        <f>SMALL('SimData1 and 2'!$C$9:$C$508,262)</f>
        <v>7.2168439039226051</v>
      </c>
      <c r="K271">
        <f>1/(COUNT('SimData1 and 2'!$C$9:$C$508)-1)+$K$270</f>
        <v>0.52304609218436915</v>
      </c>
    </row>
    <row r="272" spans="1:11" x14ac:dyDescent="0.2">
      <c r="A272">
        <v>264</v>
      </c>
      <c r="B272">
        <v>8.438748309201813</v>
      </c>
      <c r="C272">
        <v>6.9895081873406903</v>
      </c>
      <c r="H272">
        <f>SMALL('SimData1 and 2'!$B$9:$B$508,263)</f>
        <v>7.2174631698409906</v>
      </c>
      <c r="I272">
        <f>1/(COUNT('SimData1 and 2'!$B$9:$B$508)-1)+$I$271</f>
        <v>0.52505010020040122</v>
      </c>
      <c r="J272">
        <f>SMALL('SimData1 and 2'!$C$9:$C$508,263)</f>
        <v>7.2175379897829295</v>
      </c>
      <c r="K272">
        <f>1/(COUNT('SimData1 and 2'!$C$9:$C$508)-1)+$K$271</f>
        <v>0.52505010020040122</v>
      </c>
    </row>
    <row r="273" spans="1:11" x14ac:dyDescent="0.2">
      <c r="A273">
        <v>265</v>
      </c>
      <c r="B273">
        <v>7.0049366928258303</v>
      </c>
      <c r="C273">
        <v>8.017465767916736</v>
      </c>
      <c r="H273">
        <f>SMALL('SimData1 and 2'!$B$9:$B$508,264)</f>
        <v>7.2176386056891548</v>
      </c>
      <c r="I273">
        <f>1/(COUNT('SimData1 and 2'!$B$9:$B$508)-1)+$I$272</f>
        <v>0.52705410821643328</v>
      </c>
      <c r="J273">
        <f>SMALL('SimData1 and 2'!$C$9:$C$508,264)</f>
        <v>7.2179762650710657</v>
      </c>
      <c r="K273">
        <f>1/(COUNT('SimData1 and 2'!$C$9:$C$508)-1)+$K$272</f>
        <v>0.52705410821643328</v>
      </c>
    </row>
    <row r="274" spans="1:11" x14ac:dyDescent="0.2">
      <c r="A274">
        <v>266</v>
      </c>
      <c r="B274">
        <v>7.180300448430371</v>
      </c>
      <c r="C274">
        <v>7.9832055993349504</v>
      </c>
      <c r="H274">
        <f>SMALL('SimData1 and 2'!$B$9:$B$508,265)</f>
        <v>7.2182330316346546</v>
      </c>
      <c r="I274">
        <f>1/(COUNT('SimData1 and 2'!$B$9:$B$508)-1)+$I$273</f>
        <v>0.52905811623246535</v>
      </c>
      <c r="J274">
        <f>SMALL('SimData1 and 2'!$C$9:$C$508,265)</f>
        <v>7.2182019987486772</v>
      </c>
      <c r="K274">
        <f>1/(COUNT('SimData1 and 2'!$C$9:$C$508)-1)+$K$273</f>
        <v>0.52905811623246535</v>
      </c>
    </row>
    <row r="275" spans="1:11" x14ac:dyDescent="0.2">
      <c r="A275">
        <v>267</v>
      </c>
      <c r="B275">
        <v>8.1210752313721173</v>
      </c>
      <c r="C275">
        <v>7.2616245132443762</v>
      </c>
      <c r="H275">
        <f>SMALL('SimData1 and 2'!$B$9:$B$508,266)</f>
        <v>7.2186710543579267</v>
      </c>
      <c r="I275">
        <f>1/(COUNT('SimData1 and 2'!$B$9:$B$508)-1)+$I$274</f>
        <v>0.53106212424849741</v>
      </c>
      <c r="J275">
        <f>SMALL('SimData1 and 2'!$C$9:$C$508,266)</f>
        <v>7.2185937551047603</v>
      </c>
      <c r="K275">
        <f>1/(COUNT('SimData1 and 2'!$C$9:$C$508)-1)+$K$274</f>
        <v>0.53106212424849741</v>
      </c>
    </row>
    <row r="276" spans="1:11" x14ac:dyDescent="0.2">
      <c r="A276">
        <v>268</v>
      </c>
      <c r="B276">
        <v>8.0547685780849818</v>
      </c>
      <c r="C276">
        <v>3.8428505202459378</v>
      </c>
      <c r="H276">
        <f>SMALL('SimData1 and 2'!$B$9:$B$508,267)</f>
        <v>7.2188483628435147</v>
      </c>
      <c r="I276">
        <f>1/(COUNT('SimData1 and 2'!$B$9:$B$508)-1)+$I$275</f>
        <v>0.53306613226452948</v>
      </c>
      <c r="J276">
        <f>SMALL('SimData1 and 2'!$C$9:$C$508,267)</f>
        <v>7.2190487448973286</v>
      </c>
      <c r="K276">
        <f>1/(COUNT('SimData1 and 2'!$C$9:$C$508)-1)+$K$275</f>
        <v>0.53306613226452948</v>
      </c>
    </row>
    <row r="277" spans="1:11" x14ac:dyDescent="0.2">
      <c r="A277">
        <v>269</v>
      </c>
      <c r="B277">
        <v>7.2534685423684397</v>
      </c>
      <c r="C277">
        <v>7.0152072027730563</v>
      </c>
      <c r="H277">
        <f>SMALL('SimData1 and 2'!$B$9:$B$508,268)</f>
        <v>7.219316745496716</v>
      </c>
      <c r="I277">
        <f>1/(COUNT('SimData1 and 2'!$B$9:$B$508)-1)+$I$276</f>
        <v>0.53507014028056155</v>
      </c>
      <c r="J277">
        <f>SMALL('SimData1 and 2'!$C$9:$C$508,268)</f>
        <v>7.2193923768669714</v>
      </c>
      <c r="K277">
        <f>1/(COUNT('SimData1 and 2'!$C$9:$C$508)-1)+$K$276</f>
        <v>0.53507014028056155</v>
      </c>
    </row>
    <row r="278" spans="1:11" x14ac:dyDescent="0.2">
      <c r="A278">
        <v>270</v>
      </c>
      <c r="B278">
        <v>7.9392158374258255</v>
      </c>
      <c r="C278">
        <v>7.9544121300775013</v>
      </c>
      <c r="H278">
        <f>SMALL('SimData1 and 2'!$B$9:$B$508,269)</f>
        <v>7.2197934758786149</v>
      </c>
      <c r="I278">
        <f>1/(COUNT('SimData1 and 2'!$B$9:$B$508)-1)+$I$277</f>
        <v>0.53707414829659361</v>
      </c>
      <c r="J278">
        <f>SMALL('SimData1 and 2'!$C$9:$C$508,269)</f>
        <v>7.2196407317563471</v>
      </c>
      <c r="K278">
        <f>1/(COUNT('SimData1 and 2'!$C$9:$C$508)-1)+$K$277</f>
        <v>0.53707414829659361</v>
      </c>
    </row>
    <row r="279" spans="1:11" x14ac:dyDescent="0.2">
      <c r="A279">
        <v>271</v>
      </c>
      <c r="B279">
        <v>7.1965723219276274</v>
      </c>
      <c r="C279">
        <v>7.2222768195617046</v>
      </c>
      <c r="H279">
        <f>SMALL('SimData1 and 2'!$B$9:$B$508,270)</f>
        <v>7.2199869283275984</v>
      </c>
      <c r="I279">
        <f>1/(COUNT('SimData1 and 2'!$B$9:$B$508)-1)+$I$278</f>
        <v>0.53907815631262568</v>
      </c>
      <c r="J279">
        <f>SMALL('SimData1 and 2'!$C$9:$C$508,270)</f>
        <v>7.2201410923710023</v>
      </c>
      <c r="K279">
        <f>1/(COUNT('SimData1 and 2'!$C$9:$C$508)-1)+$K$278</f>
        <v>0.53907815631262568</v>
      </c>
    </row>
    <row r="280" spans="1:11" x14ac:dyDescent="0.2">
      <c r="A280">
        <v>272</v>
      </c>
      <c r="B280">
        <v>7.2256592377253153</v>
      </c>
      <c r="C280">
        <v>15.399986950049385</v>
      </c>
      <c r="H280">
        <f>SMALL('SimData1 and 2'!$B$9:$B$508,271)</f>
        <v>7.2205929195916667</v>
      </c>
      <c r="I280">
        <f>1/(COUNT('SimData1 and 2'!$B$9:$B$508)-1)+$I$279</f>
        <v>0.54108216432865774</v>
      </c>
      <c r="J280">
        <f>SMALL('SimData1 and 2'!$C$9:$C$508,271)</f>
        <v>7.2205110472557656</v>
      </c>
      <c r="K280">
        <f>1/(COUNT('SimData1 and 2'!$C$9:$C$508)-1)+$K$279</f>
        <v>0.54108216432865774</v>
      </c>
    </row>
    <row r="281" spans="1:11" x14ac:dyDescent="0.2">
      <c r="A281">
        <v>273</v>
      </c>
      <c r="B281">
        <v>8.288218662321249</v>
      </c>
      <c r="C281">
        <v>15.399975219467141</v>
      </c>
      <c r="H281">
        <f>SMALL('SimData1 and 2'!$B$9:$B$508,272)</f>
        <v>7.2209262571587152</v>
      </c>
      <c r="I281">
        <f>1/(COUNT('SimData1 and 2'!$B$9:$B$508)-1)+$I$280</f>
        <v>0.54308617234468981</v>
      </c>
      <c r="J281">
        <f>SMALL('SimData1 and 2'!$C$9:$C$508,272)</f>
        <v>7.2208819026455151</v>
      </c>
      <c r="K281">
        <f>1/(COUNT('SimData1 and 2'!$C$9:$C$508)-1)+$K$280</f>
        <v>0.54308617234468981</v>
      </c>
    </row>
    <row r="282" spans="1:11" x14ac:dyDescent="0.2">
      <c r="A282">
        <v>274</v>
      </c>
      <c r="B282">
        <v>6.0059963216242398</v>
      </c>
      <c r="C282">
        <v>7.2394484267999744</v>
      </c>
      <c r="H282">
        <f>SMALL('SimData1 and 2'!$B$9:$B$508,273)</f>
        <v>7.2215001307550999</v>
      </c>
      <c r="I282">
        <f>1/(COUNT('SimData1 and 2'!$B$9:$B$508)-1)+$I$281</f>
        <v>0.54509018036072188</v>
      </c>
      <c r="J282">
        <f>SMALL('SimData1 and 2'!$C$9:$C$508,273)</f>
        <v>7.2211560645686799</v>
      </c>
      <c r="K282">
        <f>1/(COUNT('SimData1 and 2'!$C$9:$C$508)-1)+$K$281</f>
        <v>0.54509018036072188</v>
      </c>
    </row>
    <row r="283" spans="1:11" x14ac:dyDescent="0.2">
      <c r="A283">
        <v>275</v>
      </c>
      <c r="B283">
        <v>7.2512385198126337</v>
      </c>
      <c r="C283">
        <v>15.399959447581187</v>
      </c>
      <c r="H283">
        <f>SMALL('SimData1 and 2'!$B$9:$B$508,274)</f>
        <v>7.2218606439749333</v>
      </c>
      <c r="I283">
        <f>1/(COUNT('SimData1 and 2'!$B$9:$B$508)-1)+$I$282</f>
        <v>0.54709418837675394</v>
      </c>
      <c r="J283">
        <f>SMALL('SimData1 and 2'!$C$9:$C$508,274)</f>
        <v>7.221858510174739</v>
      </c>
      <c r="K283">
        <f>1/(COUNT('SimData1 and 2'!$C$9:$C$508)-1)+$K$282</f>
        <v>0.54709418837675394</v>
      </c>
    </row>
    <row r="284" spans="1:11" x14ac:dyDescent="0.2">
      <c r="A284">
        <v>276</v>
      </c>
      <c r="B284">
        <v>6.3253726268032491</v>
      </c>
      <c r="C284">
        <v>7.5944407009025543</v>
      </c>
      <c r="H284">
        <f>SMALL('SimData1 and 2'!$B$9:$B$508,275)</f>
        <v>7.2223101268829257</v>
      </c>
      <c r="I284">
        <f>1/(COUNT('SimData1 and 2'!$B$9:$B$508)-1)+$I$283</f>
        <v>0.54909819639278601</v>
      </c>
      <c r="J284">
        <f>SMALL('SimData1 and 2'!$C$9:$C$508,275)</f>
        <v>7.2222768195617046</v>
      </c>
      <c r="K284">
        <f>1/(COUNT('SimData1 and 2'!$C$9:$C$508)-1)+$K$283</f>
        <v>0.54909819639278601</v>
      </c>
    </row>
    <row r="285" spans="1:11" x14ac:dyDescent="0.2">
      <c r="A285">
        <v>277</v>
      </c>
      <c r="B285">
        <v>8.0071325534726157</v>
      </c>
      <c r="C285">
        <v>7.2168439039226051</v>
      </c>
      <c r="H285">
        <f>SMALL('SimData1 and 2'!$B$9:$B$508,276)</f>
        <v>7.2224575180121686</v>
      </c>
      <c r="I285">
        <f>1/(COUNT('SimData1 and 2'!$B$9:$B$508)-1)+$I$284</f>
        <v>0.55110220440881807</v>
      </c>
      <c r="J285">
        <f>SMALL('SimData1 and 2'!$C$9:$C$508,276)</f>
        <v>7.2224985695519042</v>
      </c>
      <c r="K285">
        <f>1/(COUNT('SimData1 and 2'!$C$9:$C$508)-1)+$K$284</f>
        <v>0.55110220440881807</v>
      </c>
    </row>
    <row r="286" spans="1:11" x14ac:dyDescent="0.2">
      <c r="A286">
        <v>278</v>
      </c>
      <c r="B286">
        <v>8.3357296255022213</v>
      </c>
      <c r="C286">
        <v>7.2487740606951681</v>
      </c>
      <c r="H286">
        <f>SMALL('SimData1 and 2'!$B$9:$B$508,277)</f>
        <v>7.2229402235099984</v>
      </c>
      <c r="I286">
        <f>1/(COUNT('SimData1 and 2'!$B$9:$B$508)-1)+$I$285</f>
        <v>0.55310621242485014</v>
      </c>
      <c r="J286">
        <f>SMALL('SimData1 and 2'!$C$9:$C$508,277)</f>
        <v>7.2228419422323764</v>
      </c>
      <c r="K286">
        <f>1/(COUNT('SimData1 and 2'!$C$9:$C$508)-1)+$K$285</f>
        <v>0.55310621242485014</v>
      </c>
    </row>
    <row r="287" spans="1:11" x14ac:dyDescent="0.2">
      <c r="A287">
        <v>279</v>
      </c>
      <c r="B287">
        <v>5.1826949366281649</v>
      </c>
      <c r="C287">
        <v>12.313504834077841</v>
      </c>
      <c r="H287">
        <f>SMALL('SimData1 and 2'!$B$9:$B$508,278)</f>
        <v>7.2234198978800288</v>
      </c>
      <c r="I287">
        <f>1/(COUNT('SimData1 and 2'!$B$9:$B$508)-1)+$I$286</f>
        <v>0.55511022044088221</v>
      </c>
      <c r="J287">
        <f>SMALL('SimData1 and 2'!$C$9:$C$508,278)</f>
        <v>7.223463906689533</v>
      </c>
      <c r="K287">
        <f>1/(COUNT('SimData1 and 2'!$C$9:$C$508)-1)+$K$286</f>
        <v>0.55511022044088221</v>
      </c>
    </row>
    <row r="288" spans="1:11" x14ac:dyDescent="0.2">
      <c r="A288">
        <v>280</v>
      </c>
      <c r="B288">
        <v>6.0037279299385053</v>
      </c>
      <c r="C288">
        <v>6.5614262438987714</v>
      </c>
      <c r="H288">
        <f>SMALL('SimData1 and 2'!$B$9:$B$508,279)</f>
        <v>7.2236843616472024</v>
      </c>
      <c r="I288">
        <f>1/(COUNT('SimData1 and 2'!$B$9:$B$508)-1)+$I$287</f>
        <v>0.55711422845691427</v>
      </c>
      <c r="J288">
        <f>SMALL('SimData1 and 2'!$C$9:$C$508,279)</f>
        <v>7.2238215001321056</v>
      </c>
      <c r="K288">
        <f>1/(COUNT('SimData1 and 2'!$C$9:$C$508)-1)+$K$287</f>
        <v>0.55711422845691427</v>
      </c>
    </row>
    <row r="289" spans="1:11" x14ac:dyDescent="0.2">
      <c r="A289">
        <v>281</v>
      </c>
      <c r="B289">
        <v>7.2438180759922508</v>
      </c>
      <c r="C289">
        <v>6.0238745858787865</v>
      </c>
      <c r="H289">
        <f>SMALL('SimData1 and 2'!$B$9:$B$508,280)</f>
        <v>7.2240836645947182</v>
      </c>
      <c r="I289">
        <f>1/(COUNT('SimData1 and 2'!$B$9:$B$508)-1)+$I$288</f>
        <v>0.55911823647294634</v>
      </c>
      <c r="J289">
        <f>SMALL('SimData1 and 2'!$C$9:$C$508,280)</f>
        <v>7.2242963405698424</v>
      </c>
      <c r="K289">
        <f>1/(COUNT('SimData1 and 2'!$C$9:$C$508)-1)+$K$288</f>
        <v>0.55911823647294634</v>
      </c>
    </row>
    <row r="290" spans="1:11" x14ac:dyDescent="0.2">
      <c r="A290">
        <v>282</v>
      </c>
      <c r="B290">
        <v>6.3686810247117878</v>
      </c>
      <c r="C290">
        <v>7.5800118905051512</v>
      </c>
      <c r="H290">
        <f>SMALL('SimData1 and 2'!$B$9:$B$508,281)</f>
        <v>7.2245651043079224</v>
      </c>
      <c r="I290">
        <f>1/(COUNT('SimData1 and 2'!$B$9:$B$508)-1)+$I$289</f>
        <v>0.56112224448897841</v>
      </c>
      <c r="J290">
        <f>SMALL('SimData1 and 2'!$C$9:$C$508,281)</f>
        <v>7.2243749666954056</v>
      </c>
      <c r="K290">
        <f>1/(COUNT('SimData1 and 2'!$C$9:$C$508)-1)+$K$289</f>
        <v>0.56112224448897841</v>
      </c>
    </row>
    <row r="291" spans="1:11" x14ac:dyDescent="0.2">
      <c r="A291">
        <v>283</v>
      </c>
      <c r="B291">
        <v>6.4799775793747498</v>
      </c>
      <c r="C291">
        <v>7.8949419177935685</v>
      </c>
      <c r="H291">
        <f>SMALL('SimData1 and 2'!$B$9:$B$508,282)</f>
        <v>7.2249588137630294</v>
      </c>
      <c r="I291">
        <f>1/(COUNT('SimData1 and 2'!$B$9:$B$508)-1)+$I$290</f>
        <v>0.56312625250501047</v>
      </c>
      <c r="J291">
        <f>SMALL('SimData1 and 2'!$C$9:$C$508,282)</f>
        <v>7.2248124745838727</v>
      </c>
      <c r="K291">
        <f>1/(COUNT('SimData1 and 2'!$C$9:$C$508)-1)+$K$290</f>
        <v>0.56312625250501047</v>
      </c>
    </row>
    <row r="292" spans="1:11" x14ac:dyDescent="0.2">
      <c r="A292">
        <v>284</v>
      </c>
      <c r="B292">
        <v>7.801502994661524</v>
      </c>
      <c r="C292">
        <v>6.5689714625322333</v>
      </c>
      <c r="H292">
        <f>SMALL('SimData1 and 2'!$B$9:$B$508,283)</f>
        <v>7.2253733004037706</v>
      </c>
      <c r="I292">
        <f>1/(COUNT('SimData1 and 2'!$B$9:$B$508)-1)+$I$291</f>
        <v>0.56513026052104254</v>
      </c>
      <c r="J292">
        <f>SMALL('SimData1 and 2'!$C$9:$C$508,283)</f>
        <v>7.2254662821420048</v>
      </c>
      <c r="K292">
        <f>1/(COUNT('SimData1 and 2'!$C$9:$C$508)-1)+$K$291</f>
        <v>0.56513026052104254</v>
      </c>
    </row>
    <row r="293" spans="1:11" x14ac:dyDescent="0.2">
      <c r="A293">
        <v>285</v>
      </c>
      <c r="B293">
        <v>7.2776905233122244</v>
      </c>
      <c r="C293">
        <v>9.6613316540001453</v>
      </c>
      <c r="H293">
        <f>SMALL('SimData1 and 2'!$B$9:$B$508,284)</f>
        <v>7.2256592377253153</v>
      </c>
      <c r="I293">
        <f>1/(COUNT('SimData1 and 2'!$B$9:$B$508)-1)+$I$292</f>
        <v>0.5671342685370746</v>
      </c>
      <c r="J293">
        <f>SMALL('SimData1 and 2'!$C$9:$C$508,284)</f>
        <v>7.2256457081560148</v>
      </c>
      <c r="K293">
        <f>1/(COUNT('SimData1 and 2'!$C$9:$C$508)-1)+$K$292</f>
        <v>0.5671342685370746</v>
      </c>
    </row>
    <row r="294" spans="1:11" x14ac:dyDescent="0.2">
      <c r="A294">
        <v>286</v>
      </c>
      <c r="B294">
        <v>6.00067981234867</v>
      </c>
      <c r="C294">
        <v>6.8094918360427723</v>
      </c>
      <c r="H294">
        <f>SMALL('SimData1 and 2'!$B$9:$B$508,285)</f>
        <v>7.2260431767578925</v>
      </c>
      <c r="I294">
        <f>1/(COUNT('SimData1 and 2'!$B$9:$B$508)-1)+$I$293</f>
        <v>0.56913827655310667</v>
      </c>
      <c r="J294">
        <f>SMALL('SimData1 and 2'!$C$9:$C$508,285)</f>
        <v>7.2261898346120432</v>
      </c>
      <c r="K294">
        <f>1/(COUNT('SimData1 and 2'!$C$9:$C$508)-1)+$K$293</f>
        <v>0.56913827655310667</v>
      </c>
    </row>
    <row r="295" spans="1:11" x14ac:dyDescent="0.2">
      <c r="A295">
        <v>287</v>
      </c>
      <c r="B295">
        <v>7.2484819393498992</v>
      </c>
      <c r="C295">
        <v>6.0057214328296222</v>
      </c>
      <c r="H295">
        <f>SMALL('SimData1 and 2'!$B$9:$B$508,286)</f>
        <v>7.2263277997204165</v>
      </c>
      <c r="I295">
        <f>1/(COUNT('SimData1 and 2'!$B$9:$B$508)-1)+$I$294</f>
        <v>0.57114228456913874</v>
      </c>
      <c r="J295">
        <f>SMALL('SimData1 and 2'!$C$9:$C$508,286)</f>
        <v>7.2264483054772759</v>
      </c>
      <c r="K295">
        <f>1/(COUNT('SimData1 and 2'!$C$9:$C$508)-1)+$K$294</f>
        <v>0.57114228456913874</v>
      </c>
    </row>
    <row r="296" spans="1:11" x14ac:dyDescent="0.2">
      <c r="A296">
        <v>288</v>
      </c>
      <c r="B296">
        <v>8.4386505271668248</v>
      </c>
      <c r="C296">
        <v>8.0104783890827402</v>
      </c>
      <c r="H296">
        <f>SMALL('SimData1 and 2'!$B$9:$B$508,287)</f>
        <v>7.2266720797155957</v>
      </c>
      <c r="I296">
        <f>1/(COUNT('SimData1 and 2'!$B$9:$B$508)-1)+$I$295</f>
        <v>0.5731462925851708</v>
      </c>
      <c r="J296">
        <f>SMALL('SimData1 and 2'!$C$9:$C$508,287)</f>
        <v>7.2270543088522361</v>
      </c>
      <c r="K296">
        <f>1/(COUNT('SimData1 and 2'!$C$9:$C$508)-1)+$K$295</f>
        <v>0.5731462925851708</v>
      </c>
    </row>
    <row r="297" spans="1:11" x14ac:dyDescent="0.2">
      <c r="A297">
        <v>289</v>
      </c>
      <c r="B297">
        <v>8.1413873964861025</v>
      </c>
      <c r="C297">
        <v>7.2273443852067114</v>
      </c>
      <c r="H297">
        <f>SMALL('SimData1 and 2'!$B$9:$B$508,288)</f>
        <v>7.2272253107024209</v>
      </c>
      <c r="I297">
        <f>1/(COUNT('SimData1 and 2'!$B$9:$B$508)-1)+$I$296</f>
        <v>0.57515030060120287</v>
      </c>
      <c r="J297">
        <f>SMALL('SimData1 and 2'!$C$9:$C$508,288)</f>
        <v>7.2273443852067114</v>
      </c>
      <c r="K297">
        <f>1/(COUNT('SimData1 and 2'!$C$9:$C$508)-1)+$K$296</f>
        <v>0.57515030060120287</v>
      </c>
    </row>
    <row r="298" spans="1:11" x14ac:dyDescent="0.2">
      <c r="A298">
        <v>290</v>
      </c>
      <c r="B298">
        <v>7.2067452784510255</v>
      </c>
      <c r="C298">
        <v>8.0392914334785424</v>
      </c>
      <c r="H298">
        <f>SMALL('SimData1 and 2'!$B$9:$B$508,289)</f>
        <v>7.2275950193773602</v>
      </c>
      <c r="I298">
        <f>1/(COUNT('SimData1 and 2'!$B$9:$B$508)-1)+$I$297</f>
        <v>0.57715430861723493</v>
      </c>
      <c r="J298">
        <f>SMALL('SimData1 and 2'!$C$9:$C$508,289)</f>
        <v>7.227802459790353</v>
      </c>
      <c r="K298">
        <f>1/(COUNT('SimData1 and 2'!$C$9:$C$508)-1)+$K$297</f>
        <v>0.57715430861723493</v>
      </c>
    </row>
    <row r="299" spans="1:11" x14ac:dyDescent="0.2">
      <c r="A299">
        <v>291</v>
      </c>
      <c r="B299">
        <v>6.0067792849163935</v>
      </c>
      <c r="C299">
        <v>7.1729518764677263</v>
      </c>
      <c r="H299">
        <f>SMALL('SimData1 and 2'!$B$9:$B$508,290)</f>
        <v>7.2281191695441009</v>
      </c>
      <c r="I299">
        <f>1/(COUNT('SimData1 and 2'!$B$9:$B$508)-1)+$I$298</f>
        <v>0.579158316633267</v>
      </c>
      <c r="J299">
        <f>SMALL('SimData1 and 2'!$C$9:$C$508,290)</f>
        <v>7.2280780446675363</v>
      </c>
      <c r="K299">
        <f>1/(COUNT('SimData1 and 2'!$C$9:$C$508)-1)+$K$298</f>
        <v>0.579158316633267</v>
      </c>
    </row>
    <row r="300" spans="1:11" x14ac:dyDescent="0.2">
      <c r="A300">
        <v>292</v>
      </c>
      <c r="B300">
        <v>8.4251706586446495</v>
      </c>
      <c r="C300">
        <v>5.9981881991808317</v>
      </c>
      <c r="H300">
        <f>SMALL('SimData1 and 2'!$B$9:$B$508,291)</f>
        <v>7.2283760614809793</v>
      </c>
      <c r="I300">
        <f>1/(COUNT('SimData1 and 2'!$B$9:$B$508)-1)+$I$299</f>
        <v>0.58116232464929907</v>
      </c>
      <c r="J300">
        <f>SMALL('SimData1 and 2'!$C$9:$C$508,291)</f>
        <v>7.228492813543709</v>
      </c>
      <c r="K300">
        <f>1/(COUNT('SimData1 and 2'!$C$9:$C$508)-1)+$K$299</f>
        <v>0.58116232464929907</v>
      </c>
    </row>
    <row r="301" spans="1:11" x14ac:dyDescent="0.2">
      <c r="A301">
        <v>293</v>
      </c>
      <c r="B301">
        <v>7.2205929195916667</v>
      </c>
      <c r="C301">
        <v>7.9478139429156531</v>
      </c>
      <c r="H301">
        <f>SMALL('SimData1 and 2'!$B$9:$B$508,292)</f>
        <v>7.2289001883274162</v>
      </c>
      <c r="I301">
        <f>1/(COUNT('SimData1 and 2'!$B$9:$B$508)-1)+$I$300</f>
        <v>0.58316633266533113</v>
      </c>
      <c r="J301">
        <f>SMALL('SimData1 and 2'!$C$9:$C$508,292)</f>
        <v>7.2288858978668804</v>
      </c>
      <c r="K301">
        <f>1/(COUNT('SimData1 and 2'!$C$9:$C$508)-1)+$K$300</f>
        <v>0.58316633266533113</v>
      </c>
    </row>
    <row r="302" spans="1:11" x14ac:dyDescent="0.2">
      <c r="A302">
        <v>294</v>
      </c>
      <c r="B302">
        <v>7.0824409402437336</v>
      </c>
      <c r="C302">
        <v>7.2190487448973286</v>
      </c>
      <c r="H302">
        <f>SMALL('SimData1 and 2'!$B$9:$B$508,293)</f>
        <v>7.2292529972472419</v>
      </c>
      <c r="I302">
        <f>1/(COUNT('SimData1 and 2'!$B$9:$B$508)-1)+$I$301</f>
        <v>0.5851703406813632</v>
      </c>
      <c r="J302">
        <f>SMALL('SimData1 and 2'!$C$9:$C$508,293)</f>
        <v>7.229323093006764</v>
      </c>
      <c r="K302">
        <f>1/(COUNT('SimData1 and 2'!$C$9:$C$508)-1)+$K$301</f>
        <v>0.5851703406813632</v>
      </c>
    </row>
    <row r="303" spans="1:11" x14ac:dyDescent="0.2">
      <c r="A303">
        <v>295</v>
      </c>
      <c r="B303">
        <v>7.2125221598704838</v>
      </c>
      <c r="C303">
        <v>3.5000001722756826</v>
      </c>
      <c r="H303">
        <f>SMALL('SimData1 and 2'!$B$9:$B$508,294)</f>
        <v>7.2296920448203377</v>
      </c>
      <c r="I303">
        <f>1/(COUNT('SimData1 and 2'!$B$9:$B$508)-1)+$I$302</f>
        <v>0.58717434869739527</v>
      </c>
      <c r="J303">
        <f>SMALL('SimData1 and 2'!$C$9:$C$508,294)</f>
        <v>7.2294919280325605</v>
      </c>
      <c r="K303">
        <f>1/(COUNT('SimData1 and 2'!$C$9:$C$508)-1)+$K$302</f>
        <v>0.58717434869739527</v>
      </c>
    </row>
    <row r="304" spans="1:11" x14ac:dyDescent="0.2">
      <c r="A304">
        <v>296</v>
      </c>
      <c r="B304">
        <v>7.2025583472689831</v>
      </c>
      <c r="C304">
        <v>7.950041712665354</v>
      </c>
      <c r="H304">
        <f>SMALL('SimData1 and 2'!$B$9:$B$508,295)</f>
        <v>7.2301579102125499</v>
      </c>
      <c r="I304">
        <f>1/(COUNT('SimData1 and 2'!$B$9:$B$508)-1)+$I$303</f>
        <v>0.58917835671342733</v>
      </c>
      <c r="J304">
        <f>SMALL('SimData1 and 2'!$C$9:$C$508,295)</f>
        <v>7.2302095502467054</v>
      </c>
      <c r="K304">
        <f>1/(COUNT('SimData1 and 2'!$C$9:$C$508)-1)+$K$303</f>
        <v>0.58917835671342733</v>
      </c>
    </row>
    <row r="305" spans="1:11" x14ac:dyDescent="0.2">
      <c r="A305">
        <v>297</v>
      </c>
      <c r="B305">
        <v>6.2302050335408143</v>
      </c>
      <c r="C305">
        <v>7.214772690643299</v>
      </c>
      <c r="H305">
        <f>SMALL('SimData1 and 2'!$B$9:$B$508,296)</f>
        <v>7.2310782110423037</v>
      </c>
      <c r="I305">
        <f>1/(COUNT('SimData1 and 2'!$B$9:$B$508)-1)+$I$304</f>
        <v>0.5911823647294594</v>
      </c>
      <c r="J305">
        <f>SMALL('SimData1 and 2'!$C$9:$C$508,296)</f>
        <v>7.2307315541275585</v>
      </c>
      <c r="K305">
        <f>1/(COUNT('SimData1 and 2'!$C$9:$C$508)-1)+$K$304</f>
        <v>0.5911823647294594</v>
      </c>
    </row>
    <row r="306" spans="1:11" x14ac:dyDescent="0.2">
      <c r="A306">
        <v>298</v>
      </c>
      <c r="B306">
        <v>7.7829150481388387</v>
      </c>
      <c r="C306">
        <v>3.5000016996179708</v>
      </c>
      <c r="H306">
        <f>SMALL('SimData1 and 2'!$B$9:$B$508,297)</f>
        <v>7.232382222657086</v>
      </c>
      <c r="I306">
        <f>1/(COUNT('SimData1 and 2'!$B$9:$B$508)-1)+$I$305</f>
        <v>0.59318637274549146</v>
      </c>
      <c r="J306">
        <f>SMALL('SimData1 and 2'!$C$9:$C$508,297)</f>
        <v>7.2317299282597496</v>
      </c>
      <c r="K306">
        <f>1/(COUNT('SimData1 and 2'!$C$9:$C$508)-1)+$K$305</f>
        <v>0.59318637274549146</v>
      </c>
    </row>
    <row r="307" spans="1:11" x14ac:dyDescent="0.2">
      <c r="A307">
        <v>299</v>
      </c>
      <c r="B307">
        <v>8.4386881176581703</v>
      </c>
      <c r="C307">
        <v>11.547169783979506</v>
      </c>
      <c r="H307">
        <f>SMALL('SimData1 and 2'!$B$9:$B$508,298)</f>
        <v>7.2326036689274398</v>
      </c>
      <c r="I307">
        <f>1/(COUNT('SimData1 and 2'!$B$9:$B$508)-1)+$I$306</f>
        <v>0.59519038076152353</v>
      </c>
      <c r="J307">
        <f>SMALL('SimData1 and 2'!$C$9:$C$508,298)</f>
        <v>7.2333421175271724</v>
      </c>
      <c r="K307">
        <f>1/(COUNT('SimData1 and 2'!$C$9:$C$508)-1)+$K$306</f>
        <v>0.59519038076152353</v>
      </c>
    </row>
    <row r="308" spans="1:11" x14ac:dyDescent="0.2">
      <c r="A308">
        <v>300</v>
      </c>
      <c r="B308">
        <v>6.2847191741106148</v>
      </c>
      <c r="C308">
        <v>7.2675908717504809</v>
      </c>
      <c r="H308">
        <f>SMALL('SimData1 and 2'!$B$9:$B$508,299)</f>
        <v>7.2344430089636109</v>
      </c>
      <c r="I308">
        <f>1/(COUNT('SimData1 and 2'!$B$9:$B$508)-1)+$I$307</f>
        <v>0.5971943887775556</v>
      </c>
      <c r="J308">
        <f>SMALL('SimData1 and 2'!$C$9:$C$508,299)</f>
        <v>7.2343057993900759</v>
      </c>
      <c r="K308">
        <f>1/(COUNT('SimData1 and 2'!$C$9:$C$508)-1)+$K$307</f>
        <v>0.5971943887775556</v>
      </c>
    </row>
    <row r="309" spans="1:11" x14ac:dyDescent="0.2">
      <c r="A309">
        <v>301</v>
      </c>
      <c r="B309">
        <v>7.3734202942427878</v>
      </c>
      <c r="C309">
        <v>15.39993919849532</v>
      </c>
      <c r="H309">
        <f>SMALL('SimData1 and 2'!$B$9:$B$508,300)</f>
        <v>7.2352668156211095</v>
      </c>
      <c r="I309">
        <f>1/(COUNT('SimData1 and 2'!$B$9:$B$508)-1)+$I$308</f>
        <v>0.59919839679358766</v>
      </c>
      <c r="J309">
        <f>SMALL('SimData1 and 2'!$C$9:$C$508,300)</f>
        <v>7.2364402409873225</v>
      </c>
      <c r="K309">
        <f>1/(COUNT('SimData1 and 2'!$C$9:$C$508)-1)+$K$308</f>
        <v>0.59919839679358766</v>
      </c>
    </row>
    <row r="310" spans="1:11" x14ac:dyDescent="0.2">
      <c r="A310">
        <v>302</v>
      </c>
      <c r="B310">
        <v>7.2794357343434761</v>
      </c>
      <c r="C310">
        <v>8.6080991234608426</v>
      </c>
      <c r="H310">
        <f>SMALL('SimData1 and 2'!$B$9:$B$508,301)</f>
        <v>7.2375948715495841</v>
      </c>
      <c r="I310">
        <f>1/(COUNT('SimData1 and 2'!$B$9:$B$508)-1)+$I$309</f>
        <v>0.60120240480961973</v>
      </c>
      <c r="J310">
        <f>SMALL('SimData1 and 2'!$C$9:$C$508,301)</f>
        <v>7.2370576014214869</v>
      </c>
      <c r="K310">
        <f>1/(COUNT('SimData1 and 2'!$C$9:$C$508)-1)+$K$309</f>
        <v>0.60120240480961973</v>
      </c>
    </row>
    <row r="311" spans="1:11" x14ac:dyDescent="0.2">
      <c r="A311">
        <v>303</v>
      </c>
      <c r="B311">
        <v>8.4386540357464561</v>
      </c>
      <c r="C311">
        <v>5.9960072571317324</v>
      </c>
      <c r="H311">
        <f>SMALL('SimData1 and 2'!$B$9:$B$508,302)</f>
        <v>7.2392278525171472</v>
      </c>
      <c r="I311">
        <f>1/(COUNT('SimData1 and 2'!$B$9:$B$508)-1)+$I$310</f>
        <v>0.60320641282565179</v>
      </c>
      <c r="J311">
        <f>SMALL('SimData1 and 2'!$C$9:$C$508,302)</f>
        <v>7.2383683339760214</v>
      </c>
      <c r="K311">
        <f>1/(COUNT('SimData1 and 2'!$C$9:$C$508)-1)+$K$310</f>
        <v>0.60320641282565179</v>
      </c>
    </row>
    <row r="312" spans="1:11" x14ac:dyDescent="0.2">
      <c r="A312">
        <v>304</v>
      </c>
      <c r="B312">
        <v>5.9982735711667114</v>
      </c>
      <c r="C312">
        <v>7.5255552475915062</v>
      </c>
      <c r="H312">
        <f>SMALL('SimData1 and 2'!$B$9:$B$508,303)</f>
        <v>7.2405454480100504</v>
      </c>
      <c r="I312">
        <f>1/(COUNT('SimData1 and 2'!$B$9:$B$508)-1)+$I$311</f>
        <v>0.60521042084168386</v>
      </c>
      <c r="J312">
        <f>SMALL('SimData1 and 2'!$C$9:$C$508,303)</f>
        <v>7.2394484267999744</v>
      </c>
      <c r="K312">
        <f>1/(COUNT('SimData1 and 2'!$C$9:$C$508)-1)+$K$311</f>
        <v>0.60521042084168386</v>
      </c>
    </row>
    <row r="313" spans="1:11" x14ac:dyDescent="0.2">
      <c r="A313">
        <v>305</v>
      </c>
      <c r="B313">
        <v>6.0020963945313817</v>
      </c>
      <c r="C313">
        <v>5.9990977849080274</v>
      </c>
      <c r="H313">
        <f>SMALL('SimData1 and 2'!$B$9:$B$508,304)</f>
        <v>7.2419239829660658</v>
      </c>
      <c r="I313">
        <f>1/(COUNT('SimData1 and 2'!$B$9:$B$508)-1)+$I$312</f>
        <v>0.60721442885771593</v>
      </c>
      <c r="J313">
        <f>SMALL('SimData1 and 2'!$C$9:$C$508,304)</f>
        <v>7.2414634679972529</v>
      </c>
      <c r="K313">
        <f>1/(COUNT('SimData1 and 2'!$C$9:$C$508)-1)+$K$312</f>
        <v>0.60721442885771593</v>
      </c>
    </row>
    <row r="314" spans="1:11" x14ac:dyDescent="0.2">
      <c r="A314">
        <v>306</v>
      </c>
      <c r="B314">
        <v>6.0079247209374165</v>
      </c>
      <c r="C314">
        <v>3.7591641980951751</v>
      </c>
      <c r="H314">
        <f>SMALL('SimData1 and 2'!$B$9:$B$508,305)</f>
        <v>7.2420599549323397</v>
      </c>
      <c r="I314">
        <f>1/(COUNT('SimData1 and 2'!$B$9:$B$508)-1)+$I$313</f>
        <v>0.60921843687374799</v>
      </c>
      <c r="J314">
        <f>SMALL('SimData1 and 2'!$C$9:$C$508,305)</f>
        <v>7.242707579540518</v>
      </c>
      <c r="K314">
        <f>1/(COUNT('SimData1 and 2'!$C$9:$C$508)-1)+$K$313</f>
        <v>0.60921843687374799</v>
      </c>
    </row>
    <row r="315" spans="1:11" x14ac:dyDescent="0.2">
      <c r="A315">
        <v>307</v>
      </c>
      <c r="B315">
        <v>7.1812772307045476</v>
      </c>
      <c r="C315">
        <v>7.2636485069726584</v>
      </c>
      <c r="H315">
        <f>SMALL('SimData1 and 2'!$B$9:$B$508,306)</f>
        <v>7.2438180759922508</v>
      </c>
      <c r="I315">
        <f>1/(COUNT('SimData1 and 2'!$B$9:$B$508)-1)+$I$314</f>
        <v>0.61122244488978006</v>
      </c>
      <c r="J315">
        <f>SMALL('SimData1 and 2'!$C$9:$C$508,306)</f>
        <v>7.2438507811016128</v>
      </c>
      <c r="K315">
        <f>1/(COUNT('SimData1 and 2'!$C$9:$C$508)-1)+$K$314</f>
        <v>0.61122244488978006</v>
      </c>
    </row>
    <row r="316" spans="1:11" x14ac:dyDescent="0.2">
      <c r="A316">
        <v>308</v>
      </c>
      <c r="B316">
        <v>6.0050760129865424</v>
      </c>
      <c r="C316">
        <v>7.2294919280325605</v>
      </c>
      <c r="H316">
        <f>SMALL('SimData1 and 2'!$B$9:$B$508,307)</f>
        <v>7.2455356847261649</v>
      </c>
      <c r="I316">
        <f>1/(COUNT('SimData1 and 2'!$B$9:$B$508)-1)+$I$315</f>
        <v>0.61322645290581212</v>
      </c>
      <c r="J316">
        <f>SMALL('SimData1 and 2'!$C$9:$C$508,307)</f>
        <v>7.2459850744603784</v>
      </c>
      <c r="K316">
        <f>1/(COUNT('SimData1 and 2'!$C$9:$C$508)-1)+$K$315</f>
        <v>0.61322645290581212</v>
      </c>
    </row>
    <row r="317" spans="1:11" x14ac:dyDescent="0.2">
      <c r="A317">
        <v>309</v>
      </c>
      <c r="B317">
        <v>6.6929925257399132</v>
      </c>
      <c r="C317">
        <v>7.2364402409873225</v>
      </c>
      <c r="H317">
        <f>SMALL('SimData1 and 2'!$B$9:$B$508,308)</f>
        <v>7.2466626822488571</v>
      </c>
      <c r="I317">
        <f>1/(COUNT('SimData1 and 2'!$B$9:$B$508)-1)+$I$316</f>
        <v>0.61523046092184419</v>
      </c>
      <c r="J317">
        <f>SMALL('SimData1 and 2'!$C$9:$C$508,308)</f>
        <v>7.2471494799447269</v>
      </c>
      <c r="K317">
        <f>1/(COUNT('SimData1 and 2'!$C$9:$C$508)-1)+$K$316</f>
        <v>0.61523046092184419</v>
      </c>
    </row>
    <row r="318" spans="1:11" x14ac:dyDescent="0.2">
      <c r="A318">
        <v>310</v>
      </c>
      <c r="B318">
        <v>5.5635875226474694</v>
      </c>
      <c r="C318">
        <v>7.2756983027500066</v>
      </c>
      <c r="H318">
        <f>SMALL('SimData1 and 2'!$B$9:$B$508,309)</f>
        <v>7.2484819393498992</v>
      </c>
      <c r="I318">
        <f>1/(COUNT('SimData1 and 2'!$B$9:$B$508)-1)+$I$317</f>
        <v>0.61723446893787626</v>
      </c>
      <c r="J318">
        <f>SMALL('SimData1 and 2'!$C$9:$C$508,309)</f>
        <v>7.2487740606951681</v>
      </c>
      <c r="K318">
        <f>1/(COUNT('SimData1 and 2'!$C$9:$C$508)-1)+$K$317</f>
        <v>0.61723446893787626</v>
      </c>
    </row>
    <row r="319" spans="1:11" x14ac:dyDescent="0.2">
      <c r="A319">
        <v>311</v>
      </c>
      <c r="B319">
        <v>7.0415205866297832</v>
      </c>
      <c r="C319">
        <v>5.9971460401289196</v>
      </c>
      <c r="H319">
        <f>SMALL('SimData1 and 2'!$B$9:$B$508,310)</f>
        <v>7.2489452560542897</v>
      </c>
      <c r="I319">
        <f>1/(COUNT('SimData1 and 2'!$B$9:$B$508)-1)+$I$318</f>
        <v>0.61923847695390832</v>
      </c>
      <c r="J319">
        <f>SMALL('SimData1 and 2'!$C$9:$C$508,310)</f>
        <v>7.2492140657906319</v>
      </c>
      <c r="K319">
        <f>1/(COUNT('SimData1 and 2'!$C$9:$C$508)-1)+$K$318</f>
        <v>0.61923847695390832</v>
      </c>
    </row>
    <row r="320" spans="1:11" x14ac:dyDescent="0.2">
      <c r="A320">
        <v>312</v>
      </c>
      <c r="B320">
        <v>7.189270791574855</v>
      </c>
      <c r="C320">
        <v>5.5748664503374474</v>
      </c>
      <c r="H320">
        <f>SMALL('SimData1 and 2'!$B$9:$B$508,311)</f>
        <v>7.2512385198126337</v>
      </c>
      <c r="I320">
        <f>1/(COUNT('SimData1 and 2'!$B$9:$B$508)-1)+$I$319</f>
        <v>0.62124248496994039</v>
      </c>
      <c r="J320">
        <f>SMALL('SimData1 and 2'!$C$9:$C$508,311)</f>
        <v>7.2502965976588749</v>
      </c>
      <c r="K320">
        <f>1/(COUNT('SimData1 and 2'!$C$9:$C$508)-1)+$K$319</f>
        <v>0.62124248496994039</v>
      </c>
    </row>
    <row r="321" spans="1:11" x14ac:dyDescent="0.2">
      <c r="A321">
        <v>313</v>
      </c>
      <c r="B321">
        <v>8.0223244905740749</v>
      </c>
      <c r="C321">
        <v>11.095547231073223</v>
      </c>
      <c r="H321">
        <f>SMALL('SimData1 and 2'!$B$9:$B$508,312)</f>
        <v>7.2516527597814697</v>
      </c>
      <c r="I321">
        <f>1/(COUNT('SimData1 and 2'!$B$9:$B$508)-1)+$I$320</f>
        <v>0.62324649298597246</v>
      </c>
      <c r="J321">
        <f>SMALL('SimData1 and 2'!$C$9:$C$508,312)</f>
        <v>7.2522318187720458</v>
      </c>
      <c r="K321">
        <f>1/(COUNT('SimData1 and 2'!$C$9:$C$508)-1)+$K$320</f>
        <v>0.62324649298597246</v>
      </c>
    </row>
    <row r="322" spans="1:11" x14ac:dyDescent="0.2">
      <c r="A322">
        <v>314</v>
      </c>
      <c r="B322">
        <v>7.1867631564382473</v>
      </c>
      <c r="C322">
        <v>7.5433070216331419</v>
      </c>
      <c r="H322">
        <f>SMALL('SimData1 and 2'!$B$9:$B$508,313)</f>
        <v>7.2534685423684397</v>
      </c>
      <c r="I322">
        <f>1/(COUNT('SimData1 and 2'!$B$9:$B$508)-1)+$I$321</f>
        <v>0.62525050100200452</v>
      </c>
      <c r="J322">
        <f>SMALL('SimData1 and 2'!$C$9:$C$508,313)</f>
        <v>7.252920852974392</v>
      </c>
      <c r="K322">
        <f>1/(COUNT('SimData1 and 2'!$C$9:$C$508)-1)+$K$321</f>
        <v>0.62525050100200452</v>
      </c>
    </row>
    <row r="323" spans="1:11" x14ac:dyDescent="0.2">
      <c r="A323">
        <v>315</v>
      </c>
      <c r="B323">
        <v>8.438772917387837</v>
      </c>
      <c r="C323">
        <v>4.1111350034032679</v>
      </c>
      <c r="H323">
        <f>SMALL('SimData1 and 2'!$B$9:$B$508,314)</f>
        <v>7.2548160243822082</v>
      </c>
      <c r="I323">
        <f>1/(COUNT('SimData1 and 2'!$B$9:$B$508)-1)+$I$322</f>
        <v>0.62725450901803659</v>
      </c>
      <c r="J323">
        <f>SMALL('SimData1 and 2'!$C$9:$C$508,314)</f>
        <v>7.2547045655363238</v>
      </c>
      <c r="K323">
        <f>1/(COUNT('SimData1 and 2'!$C$9:$C$508)-1)+$K$322</f>
        <v>0.62725450901803659</v>
      </c>
    </row>
    <row r="324" spans="1:11" x14ac:dyDescent="0.2">
      <c r="A324">
        <v>316</v>
      </c>
      <c r="B324">
        <v>8.4386936540812751</v>
      </c>
      <c r="C324">
        <v>6.0047572396527542</v>
      </c>
      <c r="H324">
        <f>SMALL('SimData1 and 2'!$B$9:$B$508,315)</f>
        <v>7.2561699074333825</v>
      </c>
      <c r="I324">
        <f>1/(COUNT('SimData1 and 2'!$B$9:$B$508)-1)+$I$323</f>
        <v>0.62925851703406865</v>
      </c>
      <c r="J324">
        <f>SMALL('SimData1 and 2'!$C$9:$C$508,315)</f>
        <v>7.2557978570948141</v>
      </c>
      <c r="K324">
        <f>1/(COUNT('SimData1 and 2'!$C$9:$C$508)-1)+$K$323</f>
        <v>0.62925851703406865</v>
      </c>
    </row>
    <row r="325" spans="1:11" x14ac:dyDescent="0.2">
      <c r="A325">
        <v>317</v>
      </c>
      <c r="B325">
        <v>8.2092188173998064</v>
      </c>
      <c r="C325">
        <v>6.1681785467789858</v>
      </c>
      <c r="H325">
        <f>SMALL('SimData1 and 2'!$B$9:$B$508,316)</f>
        <v>7.2575163928156785</v>
      </c>
      <c r="I325">
        <f>1/(COUNT('SimData1 and 2'!$B$9:$B$508)-1)+$I$324</f>
        <v>0.63126252505010072</v>
      </c>
      <c r="J325">
        <f>SMALL('SimData1 and 2'!$C$9:$C$508,316)</f>
        <v>7.2583243193989357</v>
      </c>
      <c r="K325">
        <f>1/(COUNT('SimData1 and 2'!$C$9:$C$508)-1)+$K$324</f>
        <v>0.63126252505010072</v>
      </c>
    </row>
    <row r="326" spans="1:11" x14ac:dyDescent="0.2">
      <c r="A326">
        <v>318</v>
      </c>
      <c r="B326">
        <v>5.1827257228466914</v>
      </c>
      <c r="C326">
        <v>6.1738631833545705</v>
      </c>
      <c r="H326">
        <f>SMALL('SimData1 and 2'!$B$9:$B$508,317)</f>
        <v>7.2596688278599526</v>
      </c>
      <c r="I326">
        <f>1/(COUNT('SimData1 and 2'!$B$9:$B$508)-1)+$I$325</f>
        <v>0.63326653306613279</v>
      </c>
      <c r="J326">
        <f>SMALL('SimData1 and 2'!$C$9:$C$508,317)</f>
        <v>7.2585962701234594</v>
      </c>
      <c r="K326">
        <f>1/(COUNT('SimData1 and 2'!$C$9:$C$508)-1)+$K$325</f>
        <v>0.63326653306613279</v>
      </c>
    </row>
    <row r="327" spans="1:11" x14ac:dyDescent="0.2">
      <c r="A327">
        <v>319</v>
      </c>
      <c r="B327">
        <v>7.2725106346469817</v>
      </c>
      <c r="C327">
        <v>7.188203593978427</v>
      </c>
      <c r="H327">
        <f>SMALL('SimData1 and 2'!$B$9:$B$508,318)</f>
        <v>7.2606565948970978</v>
      </c>
      <c r="I327">
        <f>1/(COUNT('SimData1 and 2'!$B$9:$B$508)-1)+$I$326</f>
        <v>0.63527054108216485</v>
      </c>
      <c r="J327">
        <f>SMALL('SimData1 and 2'!$C$9:$C$508,318)</f>
        <v>7.2601529777078291</v>
      </c>
      <c r="K327">
        <f>1/(COUNT('SimData1 and 2'!$C$9:$C$508)-1)+$K$326</f>
        <v>0.63527054108216485</v>
      </c>
    </row>
    <row r="328" spans="1:11" x14ac:dyDescent="0.2">
      <c r="A328">
        <v>320</v>
      </c>
      <c r="B328">
        <v>5.9988716181754169</v>
      </c>
      <c r="C328">
        <v>7.2438507811016128</v>
      </c>
      <c r="H328">
        <f>SMALL('SimData1 and 2'!$B$9:$B$508,319)</f>
        <v>7.2612386170902798</v>
      </c>
      <c r="I328">
        <f>1/(COUNT('SimData1 and 2'!$B$9:$B$508)-1)+$I$327</f>
        <v>0.63727454909819692</v>
      </c>
      <c r="J328">
        <f>SMALL('SimData1 and 2'!$C$9:$C$508,319)</f>
        <v>7.2616245132443762</v>
      </c>
      <c r="K328">
        <f>1/(COUNT('SimData1 and 2'!$C$9:$C$508)-1)+$K$327</f>
        <v>0.63727454909819692</v>
      </c>
    </row>
    <row r="329" spans="1:11" x14ac:dyDescent="0.2">
      <c r="A329">
        <v>321</v>
      </c>
      <c r="B329">
        <v>7.2392278525171472</v>
      </c>
      <c r="C329">
        <v>6.728021374996966</v>
      </c>
      <c r="H329">
        <f>SMALL('SimData1 and 2'!$B$9:$B$508,320)</f>
        <v>7.2629947505512362</v>
      </c>
      <c r="I329">
        <f>1/(COUNT('SimData1 and 2'!$B$9:$B$508)-1)+$I$328</f>
        <v>0.63927855711422898</v>
      </c>
      <c r="J329">
        <f>SMALL('SimData1 and 2'!$C$9:$C$508,320)</f>
        <v>7.2636485069726584</v>
      </c>
      <c r="K329">
        <f>1/(COUNT('SimData1 and 2'!$C$9:$C$508)-1)+$K$328</f>
        <v>0.63927855711422898</v>
      </c>
    </row>
    <row r="330" spans="1:11" x14ac:dyDescent="0.2">
      <c r="A330">
        <v>322</v>
      </c>
      <c r="B330">
        <v>6.8131436953776525</v>
      </c>
      <c r="C330">
        <v>7.1951393550345877</v>
      </c>
      <c r="H330">
        <f>SMALL('SimData1 and 2'!$B$9:$B$508,321)</f>
        <v>7.264870208641808</v>
      </c>
      <c r="I330">
        <f>1/(COUNT('SimData1 and 2'!$B$9:$B$508)-1)+$I$329</f>
        <v>0.64128256513026105</v>
      </c>
      <c r="J330">
        <f>SMALL('SimData1 and 2'!$C$9:$C$508,321)</f>
        <v>7.2640736485353319</v>
      </c>
      <c r="K330">
        <f>1/(COUNT('SimData1 and 2'!$C$9:$C$508)-1)+$K$329</f>
        <v>0.64128256513026105</v>
      </c>
    </row>
    <row r="331" spans="1:11" x14ac:dyDescent="0.2">
      <c r="A331">
        <v>323</v>
      </c>
      <c r="B331">
        <v>5.3581327628133959</v>
      </c>
      <c r="C331">
        <v>7.2208819026455151</v>
      </c>
      <c r="H331">
        <f>SMALL('SimData1 and 2'!$B$9:$B$508,322)</f>
        <v>7.2651582118640254</v>
      </c>
      <c r="I331">
        <f>1/(COUNT('SimData1 and 2'!$B$9:$B$508)-1)+$I$330</f>
        <v>0.64328657314629312</v>
      </c>
      <c r="J331">
        <f>SMALL('SimData1 and 2'!$C$9:$C$508,322)</f>
        <v>7.2657575224092108</v>
      </c>
      <c r="K331">
        <f>1/(COUNT('SimData1 and 2'!$C$9:$C$508)-1)+$K$330</f>
        <v>0.64328657314629312</v>
      </c>
    </row>
    <row r="332" spans="1:11" x14ac:dyDescent="0.2">
      <c r="A332">
        <v>324</v>
      </c>
      <c r="B332">
        <v>7.4611818032284125</v>
      </c>
      <c r="C332">
        <v>3.5000022882227242</v>
      </c>
      <c r="H332">
        <f>SMALL('SimData1 and 2'!$B$9:$B$508,323)</f>
        <v>7.2677283905844785</v>
      </c>
      <c r="I332">
        <f>1/(COUNT('SimData1 and 2'!$B$9:$B$508)-1)+$I$331</f>
        <v>0.64529058116232518</v>
      </c>
      <c r="J332">
        <f>SMALL('SimData1 and 2'!$C$9:$C$508,323)</f>
        <v>7.2675908717504809</v>
      </c>
      <c r="K332">
        <f>1/(COUNT('SimData1 and 2'!$C$9:$C$508)-1)+$K$331</f>
        <v>0.64529058116232518</v>
      </c>
    </row>
    <row r="333" spans="1:11" x14ac:dyDescent="0.2">
      <c r="A333">
        <v>325</v>
      </c>
      <c r="B333">
        <v>8.0185095837257343</v>
      </c>
      <c r="C333">
        <v>6.0021041734209595</v>
      </c>
      <c r="H333">
        <f>SMALL('SimData1 and 2'!$B$9:$B$508,324)</f>
        <v>7.2689970962659398</v>
      </c>
      <c r="I333">
        <f>1/(COUNT('SimData1 and 2'!$B$9:$B$508)-1)+$I$332</f>
        <v>0.64729458917835725</v>
      </c>
      <c r="J333">
        <f>SMALL('SimData1 and 2'!$C$9:$C$508,324)</f>
        <v>7.2689803830519875</v>
      </c>
      <c r="K333">
        <f>1/(COUNT('SimData1 and 2'!$C$9:$C$508)-1)+$K$332</f>
        <v>0.64729458917835725</v>
      </c>
    </row>
    <row r="334" spans="1:11" x14ac:dyDescent="0.2">
      <c r="A334">
        <v>326</v>
      </c>
      <c r="B334">
        <v>6.3548048603238989</v>
      </c>
      <c r="C334">
        <v>7.4745644745711566</v>
      </c>
      <c r="H334">
        <f>SMALL('SimData1 and 2'!$B$9:$B$508,325)</f>
        <v>7.2699628181465759</v>
      </c>
      <c r="I334">
        <f>1/(COUNT('SimData1 and 2'!$B$9:$B$508)-1)+$I$333</f>
        <v>0.64929859719438932</v>
      </c>
      <c r="J334">
        <f>SMALL('SimData1 and 2'!$C$9:$C$508,325)</f>
        <v>7.2695081272700008</v>
      </c>
      <c r="K334">
        <f>1/(COUNT('SimData1 and 2'!$C$9:$C$508)-1)+$K$333</f>
        <v>0.64929859719438932</v>
      </c>
    </row>
    <row r="335" spans="1:11" x14ac:dyDescent="0.2">
      <c r="A335">
        <v>327</v>
      </c>
      <c r="B335">
        <v>5.9953469179800445</v>
      </c>
      <c r="C335">
        <v>6.5828118664246631</v>
      </c>
      <c r="H335">
        <f>SMALL('SimData1 and 2'!$B$9:$B$508,326)</f>
        <v>7.2713389315849701</v>
      </c>
      <c r="I335">
        <f>1/(COUNT('SimData1 and 2'!$B$9:$B$508)-1)+$I$334</f>
        <v>0.65130260521042138</v>
      </c>
      <c r="J335">
        <f>SMALL('SimData1 and 2'!$C$9:$C$508,326)</f>
        <v>7.2707008347364415</v>
      </c>
      <c r="K335">
        <f>1/(COUNT('SimData1 and 2'!$C$9:$C$508)-1)+$K$334</f>
        <v>0.65130260521042138</v>
      </c>
    </row>
    <row r="336" spans="1:11" x14ac:dyDescent="0.2">
      <c r="A336">
        <v>328</v>
      </c>
      <c r="B336">
        <v>5.1827071944192138</v>
      </c>
      <c r="C336">
        <v>7.0300654781194103</v>
      </c>
      <c r="H336">
        <f>SMALL('SimData1 and 2'!$B$9:$B$508,327)</f>
        <v>7.2725106346469817</v>
      </c>
      <c r="I336">
        <f>1/(COUNT('SimData1 and 2'!$B$9:$B$508)-1)+$I$335</f>
        <v>0.65330661322645345</v>
      </c>
      <c r="J336">
        <f>SMALL('SimData1 and 2'!$C$9:$C$508,327)</f>
        <v>7.2725097729551207</v>
      </c>
      <c r="K336">
        <f>1/(COUNT('SimData1 and 2'!$C$9:$C$508)-1)+$K$335</f>
        <v>0.65330661322645345</v>
      </c>
    </row>
    <row r="337" spans="1:11" x14ac:dyDescent="0.2">
      <c r="A337">
        <v>329</v>
      </c>
      <c r="B337">
        <v>7.1831580813744971</v>
      </c>
      <c r="C337">
        <v>6.3802119402199446</v>
      </c>
      <c r="H337">
        <f>SMALL('SimData1 and 2'!$B$9:$B$508,328)</f>
        <v>7.274590118495861</v>
      </c>
      <c r="I337">
        <f>1/(COUNT('SimData1 and 2'!$B$9:$B$508)-1)+$I$336</f>
        <v>0.65531062124248551</v>
      </c>
      <c r="J337">
        <f>SMALL('SimData1 and 2'!$C$9:$C$508,328)</f>
        <v>7.2745436484842472</v>
      </c>
      <c r="K337">
        <f>1/(COUNT('SimData1 and 2'!$C$9:$C$508)-1)+$K$336</f>
        <v>0.65531062124248551</v>
      </c>
    </row>
    <row r="338" spans="1:11" x14ac:dyDescent="0.2">
      <c r="A338">
        <v>330</v>
      </c>
      <c r="B338">
        <v>7.2689970962659398</v>
      </c>
      <c r="C338">
        <v>7.2152500261321952</v>
      </c>
      <c r="H338">
        <f>SMALL('SimData1 and 2'!$B$9:$B$508,329)</f>
        <v>7.2749211952185036</v>
      </c>
      <c r="I338">
        <f>1/(COUNT('SimData1 and 2'!$B$9:$B$508)-1)+$I$337</f>
        <v>0.65731462925851758</v>
      </c>
      <c r="J338">
        <f>SMALL('SimData1 and 2'!$C$9:$C$508,329)</f>
        <v>7.2756983027500066</v>
      </c>
      <c r="K338">
        <f>1/(COUNT('SimData1 and 2'!$C$9:$C$508)-1)+$K$337</f>
        <v>0.65731462925851758</v>
      </c>
    </row>
    <row r="339" spans="1:11" x14ac:dyDescent="0.2">
      <c r="A339">
        <v>331</v>
      </c>
      <c r="B339">
        <v>8.4387754508072845</v>
      </c>
      <c r="C339">
        <v>15.3999656799995</v>
      </c>
      <c r="H339">
        <f>SMALL('SimData1 and 2'!$B$9:$B$508,330)</f>
        <v>7.2767373370095463</v>
      </c>
      <c r="I339">
        <f>1/(COUNT('SimData1 and 2'!$B$9:$B$508)-1)+$I$338</f>
        <v>0.65931863727454965</v>
      </c>
      <c r="J339">
        <f>SMALL('SimData1 and 2'!$C$9:$C$508,330)</f>
        <v>7.2771934399767311</v>
      </c>
      <c r="K339">
        <f>1/(COUNT('SimData1 and 2'!$C$9:$C$508)-1)+$K$338</f>
        <v>0.65931863727454965</v>
      </c>
    </row>
    <row r="340" spans="1:11" x14ac:dyDescent="0.2">
      <c r="A340">
        <v>332</v>
      </c>
      <c r="B340">
        <v>5.182742057656581</v>
      </c>
      <c r="C340">
        <v>7.5617919183735172</v>
      </c>
      <c r="H340">
        <f>SMALL('SimData1 and 2'!$B$9:$B$508,331)</f>
        <v>7.2776905233122244</v>
      </c>
      <c r="I340">
        <f>1/(COUNT('SimData1 and 2'!$B$9:$B$508)-1)+$I$339</f>
        <v>0.66132264529058171</v>
      </c>
      <c r="J340">
        <f>SMALL('SimData1 and 2'!$C$9:$C$508,331)</f>
        <v>7.2782043041117088</v>
      </c>
      <c r="K340">
        <f>1/(COUNT('SimData1 and 2'!$C$9:$C$508)-1)+$K$339</f>
        <v>0.66132264529058171</v>
      </c>
    </row>
    <row r="341" spans="1:11" x14ac:dyDescent="0.2">
      <c r="A341">
        <v>333</v>
      </c>
      <c r="B341">
        <v>7.2263277997204165</v>
      </c>
      <c r="C341">
        <v>7.8084633635013576</v>
      </c>
      <c r="H341">
        <f>SMALL('SimData1 and 2'!$B$9:$B$508,332)</f>
        <v>7.2794357343434761</v>
      </c>
      <c r="I341">
        <f>1/(COUNT('SimData1 and 2'!$B$9:$B$508)-1)+$I$340</f>
        <v>0.66332665330661378</v>
      </c>
      <c r="J341">
        <f>SMALL('SimData1 and 2'!$C$9:$C$508,332)</f>
        <v>7.2791238731187065</v>
      </c>
      <c r="K341">
        <f>1/(COUNT('SimData1 and 2'!$C$9:$C$508)-1)+$K$340</f>
        <v>0.66332665330661378</v>
      </c>
    </row>
    <row r="342" spans="1:11" x14ac:dyDescent="0.2">
      <c r="A342">
        <v>334</v>
      </c>
      <c r="B342">
        <v>7.7493819700882991</v>
      </c>
      <c r="C342">
        <v>3.5000032102581464</v>
      </c>
      <c r="H342">
        <f>SMALL('SimData1 and 2'!$B$9:$B$508,333)</f>
        <v>7.280379082026089</v>
      </c>
      <c r="I342">
        <f>1/(COUNT('SimData1 and 2'!$B$9:$B$508)-1)+$I$341</f>
        <v>0.66533066132264584</v>
      </c>
      <c r="J342">
        <f>SMALL('SimData1 and 2'!$C$9:$C$508,333)</f>
        <v>7.2801542261607581</v>
      </c>
      <c r="K342">
        <f>1/(COUNT('SimData1 and 2'!$C$9:$C$508)-1)+$K$341</f>
        <v>0.66533066132264584</v>
      </c>
    </row>
    <row r="343" spans="1:11" x14ac:dyDescent="0.2">
      <c r="A343">
        <v>335</v>
      </c>
      <c r="B343">
        <v>5.182721367496633</v>
      </c>
      <c r="C343">
        <v>6.0009771505553768</v>
      </c>
      <c r="H343">
        <f>SMALL('SimData1 and 2'!$B$9:$B$508,334)</f>
        <v>7.2818624352712558</v>
      </c>
      <c r="I343">
        <f>1/(COUNT('SimData1 and 2'!$B$9:$B$508)-1)+$I$342</f>
        <v>0.66733466933867791</v>
      </c>
      <c r="J343">
        <f>SMALL('SimData1 and 2'!$C$9:$C$508,334)</f>
        <v>7.2826405036118</v>
      </c>
      <c r="K343">
        <f>1/(COUNT('SimData1 and 2'!$C$9:$C$508)-1)+$K$342</f>
        <v>0.66733466933867791</v>
      </c>
    </row>
    <row r="344" spans="1:11" x14ac:dyDescent="0.2">
      <c r="A344">
        <v>336</v>
      </c>
      <c r="B344">
        <v>7.1795323284368484</v>
      </c>
      <c r="C344">
        <v>7.2159970021616449</v>
      </c>
      <c r="H344">
        <f>SMALL('SimData1 and 2'!$B$9:$B$508,335)</f>
        <v>7.2831605069307672</v>
      </c>
      <c r="I344">
        <f>1/(COUNT('SimData1 and 2'!$B$9:$B$508)-1)+$I$343</f>
        <v>0.66933867735470998</v>
      </c>
      <c r="J344">
        <f>SMALL('SimData1 and 2'!$C$9:$C$508,335)</f>
        <v>7.2836029058732477</v>
      </c>
      <c r="K344">
        <f>1/(COUNT('SimData1 and 2'!$C$9:$C$508)-1)+$K$343</f>
        <v>0.66933867735470998</v>
      </c>
    </row>
    <row r="345" spans="1:11" x14ac:dyDescent="0.2">
      <c r="A345">
        <v>337</v>
      </c>
      <c r="B345">
        <v>5.1826453559352919</v>
      </c>
      <c r="C345">
        <v>7.7772971113170435</v>
      </c>
      <c r="H345">
        <f>SMALL('SimData1 and 2'!$B$9:$B$508,336)</f>
        <v>7.2853518455589228</v>
      </c>
      <c r="I345">
        <f>1/(COUNT('SimData1 and 2'!$B$9:$B$508)-1)+$I$344</f>
        <v>0.67134268537074204</v>
      </c>
      <c r="J345">
        <f>SMALL('SimData1 and 2'!$C$9:$C$508,336)</f>
        <v>7.2845627839936773</v>
      </c>
      <c r="K345">
        <f>1/(COUNT('SimData1 and 2'!$C$9:$C$508)-1)+$K$344</f>
        <v>0.67134268537074204</v>
      </c>
    </row>
    <row r="346" spans="1:11" x14ac:dyDescent="0.2">
      <c r="A346">
        <v>338</v>
      </c>
      <c r="B346">
        <v>6.46875961780027</v>
      </c>
      <c r="C346">
        <v>7.2745436484842472</v>
      </c>
      <c r="H346">
        <f>SMALL('SimData1 and 2'!$B$9:$B$508,337)</f>
        <v>7.2863088488937588</v>
      </c>
      <c r="I346">
        <f>1/(COUNT('SimData1 and 2'!$B$9:$B$508)-1)+$I$345</f>
        <v>0.67334669338677411</v>
      </c>
      <c r="J346">
        <f>SMALL('SimData1 and 2'!$C$9:$C$508,337)</f>
        <v>7.2856527804587872</v>
      </c>
      <c r="K346">
        <f>1/(COUNT('SimData1 and 2'!$C$9:$C$508)-1)+$K$345</f>
        <v>0.67334669338677411</v>
      </c>
    </row>
    <row r="347" spans="1:11" x14ac:dyDescent="0.2">
      <c r="A347">
        <v>339</v>
      </c>
      <c r="B347">
        <v>7.9934257405158755</v>
      </c>
      <c r="C347">
        <v>7.242707579540518</v>
      </c>
      <c r="H347">
        <f>SMALL('SimData1 and 2'!$B$9:$B$508,338)</f>
        <v>7.2870868904819872</v>
      </c>
      <c r="I347">
        <f>1/(COUNT('SimData1 and 2'!$B$9:$B$508)-1)+$I$346</f>
        <v>0.67535070140280618</v>
      </c>
      <c r="J347">
        <f>SMALL('SimData1 and 2'!$C$9:$C$508,338)</f>
        <v>7.2882700234409628</v>
      </c>
      <c r="K347">
        <f>1/(COUNT('SimData1 and 2'!$C$9:$C$508)-1)+$K$346</f>
        <v>0.67535070140280618</v>
      </c>
    </row>
    <row r="348" spans="1:11" x14ac:dyDescent="0.2">
      <c r="A348">
        <v>340</v>
      </c>
      <c r="B348">
        <v>5.9996420573116325</v>
      </c>
      <c r="C348">
        <v>6.2934601134703616</v>
      </c>
      <c r="H348">
        <f>SMALL('SimData1 and 2'!$B$9:$B$508,339)</f>
        <v>7.2888481046279869</v>
      </c>
      <c r="I348">
        <f>1/(COUNT('SimData1 and 2'!$B$9:$B$508)-1)+$I$347</f>
        <v>0.67735470941883824</v>
      </c>
      <c r="J348">
        <f>SMALL('SimData1 and 2'!$C$9:$C$508,339)</f>
        <v>7.2891732973944769</v>
      </c>
      <c r="K348">
        <f>1/(COUNT('SimData1 and 2'!$C$9:$C$508)-1)+$K$347</f>
        <v>0.67735470941883824</v>
      </c>
    </row>
    <row r="349" spans="1:11" x14ac:dyDescent="0.2">
      <c r="A349">
        <v>341</v>
      </c>
      <c r="B349">
        <v>5.5956371480997111</v>
      </c>
      <c r="C349">
        <v>13.795625774900547</v>
      </c>
      <c r="H349">
        <f>SMALL('SimData1 and 2'!$B$9:$B$508,340)</f>
        <v>7.289818566101002</v>
      </c>
      <c r="I349">
        <f>1/(COUNT('SimData1 and 2'!$B$9:$B$508)-1)+$I$348</f>
        <v>0.67935871743487031</v>
      </c>
      <c r="J349">
        <f>SMALL('SimData1 and 2'!$C$9:$C$508,340)</f>
        <v>7.2897880671435473</v>
      </c>
      <c r="K349">
        <f>1/(COUNT('SimData1 and 2'!$C$9:$C$508)-1)+$K$348</f>
        <v>0.67935871743487031</v>
      </c>
    </row>
    <row r="350" spans="1:11" x14ac:dyDescent="0.2">
      <c r="A350">
        <v>342</v>
      </c>
      <c r="B350">
        <v>7.2352668156211095</v>
      </c>
      <c r="C350">
        <v>7.2101836493227331</v>
      </c>
      <c r="H350">
        <f>SMALL('SimData1 and 2'!$B$9:$B$508,341)</f>
        <v>7.2922659965984549</v>
      </c>
      <c r="I350">
        <f>1/(COUNT('SimData1 and 2'!$B$9:$B$508)-1)+$I$349</f>
        <v>0.68136272545090237</v>
      </c>
      <c r="J350">
        <f>SMALL('SimData1 and 2'!$C$9:$C$508,341)</f>
        <v>7.2918031862268231</v>
      </c>
      <c r="K350">
        <f>1/(COUNT('SimData1 and 2'!$C$9:$C$508)-1)+$K$349</f>
        <v>0.68136272545090237</v>
      </c>
    </row>
    <row r="351" spans="1:11" x14ac:dyDescent="0.2">
      <c r="A351">
        <v>343</v>
      </c>
      <c r="B351">
        <v>6.9336286996997449</v>
      </c>
      <c r="C351">
        <v>4.0468966283137959</v>
      </c>
      <c r="H351">
        <f>SMALL('SimData1 and 2'!$B$9:$B$508,342)</f>
        <v>7.2988842766416013</v>
      </c>
      <c r="I351">
        <f>1/(COUNT('SimData1 and 2'!$B$9:$B$508)-1)+$I$350</f>
        <v>0.68336673346693444</v>
      </c>
      <c r="J351">
        <f>SMALL('SimData1 and 2'!$C$9:$C$508,342)</f>
        <v>7.2934978570531204</v>
      </c>
      <c r="K351">
        <f>1/(COUNT('SimData1 and 2'!$C$9:$C$508)-1)+$K$350</f>
        <v>0.68336673346693444</v>
      </c>
    </row>
    <row r="352" spans="1:11" x14ac:dyDescent="0.2">
      <c r="A352">
        <v>344</v>
      </c>
      <c r="B352">
        <v>6.0084863477919495</v>
      </c>
      <c r="C352">
        <v>6.3255783348933239</v>
      </c>
      <c r="H352">
        <f>SMALL('SimData1 and 2'!$B$9:$B$508,343)</f>
        <v>7.3208605029928933</v>
      </c>
      <c r="I352">
        <f>1/(COUNT('SimData1 and 2'!$B$9:$B$508)-1)+$I$351</f>
        <v>0.68537074148296651</v>
      </c>
      <c r="J352">
        <f>SMALL('SimData1 and 2'!$C$9:$C$508,343)</f>
        <v>7.3182152443215003</v>
      </c>
      <c r="K352">
        <f>1/(COUNT('SimData1 and 2'!$C$9:$C$508)-1)+$K$351</f>
        <v>0.68537074148296651</v>
      </c>
    </row>
    <row r="353" spans="1:11" x14ac:dyDescent="0.2">
      <c r="A353">
        <v>345</v>
      </c>
      <c r="B353">
        <v>7.2165013704695307</v>
      </c>
      <c r="C353">
        <v>12.831968901665832</v>
      </c>
      <c r="H353">
        <f>SMALL('SimData1 and 2'!$B$9:$B$508,344)</f>
        <v>7.3211430069660057</v>
      </c>
      <c r="I353">
        <f>1/(COUNT('SimData1 and 2'!$B$9:$B$508)-1)+$I$352</f>
        <v>0.68737474949899857</v>
      </c>
      <c r="J353">
        <f>SMALL('SimData1 and 2'!$C$9:$C$508,344)</f>
        <v>7.3252739430729372</v>
      </c>
      <c r="K353">
        <f>1/(COUNT('SimData1 and 2'!$C$9:$C$508)-1)+$K$352</f>
        <v>0.68737474949899857</v>
      </c>
    </row>
    <row r="354" spans="1:11" x14ac:dyDescent="0.2">
      <c r="A354">
        <v>346</v>
      </c>
      <c r="B354">
        <v>5.5139861016201142</v>
      </c>
      <c r="C354">
        <v>6.0176541436591622</v>
      </c>
      <c r="H354">
        <f>SMALL('SimData1 and 2'!$B$9:$B$508,345)</f>
        <v>7.3467392392850153</v>
      </c>
      <c r="I354">
        <f>1/(COUNT('SimData1 and 2'!$B$9:$B$508)-1)+$I$353</f>
        <v>0.68937875751503064</v>
      </c>
      <c r="J354">
        <f>SMALL('SimData1 and 2'!$C$9:$C$508,345)</f>
        <v>7.3367022045183194</v>
      </c>
      <c r="K354">
        <f>1/(COUNT('SimData1 and 2'!$C$9:$C$508)-1)+$K$353</f>
        <v>0.68937875751503064</v>
      </c>
    </row>
    <row r="355" spans="1:11" x14ac:dyDescent="0.2">
      <c r="A355">
        <v>347</v>
      </c>
      <c r="B355">
        <v>7.2008442952367107</v>
      </c>
      <c r="C355">
        <v>6.6374276680837347</v>
      </c>
      <c r="H355">
        <f>SMALL('SimData1 and 2'!$B$9:$B$508,346)</f>
        <v>7.3569314087273749</v>
      </c>
      <c r="I355">
        <f>1/(COUNT('SimData1 and 2'!$B$9:$B$508)-1)+$I$354</f>
        <v>0.6913827655310627</v>
      </c>
      <c r="J355">
        <f>SMALL('SimData1 and 2'!$C$9:$C$508,346)</f>
        <v>7.3615623938551176</v>
      </c>
      <c r="K355">
        <f>1/(COUNT('SimData1 and 2'!$C$9:$C$508)-1)+$K$354</f>
        <v>0.6913827655310627</v>
      </c>
    </row>
    <row r="356" spans="1:11" x14ac:dyDescent="0.2">
      <c r="A356">
        <v>348</v>
      </c>
      <c r="B356">
        <v>5.1827170691520141</v>
      </c>
      <c r="C356">
        <v>7.2043766634508106</v>
      </c>
      <c r="H356">
        <f>SMALL('SimData1 and 2'!$B$9:$B$508,347)</f>
        <v>7.3734202942427878</v>
      </c>
      <c r="I356">
        <f>1/(COUNT('SimData1 and 2'!$B$9:$B$508)-1)+$I$355</f>
        <v>0.69338677354709477</v>
      </c>
      <c r="J356">
        <f>SMALL('SimData1 and 2'!$C$9:$C$508,347)</f>
        <v>7.3712303205848126</v>
      </c>
      <c r="K356">
        <f>1/(COUNT('SimData1 and 2'!$C$9:$C$508)-1)+$K$355</f>
        <v>0.69338677354709477</v>
      </c>
    </row>
    <row r="357" spans="1:11" x14ac:dyDescent="0.2">
      <c r="A357">
        <v>349</v>
      </c>
      <c r="B357">
        <v>5.1826791080036685</v>
      </c>
      <c r="C357">
        <v>8.0476191618671589</v>
      </c>
      <c r="H357">
        <f>SMALL('SimData1 and 2'!$B$9:$B$508,348)</f>
        <v>7.38346504624056</v>
      </c>
      <c r="I357">
        <f>1/(COUNT('SimData1 and 2'!$B$9:$B$508)-1)+$I$356</f>
        <v>0.69539078156312684</v>
      </c>
      <c r="J357">
        <f>SMALL('SimData1 and 2'!$C$9:$C$508,348)</f>
        <v>7.3774587491534849</v>
      </c>
      <c r="K357">
        <f>1/(COUNT('SimData1 and 2'!$C$9:$C$508)-1)+$K$356</f>
        <v>0.69539078156312684</v>
      </c>
    </row>
    <row r="358" spans="1:11" x14ac:dyDescent="0.2">
      <c r="A358">
        <v>350</v>
      </c>
      <c r="B358">
        <v>7.203401789378403</v>
      </c>
      <c r="C358">
        <v>7.2547045655363238</v>
      </c>
      <c r="H358">
        <f>SMALL('SimData1 and 2'!$B$9:$B$508,349)</f>
        <v>7.4029363768594489</v>
      </c>
      <c r="I358">
        <f>1/(COUNT('SimData1 and 2'!$B$9:$B$508)-1)+$I$357</f>
        <v>0.6973947895791589</v>
      </c>
      <c r="J358">
        <f>SMALL('SimData1 and 2'!$C$9:$C$508,349)</f>
        <v>7.3953486556190073</v>
      </c>
      <c r="K358">
        <f>1/(COUNT('SimData1 and 2'!$C$9:$C$508)-1)+$K$357</f>
        <v>0.6973947895791589</v>
      </c>
    </row>
    <row r="359" spans="1:11" x14ac:dyDescent="0.2">
      <c r="A359">
        <v>351</v>
      </c>
      <c r="B359">
        <v>7.2296920448203377</v>
      </c>
      <c r="C359">
        <v>3.5000066967541992</v>
      </c>
      <c r="H359">
        <f>SMALL('SimData1 and 2'!$B$9:$B$508,350)</f>
        <v>7.4051413265315666</v>
      </c>
      <c r="I359">
        <f>1/(COUNT('SimData1 and 2'!$B$9:$B$508)-1)+$I$358</f>
        <v>0.69939879759519097</v>
      </c>
      <c r="J359">
        <f>SMALL('SimData1 and 2'!$C$9:$C$508,350)</f>
        <v>7.4039337139089927</v>
      </c>
      <c r="K359">
        <f>1/(COUNT('SimData1 and 2'!$C$9:$C$508)-1)+$K$358</f>
        <v>0.69939879759519097</v>
      </c>
    </row>
    <row r="360" spans="1:11" x14ac:dyDescent="0.2">
      <c r="A360">
        <v>352</v>
      </c>
      <c r="B360">
        <v>7.2097904141139733</v>
      </c>
      <c r="C360">
        <v>7.1911890777722736</v>
      </c>
      <c r="H360">
        <f>SMALL('SimData1 and 2'!$B$9:$B$508,351)</f>
        <v>7.4288845681960094</v>
      </c>
      <c r="I360">
        <f>1/(COUNT('SimData1 and 2'!$B$9:$B$508)-1)+$I$359</f>
        <v>0.70140280561122303</v>
      </c>
      <c r="J360">
        <f>SMALL('SimData1 and 2'!$C$9:$C$508,351)</f>
        <v>7.4199697309913262</v>
      </c>
      <c r="K360">
        <f>1/(COUNT('SimData1 and 2'!$C$9:$C$508)-1)+$K$359</f>
        <v>0.70140280561122303</v>
      </c>
    </row>
    <row r="361" spans="1:11" x14ac:dyDescent="0.2">
      <c r="A361">
        <v>353</v>
      </c>
      <c r="B361">
        <v>7.482772097121261</v>
      </c>
      <c r="C361">
        <v>7.3182152443215003</v>
      </c>
      <c r="H361">
        <f>SMALL('SimData1 and 2'!$B$9:$B$508,352)</f>
        <v>7.4381314454799599</v>
      </c>
      <c r="I361">
        <f>1/(COUNT('SimData1 and 2'!$B$9:$B$508)-1)+$I$360</f>
        <v>0.7034068136272551</v>
      </c>
      <c r="J361">
        <f>SMALL('SimData1 and 2'!$C$9:$C$508,352)</f>
        <v>7.4319949517789183</v>
      </c>
      <c r="K361">
        <f>1/(COUNT('SimData1 and 2'!$C$9:$C$508)-1)+$K$360</f>
        <v>0.7034068136272551</v>
      </c>
    </row>
    <row r="362" spans="1:11" x14ac:dyDescent="0.2">
      <c r="A362">
        <v>354</v>
      </c>
      <c r="B362">
        <v>6.0069511869427519</v>
      </c>
      <c r="C362">
        <v>7.2057843277672395</v>
      </c>
      <c r="H362">
        <f>SMALL('SimData1 and 2'!$B$9:$B$508,353)</f>
        <v>7.456623039050581</v>
      </c>
      <c r="I362">
        <f>1/(COUNT('SimData1 and 2'!$B$9:$B$508)-1)+$I$361</f>
        <v>0.70541082164328717</v>
      </c>
      <c r="J362">
        <f>SMALL('SimData1 and 2'!$C$9:$C$508,353)</f>
        <v>7.4492385297138046</v>
      </c>
      <c r="K362">
        <f>1/(COUNT('SimData1 and 2'!$C$9:$C$508)-1)+$K$361</f>
        <v>0.70541082164328717</v>
      </c>
    </row>
    <row r="363" spans="1:11" x14ac:dyDescent="0.2">
      <c r="A363">
        <v>355</v>
      </c>
      <c r="B363">
        <v>7.9275826850942384</v>
      </c>
      <c r="C363">
        <v>3.5000015762658347</v>
      </c>
      <c r="H363">
        <f>SMALL('SimData1 and 2'!$B$9:$B$508,354)</f>
        <v>7.4611818032284125</v>
      </c>
      <c r="I363">
        <f>1/(COUNT('SimData1 and 2'!$B$9:$B$508)-1)+$I$362</f>
        <v>0.70741482965931923</v>
      </c>
      <c r="J363">
        <f>SMALL('SimData1 and 2'!$C$9:$C$508,354)</f>
        <v>7.4707620779059871</v>
      </c>
      <c r="K363">
        <f>1/(COUNT('SimData1 and 2'!$C$9:$C$508)-1)+$K$362</f>
        <v>0.70741482965931923</v>
      </c>
    </row>
    <row r="364" spans="1:11" x14ac:dyDescent="0.2">
      <c r="A364">
        <v>356</v>
      </c>
      <c r="B364">
        <v>7.1901396260792385</v>
      </c>
      <c r="C364">
        <v>3.5000035761464914</v>
      </c>
      <c r="H364">
        <f>SMALL('SimData1 and 2'!$B$9:$B$508,355)</f>
        <v>7.482772097121261</v>
      </c>
      <c r="I364">
        <f>1/(COUNT('SimData1 and 2'!$B$9:$B$508)-1)+$I$363</f>
        <v>0.7094188376753513</v>
      </c>
      <c r="J364">
        <f>SMALL('SimData1 and 2'!$C$9:$C$508,355)</f>
        <v>7.4745644745711566</v>
      </c>
      <c r="K364">
        <f>1/(COUNT('SimData1 and 2'!$C$9:$C$508)-1)+$K$363</f>
        <v>0.7094188376753513</v>
      </c>
    </row>
    <row r="365" spans="1:11" x14ac:dyDescent="0.2">
      <c r="A365">
        <v>357</v>
      </c>
      <c r="B365">
        <v>5.9976225674323507</v>
      </c>
      <c r="C365">
        <v>6.4402595041229258</v>
      </c>
      <c r="H365">
        <f>SMALL('SimData1 and 2'!$B$9:$B$508,356)</f>
        <v>7.491006790278127</v>
      </c>
      <c r="I365">
        <f>1/(COUNT('SimData1 and 2'!$B$9:$B$508)-1)+$I$364</f>
        <v>0.71142284569138337</v>
      </c>
      <c r="J365">
        <f>SMALL('SimData1 and 2'!$C$9:$C$508,356)</f>
        <v>7.4986754086541083</v>
      </c>
      <c r="K365">
        <f>1/(COUNT('SimData1 and 2'!$C$9:$C$508)-1)+$K$364</f>
        <v>0.71142284569138337</v>
      </c>
    </row>
    <row r="366" spans="1:11" x14ac:dyDescent="0.2">
      <c r="A366">
        <v>358</v>
      </c>
      <c r="B366">
        <v>6.0013096691933878</v>
      </c>
      <c r="C366">
        <v>12.708667236494117</v>
      </c>
      <c r="H366">
        <f>SMALL('SimData1 and 2'!$B$9:$B$508,357)</f>
        <v>7.5122925046696256</v>
      </c>
      <c r="I366">
        <f>1/(COUNT('SimData1 and 2'!$B$9:$B$508)-1)+$I$365</f>
        <v>0.71342685370741543</v>
      </c>
      <c r="J366">
        <f>SMALL('SimData1 and 2'!$C$9:$C$508,357)</f>
        <v>7.4998446170899138</v>
      </c>
      <c r="K366">
        <f>1/(COUNT('SimData1 and 2'!$C$9:$C$508)-1)+$K$365</f>
        <v>0.71342685370741543</v>
      </c>
    </row>
    <row r="367" spans="1:11" x14ac:dyDescent="0.2">
      <c r="A367">
        <v>359</v>
      </c>
      <c r="B367">
        <v>7.6773197444163221</v>
      </c>
      <c r="C367">
        <v>6.8508479545385947</v>
      </c>
      <c r="H367">
        <f>SMALL('SimData1 and 2'!$B$9:$B$508,358)</f>
        <v>7.5203009084334118</v>
      </c>
      <c r="I367">
        <f>1/(COUNT('SimData1 and 2'!$B$9:$B$508)-1)+$I$366</f>
        <v>0.7154308617234475</v>
      </c>
      <c r="J367">
        <f>SMALL('SimData1 and 2'!$C$9:$C$508,358)</f>
        <v>7.5255552475915062</v>
      </c>
      <c r="K367">
        <f>1/(COUNT('SimData1 and 2'!$C$9:$C$508)-1)+$K$366</f>
        <v>0.7154308617234475</v>
      </c>
    </row>
    <row r="368" spans="1:11" x14ac:dyDescent="0.2">
      <c r="A368">
        <v>360</v>
      </c>
      <c r="B368">
        <v>7.2818624352712558</v>
      </c>
      <c r="C368">
        <v>6.3183058133221301</v>
      </c>
      <c r="H368">
        <f>SMALL('SimData1 and 2'!$B$9:$B$508,359)</f>
        <v>7.5336968530552522</v>
      </c>
      <c r="I368">
        <f>1/(COUNT('SimData1 and 2'!$B$9:$B$508)-1)+$I$367</f>
        <v>0.71743486973947956</v>
      </c>
      <c r="J368">
        <f>SMALL('SimData1 and 2'!$C$9:$C$508,359)</f>
        <v>7.5302183023730453</v>
      </c>
      <c r="K368">
        <f>1/(COUNT('SimData1 and 2'!$C$9:$C$508)-1)+$K$367</f>
        <v>0.71743486973947956</v>
      </c>
    </row>
    <row r="369" spans="1:11" x14ac:dyDescent="0.2">
      <c r="A369">
        <v>361</v>
      </c>
      <c r="B369">
        <v>8.3422615646961287</v>
      </c>
      <c r="C369">
        <v>7.1803743700970344</v>
      </c>
      <c r="H369">
        <f>SMALL('SimData1 and 2'!$B$9:$B$508,360)</f>
        <v>7.545871533524025</v>
      </c>
      <c r="I369">
        <f>1/(COUNT('SimData1 and 2'!$B$9:$B$508)-1)+$I$368</f>
        <v>0.71943887775551163</v>
      </c>
      <c r="J369">
        <f>SMALL('SimData1 and 2'!$C$9:$C$508,360)</f>
        <v>7.5433070216331419</v>
      </c>
      <c r="K369">
        <f>1/(COUNT('SimData1 and 2'!$C$9:$C$508)-1)+$K$368</f>
        <v>0.71943887775551163</v>
      </c>
    </row>
    <row r="370" spans="1:11" x14ac:dyDescent="0.2">
      <c r="A370">
        <v>362</v>
      </c>
      <c r="B370">
        <v>7.1824312584402179</v>
      </c>
      <c r="C370">
        <v>15.39995732802824</v>
      </c>
      <c r="H370">
        <f>SMALL('SimData1 and 2'!$B$9:$B$508,361)</f>
        <v>7.5647822885024265</v>
      </c>
      <c r="I370">
        <f>1/(COUNT('SimData1 and 2'!$B$9:$B$508)-1)+$I$369</f>
        <v>0.7214428857715437</v>
      </c>
      <c r="J370">
        <f>SMALL('SimData1 and 2'!$C$9:$C$508,361)</f>
        <v>7.5617919183735172</v>
      </c>
      <c r="K370">
        <f>1/(COUNT('SimData1 and 2'!$C$9:$C$508)-1)+$K$369</f>
        <v>0.7214428857715437</v>
      </c>
    </row>
    <row r="371" spans="1:11" x14ac:dyDescent="0.2">
      <c r="A371">
        <v>363</v>
      </c>
      <c r="B371">
        <v>5.182637502542363</v>
      </c>
      <c r="C371">
        <v>7.2370576014214869</v>
      </c>
      <c r="H371">
        <f>SMALL('SimData1 and 2'!$B$9:$B$508,362)</f>
        <v>7.5811390523232571</v>
      </c>
      <c r="I371">
        <f>1/(COUNT('SimData1 and 2'!$B$9:$B$508)-1)+$I$370</f>
        <v>0.72344689378757576</v>
      </c>
      <c r="J371">
        <f>SMALL('SimData1 and 2'!$C$9:$C$508,362)</f>
        <v>7.5800118905051512</v>
      </c>
      <c r="K371">
        <f>1/(COUNT('SimData1 and 2'!$C$9:$C$508)-1)+$K$370</f>
        <v>0.72344689378757576</v>
      </c>
    </row>
    <row r="372" spans="1:11" x14ac:dyDescent="0.2">
      <c r="A372">
        <v>364</v>
      </c>
      <c r="B372">
        <v>6.4147962761321917</v>
      </c>
      <c r="C372">
        <v>3.5000051072700207</v>
      </c>
      <c r="H372">
        <f>SMALL('SimData1 and 2'!$B$9:$B$508,363)</f>
        <v>7.5957788715619516</v>
      </c>
      <c r="I372">
        <f>1/(COUNT('SimData1 and 2'!$B$9:$B$508)-1)+$I$371</f>
        <v>0.72545090180360783</v>
      </c>
      <c r="J372">
        <f>SMALL('SimData1 and 2'!$C$9:$C$508,363)</f>
        <v>7.5944407009025543</v>
      </c>
      <c r="K372">
        <f>1/(COUNT('SimData1 and 2'!$C$9:$C$508)-1)+$K$371</f>
        <v>0.72545090180360783</v>
      </c>
    </row>
    <row r="373" spans="1:11" x14ac:dyDescent="0.2">
      <c r="A373">
        <v>365</v>
      </c>
      <c r="B373">
        <v>6.5190999610261979</v>
      </c>
      <c r="C373">
        <v>6.7452995116950962</v>
      </c>
      <c r="H373">
        <f>SMALL('SimData1 and 2'!$B$9:$B$508,364)</f>
        <v>7.6002293870883344</v>
      </c>
      <c r="I373">
        <f>1/(COUNT('SimData1 and 2'!$B$9:$B$508)-1)+$I$372</f>
        <v>0.72745490981963989</v>
      </c>
      <c r="J373">
        <f>SMALL('SimData1 and 2'!$C$9:$C$508,364)</f>
        <v>7.606188596464948</v>
      </c>
      <c r="K373">
        <f>1/(COUNT('SimData1 and 2'!$C$9:$C$508)-1)+$K$372</f>
        <v>0.72745490981963989</v>
      </c>
    </row>
    <row r="374" spans="1:11" x14ac:dyDescent="0.2">
      <c r="A374">
        <v>366</v>
      </c>
      <c r="B374">
        <v>5.9959262207440602</v>
      </c>
      <c r="C374">
        <v>7.2264483054772759</v>
      </c>
      <c r="H374">
        <f>SMALL('SimData1 and 2'!$B$9:$B$508,365)</f>
        <v>7.6217210807591478</v>
      </c>
      <c r="I374">
        <f>1/(COUNT('SimData1 and 2'!$B$9:$B$508)-1)+$I$373</f>
        <v>0.72945891783567196</v>
      </c>
      <c r="J374">
        <f>SMALL('SimData1 and 2'!$C$9:$C$508,365)</f>
        <v>7.6190168781804593</v>
      </c>
      <c r="K374">
        <f>1/(COUNT('SimData1 and 2'!$C$9:$C$508)-1)+$K$373</f>
        <v>0.72945891783567196</v>
      </c>
    </row>
    <row r="375" spans="1:11" x14ac:dyDescent="0.2">
      <c r="A375">
        <v>367</v>
      </c>
      <c r="B375">
        <v>5.7864857778185357</v>
      </c>
      <c r="C375">
        <v>6.0053706080919236</v>
      </c>
      <c r="H375">
        <f>SMALL('SimData1 and 2'!$B$9:$B$508,366)</f>
        <v>7.6285556095623157</v>
      </c>
      <c r="I375">
        <f>1/(COUNT('SimData1 and 2'!$B$9:$B$508)-1)+$I$374</f>
        <v>0.73146292585170403</v>
      </c>
      <c r="J375">
        <f>SMALL('SimData1 and 2'!$C$9:$C$508,366)</f>
        <v>7.6265352193393792</v>
      </c>
      <c r="K375">
        <f>1/(COUNT('SimData1 and 2'!$C$9:$C$508)-1)+$K$374</f>
        <v>0.73146292585170403</v>
      </c>
    </row>
    <row r="376" spans="1:11" x14ac:dyDescent="0.2">
      <c r="A376">
        <v>368</v>
      </c>
      <c r="B376">
        <v>6.3480945005929295</v>
      </c>
      <c r="C376">
        <v>7.2882700234409628</v>
      </c>
      <c r="H376">
        <f>SMALL('SimData1 and 2'!$B$9:$B$508,367)</f>
        <v>7.6503683222166678</v>
      </c>
      <c r="I376">
        <f>1/(COUNT('SimData1 and 2'!$B$9:$B$508)-1)+$I$375</f>
        <v>0.73346693386773609</v>
      </c>
      <c r="J376">
        <f>SMALL('SimData1 and 2'!$C$9:$C$508,367)</f>
        <v>7.643511785859241</v>
      </c>
      <c r="K376">
        <f>1/(COUNT('SimData1 and 2'!$C$9:$C$508)-1)+$K$375</f>
        <v>0.73346693386773609</v>
      </c>
    </row>
    <row r="377" spans="1:11" x14ac:dyDescent="0.2">
      <c r="A377">
        <v>369</v>
      </c>
      <c r="B377">
        <v>6.6447654039849056</v>
      </c>
      <c r="C377">
        <v>9.273280958159317</v>
      </c>
      <c r="H377">
        <f>SMALL('SimData1 and 2'!$B$9:$B$508,368)</f>
        <v>7.6592026696972804</v>
      </c>
      <c r="I377">
        <f>1/(COUNT('SimData1 and 2'!$B$9:$B$508)-1)+$I$376</f>
        <v>0.73547094188376816</v>
      </c>
      <c r="J377">
        <f>SMALL('SimData1 and 2'!$C$9:$C$508,368)</f>
        <v>7.6647179073142766</v>
      </c>
      <c r="K377">
        <f>1/(COUNT('SimData1 and 2'!$C$9:$C$508)-1)+$K$376</f>
        <v>0.73547094188376816</v>
      </c>
    </row>
    <row r="378" spans="1:11" x14ac:dyDescent="0.2">
      <c r="A378">
        <v>370</v>
      </c>
      <c r="B378">
        <v>7.1931135957545678</v>
      </c>
      <c r="C378">
        <v>5.9949226735462657</v>
      </c>
      <c r="H378">
        <f>SMALL('SimData1 and 2'!$B$9:$B$508,369)</f>
        <v>7.6773197444163221</v>
      </c>
      <c r="I378">
        <f>1/(COUNT('SimData1 and 2'!$B$9:$B$508)-1)+$I$377</f>
        <v>0.73747494989980023</v>
      </c>
      <c r="J378">
        <f>SMALL('SimData1 and 2'!$C$9:$C$508,369)</f>
        <v>7.6680276400230154</v>
      </c>
      <c r="K378">
        <f>1/(COUNT('SimData1 and 2'!$C$9:$C$508)-1)+$K$377</f>
        <v>0.73747494989980023</v>
      </c>
    </row>
    <row r="379" spans="1:11" x14ac:dyDescent="0.2">
      <c r="A379">
        <v>371</v>
      </c>
      <c r="B379">
        <v>7.5647822885024265</v>
      </c>
      <c r="C379">
        <v>8.836693539801491</v>
      </c>
      <c r="H379">
        <f>SMALL('SimData1 and 2'!$B$9:$B$508,370)</f>
        <v>7.6858392807486622</v>
      </c>
      <c r="I379">
        <f>1/(COUNT('SimData1 and 2'!$B$9:$B$508)-1)+$I$378</f>
        <v>0.73947895791583229</v>
      </c>
      <c r="J379">
        <f>SMALL('SimData1 and 2'!$C$9:$C$508,370)</f>
        <v>7.6865639132405263</v>
      </c>
      <c r="K379">
        <f>1/(COUNT('SimData1 and 2'!$C$9:$C$508)-1)+$K$378</f>
        <v>0.73947895791583229</v>
      </c>
    </row>
    <row r="380" spans="1:11" x14ac:dyDescent="0.2">
      <c r="A380">
        <v>372</v>
      </c>
      <c r="B380">
        <v>7.8440995842937991</v>
      </c>
      <c r="C380">
        <v>15.399984106725331</v>
      </c>
      <c r="H380">
        <f>SMALL('SimData1 and 2'!$B$9:$B$508,371)</f>
        <v>7.70060587196771</v>
      </c>
      <c r="I380">
        <f>1/(COUNT('SimData1 and 2'!$B$9:$B$508)-1)+$I$379</f>
        <v>0.74148296593186436</v>
      </c>
      <c r="J380">
        <f>SMALL('SimData1 and 2'!$C$9:$C$508,371)</f>
        <v>7.7003349974993975</v>
      </c>
      <c r="K380">
        <f>1/(COUNT('SimData1 and 2'!$C$9:$C$508)-1)+$K$379</f>
        <v>0.74148296593186436</v>
      </c>
    </row>
    <row r="381" spans="1:11" x14ac:dyDescent="0.2">
      <c r="A381">
        <v>373</v>
      </c>
      <c r="B381">
        <v>6.0056899478123089</v>
      </c>
      <c r="C381">
        <v>3.5000020556258944</v>
      </c>
      <c r="H381">
        <f>SMALL('SimData1 and 2'!$B$9:$B$508,372)</f>
        <v>7.7107362876810193</v>
      </c>
      <c r="I381">
        <f>1/(COUNT('SimData1 and 2'!$B$9:$B$508)-1)+$I$380</f>
        <v>0.74348697394789642</v>
      </c>
      <c r="J381">
        <f>SMALL('SimData1 and 2'!$C$9:$C$508,372)</f>
        <v>7.7192589707486423</v>
      </c>
      <c r="K381">
        <f>1/(COUNT('SimData1 and 2'!$C$9:$C$508)-1)+$K$380</f>
        <v>0.74348697394789642</v>
      </c>
    </row>
    <row r="382" spans="1:11" x14ac:dyDescent="0.2">
      <c r="A382">
        <v>374</v>
      </c>
      <c r="B382">
        <v>6.9804024535277343</v>
      </c>
      <c r="C382">
        <v>6.4705090787873099</v>
      </c>
      <c r="H382">
        <f>SMALL('SimData1 and 2'!$B$9:$B$508,373)</f>
        <v>7.7235783480731479</v>
      </c>
      <c r="I382">
        <f>1/(COUNT('SimData1 and 2'!$B$9:$B$508)-1)+$I$381</f>
        <v>0.74549098196392849</v>
      </c>
      <c r="J382">
        <f>SMALL('SimData1 and 2'!$C$9:$C$508,373)</f>
        <v>7.7277319588959648</v>
      </c>
      <c r="K382">
        <f>1/(COUNT('SimData1 and 2'!$C$9:$C$508)-1)+$K$381</f>
        <v>0.74549098196392849</v>
      </c>
    </row>
    <row r="383" spans="1:11" x14ac:dyDescent="0.2">
      <c r="A383">
        <v>375</v>
      </c>
      <c r="B383">
        <v>8.4387025058297436</v>
      </c>
      <c r="C383">
        <v>3.5000057188119458</v>
      </c>
      <c r="H383">
        <f>SMALL('SimData1 and 2'!$B$9:$B$508,374)</f>
        <v>7.7435760534148663</v>
      </c>
      <c r="I383">
        <f>1/(COUNT('SimData1 and 2'!$B$9:$B$508)-1)+$I$382</f>
        <v>0.74749498997996056</v>
      </c>
      <c r="J383">
        <f>SMALL('SimData1 and 2'!$C$9:$C$508,374)</f>
        <v>7.7356943952867923</v>
      </c>
      <c r="K383">
        <f>1/(COUNT('SimData1 and 2'!$C$9:$C$508)-1)+$K$382</f>
        <v>0.74749498997996056</v>
      </c>
    </row>
    <row r="384" spans="1:11" x14ac:dyDescent="0.2">
      <c r="A384">
        <v>376</v>
      </c>
      <c r="B384">
        <v>8.4386625607060246</v>
      </c>
      <c r="C384">
        <v>6.0386611083011115</v>
      </c>
      <c r="H384">
        <f>SMALL('SimData1 and 2'!$B$9:$B$508,375)</f>
        <v>7.7493819700882991</v>
      </c>
      <c r="I384">
        <f>1/(COUNT('SimData1 and 2'!$B$9:$B$508)-1)+$I$383</f>
        <v>0.74949899799599262</v>
      </c>
      <c r="J384">
        <f>SMALL('SimData1 and 2'!$C$9:$C$508,375)</f>
        <v>7.7536298186495243</v>
      </c>
      <c r="K384">
        <f>1/(COUNT('SimData1 and 2'!$C$9:$C$508)-1)+$K$383</f>
        <v>0.74949899799599262</v>
      </c>
    </row>
    <row r="385" spans="1:11" x14ac:dyDescent="0.2">
      <c r="A385">
        <v>377</v>
      </c>
      <c r="B385">
        <v>7.2160757130506088</v>
      </c>
      <c r="C385">
        <v>7.4492385297138046</v>
      </c>
      <c r="H385">
        <f>SMALL('SimData1 and 2'!$B$9:$B$508,376)</f>
        <v>7.7692462687927692</v>
      </c>
      <c r="I385">
        <f>1/(COUNT('SimData1 and 2'!$B$9:$B$508)-1)+$I$384</f>
        <v>0.75150300601202469</v>
      </c>
      <c r="J385">
        <f>SMALL('SimData1 and 2'!$C$9:$C$508,376)</f>
        <v>7.7735582371393228</v>
      </c>
      <c r="K385">
        <f>1/(COUNT('SimData1 and 2'!$C$9:$C$508)-1)+$K$384</f>
        <v>0.75150300601202469</v>
      </c>
    </row>
    <row r="386" spans="1:11" x14ac:dyDescent="0.2">
      <c r="A386">
        <v>378</v>
      </c>
      <c r="B386">
        <v>6.0558048091741696</v>
      </c>
      <c r="C386">
        <v>15.399970410898518</v>
      </c>
      <c r="H386">
        <f>SMALL('SimData1 and 2'!$B$9:$B$508,377)</f>
        <v>7.7829150481388387</v>
      </c>
      <c r="I386">
        <f>1/(COUNT('SimData1 and 2'!$B$9:$B$508)-1)+$I$385</f>
        <v>0.75350701402805675</v>
      </c>
      <c r="J386">
        <f>SMALL('SimData1 and 2'!$C$9:$C$508,377)</f>
        <v>7.7772971113170435</v>
      </c>
      <c r="K386">
        <f>1/(COUNT('SimData1 and 2'!$C$9:$C$508)-1)+$K$385</f>
        <v>0.75350701402805675</v>
      </c>
    </row>
    <row r="387" spans="1:11" x14ac:dyDescent="0.2">
      <c r="A387">
        <v>379</v>
      </c>
      <c r="B387">
        <v>6.039788490858788</v>
      </c>
      <c r="C387">
        <v>6.3710479533296862</v>
      </c>
      <c r="H387">
        <f>SMALL('SimData1 and 2'!$B$9:$B$508,378)</f>
        <v>7.801502994661524</v>
      </c>
      <c r="I387">
        <f>1/(COUNT('SimData1 and 2'!$B$9:$B$508)-1)+$I$386</f>
        <v>0.75551102204408882</v>
      </c>
      <c r="J387">
        <f>SMALL('SimData1 and 2'!$C$9:$C$508,378)</f>
        <v>7.8003649699917013</v>
      </c>
      <c r="K387">
        <f>1/(COUNT('SimData1 and 2'!$C$9:$C$508)-1)+$K$386</f>
        <v>0.75551102204408882</v>
      </c>
    </row>
    <row r="388" spans="1:11" x14ac:dyDescent="0.2">
      <c r="A388">
        <v>380</v>
      </c>
      <c r="B388">
        <v>6.6242745583578104</v>
      </c>
      <c r="C388">
        <v>7.6190168781804593</v>
      </c>
      <c r="H388">
        <f>SMALL('SimData1 and 2'!$B$9:$B$508,379)</f>
        <v>7.8092256736636472</v>
      </c>
      <c r="I388">
        <f>1/(COUNT('SimData1 and 2'!$B$9:$B$508)-1)+$I$387</f>
        <v>0.75751503006012089</v>
      </c>
      <c r="J388">
        <f>SMALL('SimData1 and 2'!$C$9:$C$508,379)</f>
        <v>7.8084633635013576</v>
      </c>
      <c r="K388">
        <f>1/(COUNT('SimData1 and 2'!$C$9:$C$508)-1)+$K$387</f>
        <v>0.75751503006012089</v>
      </c>
    </row>
    <row r="389" spans="1:11" x14ac:dyDescent="0.2">
      <c r="A389">
        <v>381</v>
      </c>
      <c r="B389">
        <v>7.9368000819335958</v>
      </c>
      <c r="C389">
        <v>11.233067809456241</v>
      </c>
      <c r="H389">
        <f>SMALL('SimData1 and 2'!$B$9:$B$508,380)</f>
        <v>7.8225714582133108</v>
      </c>
      <c r="I389">
        <f>1/(COUNT('SimData1 and 2'!$B$9:$B$508)-1)+$I$388</f>
        <v>0.75951903807615295</v>
      </c>
      <c r="J389">
        <f>SMALL('SimData1 and 2'!$C$9:$C$508,380)</f>
        <v>7.8222321807469868</v>
      </c>
      <c r="K389">
        <f>1/(COUNT('SimData1 and 2'!$C$9:$C$508)-1)+$K$388</f>
        <v>0.75951903807615295</v>
      </c>
    </row>
    <row r="390" spans="1:11" x14ac:dyDescent="0.2">
      <c r="A390">
        <v>382</v>
      </c>
      <c r="B390">
        <v>7.9986794066854081</v>
      </c>
      <c r="C390">
        <v>7.2201410923710023</v>
      </c>
      <c r="H390">
        <f>SMALL('SimData1 and 2'!$B$9:$B$508,381)</f>
        <v>7.8378187693241621</v>
      </c>
      <c r="I390">
        <f>1/(COUNT('SimData1 and 2'!$B$9:$B$508)-1)+$I$389</f>
        <v>0.76152304609218502</v>
      </c>
      <c r="J390">
        <f>SMALL('SimData1 and 2'!$C$9:$C$508,381)</f>
        <v>7.8309122771688235</v>
      </c>
      <c r="K390">
        <f>1/(COUNT('SimData1 and 2'!$C$9:$C$508)-1)+$K$389</f>
        <v>0.76152304609218502</v>
      </c>
    </row>
    <row r="391" spans="1:11" x14ac:dyDescent="0.2">
      <c r="A391">
        <v>383</v>
      </c>
      <c r="B391">
        <v>8.0501390971368867</v>
      </c>
      <c r="C391">
        <v>5.9958031915292693</v>
      </c>
      <c r="H391">
        <f>SMALL('SimData1 and 2'!$B$9:$B$508,382)</f>
        <v>7.8440995842937991</v>
      </c>
      <c r="I391">
        <f>1/(COUNT('SimData1 and 2'!$B$9:$B$508)-1)+$I$390</f>
        <v>0.76352705410821708</v>
      </c>
      <c r="J391">
        <f>SMALL('SimData1 and 2'!$C$9:$C$508,382)</f>
        <v>7.8460997515020381</v>
      </c>
      <c r="K391">
        <f>1/(COUNT('SimData1 and 2'!$C$9:$C$508)-1)+$K$390</f>
        <v>0.76352705410821708</v>
      </c>
    </row>
    <row r="392" spans="1:11" x14ac:dyDescent="0.2">
      <c r="A392">
        <v>384</v>
      </c>
      <c r="B392">
        <v>5.1827633787482057</v>
      </c>
      <c r="C392">
        <v>6.1151050927476671</v>
      </c>
      <c r="H392">
        <f>SMALL('SimData1 and 2'!$B$9:$B$508,383)</f>
        <v>7.8652978535723381</v>
      </c>
      <c r="I392">
        <f>1/(COUNT('SimData1 and 2'!$B$9:$B$508)-1)+$I$391</f>
        <v>0.76553106212424915</v>
      </c>
      <c r="J392">
        <f>SMALL('SimData1 and 2'!$C$9:$C$508,383)</f>
        <v>7.8635632056410589</v>
      </c>
      <c r="K392">
        <f>1/(COUNT('SimData1 and 2'!$C$9:$C$508)-1)+$K$391</f>
        <v>0.76553106212424915</v>
      </c>
    </row>
    <row r="393" spans="1:11" x14ac:dyDescent="0.2">
      <c r="A393">
        <v>385</v>
      </c>
      <c r="B393">
        <v>8.0056212357203762</v>
      </c>
      <c r="C393">
        <v>7.2782043041117088</v>
      </c>
      <c r="H393">
        <f>SMALL('SimData1 and 2'!$B$9:$B$508,384)</f>
        <v>7.8841513681472062</v>
      </c>
      <c r="I393">
        <f>1/(COUNT('SimData1 and 2'!$B$9:$B$508)-1)+$I$392</f>
        <v>0.76753507014028122</v>
      </c>
      <c r="J393">
        <f>SMALL('SimData1 and 2'!$C$9:$C$508,384)</f>
        <v>7.8804874596562753</v>
      </c>
      <c r="K393">
        <f>1/(COUNT('SimData1 and 2'!$C$9:$C$508)-1)+$K$392</f>
        <v>0.76753507014028122</v>
      </c>
    </row>
    <row r="394" spans="1:11" x14ac:dyDescent="0.2">
      <c r="A394">
        <v>386</v>
      </c>
      <c r="B394">
        <v>7.6217210807591478</v>
      </c>
      <c r="C394">
        <v>7.9923905259503929</v>
      </c>
      <c r="H394">
        <f>SMALL('SimData1 and 2'!$B$9:$B$508,385)</f>
        <v>7.8861012493478722</v>
      </c>
      <c r="I394">
        <f>1/(COUNT('SimData1 and 2'!$B$9:$B$508)-1)+$I$393</f>
        <v>0.76953907815631328</v>
      </c>
      <c r="J394">
        <f>SMALL('SimData1 and 2'!$C$9:$C$508,385)</f>
        <v>7.8949419177935685</v>
      </c>
      <c r="K394">
        <f>1/(COUNT('SimData1 and 2'!$C$9:$C$508)-1)+$K$393</f>
        <v>0.76953907815631328</v>
      </c>
    </row>
    <row r="395" spans="1:11" x14ac:dyDescent="0.2">
      <c r="A395">
        <v>387</v>
      </c>
      <c r="B395">
        <v>8.0039023284153785</v>
      </c>
      <c r="C395">
        <v>6.0018392438500445</v>
      </c>
      <c r="H395">
        <f>SMALL('SimData1 and 2'!$B$9:$B$508,386)</f>
        <v>7.9026292573859465</v>
      </c>
      <c r="I395">
        <f>1/(COUNT('SimData1 and 2'!$B$9:$B$508)-1)+$I$394</f>
        <v>0.77154308617234535</v>
      </c>
      <c r="J395">
        <f>SMALL('SimData1 and 2'!$C$9:$C$508,386)</f>
        <v>7.9049234625139198</v>
      </c>
      <c r="K395">
        <f>1/(COUNT('SimData1 and 2'!$C$9:$C$508)-1)+$K$394</f>
        <v>0.77154308617234535</v>
      </c>
    </row>
    <row r="396" spans="1:11" x14ac:dyDescent="0.2">
      <c r="A396">
        <v>388</v>
      </c>
      <c r="B396">
        <v>8.4387272935920077</v>
      </c>
      <c r="C396">
        <v>7.5302183023730453</v>
      </c>
      <c r="H396">
        <f>SMALL('SimData1 and 2'!$B$9:$B$508,387)</f>
        <v>7.9186586314785874</v>
      </c>
      <c r="I396">
        <f>1/(COUNT('SimData1 and 2'!$B$9:$B$508)-1)+$I$395</f>
        <v>0.77354709418837742</v>
      </c>
      <c r="J396">
        <f>SMALL('SimData1 and 2'!$C$9:$C$508,387)</f>
        <v>7.9189694421819947</v>
      </c>
      <c r="K396">
        <f>1/(COUNT('SimData1 and 2'!$C$9:$C$508)-1)+$K$395</f>
        <v>0.77354709418837742</v>
      </c>
    </row>
    <row r="397" spans="1:11" x14ac:dyDescent="0.2">
      <c r="A397">
        <v>389</v>
      </c>
      <c r="B397">
        <v>7.9688774150789179</v>
      </c>
      <c r="C397">
        <v>10.530102371432795</v>
      </c>
      <c r="H397">
        <f>SMALL('SimData1 and 2'!$B$9:$B$508,388)</f>
        <v>7.9213249348081458</v>
      </c>
      <c r="I397">
        <f>1/(COUNT('SimData1 and 2'!$B$9:$B$508)-1)+$I$396</f>
        <v>0.77555110220440948</v>
      </c>
      <c r="J397">
        <f>SMALL('SimData1 and 2'!$C$9:$C$508,388)</f>
        <v>7.9200191071235082</v>
      </c>
      <c r="K397">
        <f>1/(COUNT('SimData1 and 2'!$C$9:$C$508)-1)+$K$396</f>
        <v>0.77555110220440948</v>
      </c>
    </row>
    <row r="398" spans="1:11" x14ac:dyDescent="0.2">
      <c r="A398">
        <v>390</v>
      </c>
      <c r="B398">
        <v>8.4386914727840026</v>
      </c>
      <c r="C398">
        <v>7.9579570328169718</v>
      </c>
      <c r="H398">
        <f>SMALL('SimData1 and 2'!$B$9:$B$508,389)</f>
        <v>7.9223283149671522</v>
      </c>
      <c r="I398">
        <f>1/(COUNT('SimData1 and 2'!$B$9:$B$508)-1)+$I$397</f>
        <v>0.77755511022044155</v>
      </c>
      <c r="J398">
        <f>SMALL('SimData1 and 2'!$C$9:$C$508,389)</f>
        <v>7.9226421631929895</v>
      </c>
      <c r="K398">
        <f>1/(COUNT('SimData1 and 2'!$C$9:$C$508)-1)+$K$397</f>
        <v>0.77755511022044155</v>
      </c>
    </row>
    <row r="399" spans="1:11" x14ac:dyDescent="0.2">
      <c r="A399">
        <v>391</v>
      </c>
      <c r="B399">
        <v>7.2272253107024209</v>
      </c>
      <c r="C399">
        <v>6.274110077262681</v>
      </c>
      <c r="H399">
        <f>SMALL('SimData1 and 2'!$B$9:$B$508,390)</f>
        <v>7.9275826850942384</v>
      </c>
      <c r="I399">
        <f>1/(COUNT('SimData1 and 2'!$B$9:$B$508)-1)+$I$398</f>
        <v>0.77955911823647361</v>
      </c>
      <c r="J399">
        <f>SMALL('SimData1 and 2'!$C$9:$C$508,390)</f>
        <v>7.9266000811020056</v>
      </c>
      <c r="K399">
        <f>1/(COUNT('SimData1 and 2'!$C$9:$C$508)-1)+$K$398</f>
        <v>0.77955911823647361</v>
      </c>
    </row>
    <row r="400" spans="1:11" x14ac:dyDescent="0.2">
      <c r="A400">
        <v>392</v>
      </c>
      <c r="B400">
        <v>8.4386742538546358</v>
      </c>
      <c r="C400">
        <v>7.1892129745828672</v>
      </c>
      <c r="H400">
        <f>SMALL('SimData1 and 2'!$B$9:$B$508,391)</f>
        <v>7.9296740990433525</v>
      </c>
      <c r="I400">
        <f>1/(COUNT('SimData1 and 2'!$B$9:$B$508)-1)+$I$399</f>
        <v>0.78156312625250568</v>
      </c>
      <c r="J400">
        <f>SMALL('SimData1 and 2'!$C$9:$C$508,391)</f>
        <v>7.9284543574390138</v>
      </c>
      <c r="K400">
        <f>1/(COUNT('SimData1 and 2'!$C$9:$C$508)-1)+$K$399</f>
        <v>0.78156312625250568</v>
      </c>
    </row>
    <row r="401" spans="1:11" x14ac:dyDescent="0.2">
      <c r="A401">
        <v>393</v>
      </c>
      <c r="B401">
        <v>8.4387199923582443</v>
      </c>
      <c r="C401">
        <v>6.0004338737324243</v>
      </c>
      <c r="H401">
        <f>SMALL('SimData1 and 2'!$B$9:$B$508,392)</f>
        <v>7.932700741575136</v>
      </c>
      <c r="I401">
        <f>1/(COUNT('SimData1 and 2'!$B$9:$B$508)-1)+$I$400</f>
        <v>0.78356713426853775</v>
      </c>
      <c r="J401">
        <f>SMALL('SimData1 and 2'!$C$9:$C$508,392)</f>
        <v>7.9315714268713329</v>
      </c>
      <c r="K401">
        <f>1/(COUNT('SimData1 and 2'!$C$9:$C$508)-1)+$K$400</f>
        <v>0.78356713426853775</v>
      </c>
    </row>
    <row r="402" spans="1:11" x14ac:dyDescent="0.2">
      <c r="A402">
        <v>394</v>
      </c>
      <c r="B402">
        <v>7.2651582118640254</v>
      </c>
      <c r="C402">
        <v>15.399934368382727</v>
      </c>
      <c r="H402">
        <f>SMALL('SimData1 and 2'!$B$9:$B$508,393)</f>
        <v>7.9368000819335958</v>
      </c>
      <c r="I402">
        <f>1/(COUNT('SimData1 and 2'!$B$9:$B$508)-1)+$I$401</f>
        <v>0.78557114228456981</v>
      </c>
      <c r="J402">
        <f>SMALL('SimData1 and 2'!$C$9:$C$508,393)</f>
        <v>7.9340635032323537</v>
      </c>
      <c r="K402">
        <f>1/(COUNT('SimData1 and 2'!$C$9:$C$508)-1)+$K$401</f>
        <v>0.78557114228456981</v>
      </c>
    </row>
    <row r="403" spans="1:11" x14ac:dyDescent="0.2">
      <c r="A403">
        <v>395</v>
      </c>
      <c r="B403">
        <v>6.5085558112063593</v>
      </c>
      <c r="C403">
        <v>7.0772097665271625</v>
      </c>
      <c r="H403">
        <f>SMALL('SimData1 and 2'!$B$9:$B$508,394)</f>
        <v>7.9392158374258255</v>
      </c>
      <c r="I403">
        <f>1/(COUNT('SimData1 and 2'!$B$9:$B$508)-1)+$I$402</f>
        <v>0.78757515030060188</v>
      </c>
      <c r="J403">
        <f>SMALL('SimData1 and 2'!$C$9:$C$508,394)</f>
        <v>7.9391198608917417</v>
      </c>
      <c r="K403">
        <f>1/(COUNT('SimData1 and 2'!$C$9:$C$508)-1)+$K$402</f>
        <v>0.78757515030060188</v>
      </c>
    </row>
    <row r="404" spans="1:11" x14ac:dyDescent="0.2">
      <c r="A404">
        <v>396</v>
      </c>
      <c r="B404">
        <v>7.2142981250427356</v>
      </c>
      <c r="C404">
        <v>3.5616631895120805</v>
      </c>
      <c r="H404">
        <f>SMALL('SimData1 and 2'!$B$9:$B$508,395)</f>
        <v>7.9427212216240779</v>
      </c>
      <c r="I404">
        <f>1/(COUNT('SimData1 and 2'!$B$9:$B$508)-1)+$I$403</f>
        <v>0.78957915831663394</v>
      </c>
      <c r="J404">
        <f>SMALL('SimData1 and 2'!$C$9:$C$508,395)</f>
        <v>7.9415630749249182</v>
      </c>
      <c r="K404">
        <f>1/(COUNT('SimData1 and 2'!$C$9:$C$508)-1)+$K$403</f>
        <v>0.78957915831663394</v>
      </c>
    </row>
    <row r="405" spans="1:11" x14ac:dyDescent="0.2">
      <c r="A405">
        <v>397</v>
      </c>
      <c r="B405">
        <v>7.2489452560542897</v>
      </c>
      <c r="C405">
        <v>7.1841458802729328</v>
      </c>
      <c r="H405">
        <f>SMALL('SimData1 and 2'!$B$9:$B$508,396)</f>
        <v>7.9442671665734244</v>
      </c>
      <c r="I405">
        <f>1/(COUNT('SimData1 and 2'!$B$9:$B$508)-1)+$I$404</f>
        <v>0.79158316633266601</v>
      </c>
      <c r="J405">
        <f>SMALL('SimData1 and 2'!$C$9:$C$508,396)</f>
        <v>7.9428954488029078</v>
      </c>
      <c r="K405">
        <f>1/(COUNT('SimData1 and 2'!$C$9:$C$508)-1)+$K$404</f>
        <v>0.79158316633266601</v>
      </c>
    </row>
    <row r="406" spans="1:11" x14ac:dyDescent="0.2">
      <c r="A406">
        <v>398</v>
      </c>
      <c r="B406">
        <v>6.0944467381492116</v>
      </c>
      <c r="C406">
        <v>7.221858510174739</v>
      </c>
      <c r="H406">
        <f>SMALL('SimData1 and 2'!$B$9:$B$508,397)</f>
        <v>7.9475300214854077</v>
      </c>
      <c r="I406">
        <f>1/(COUNT('SimData1 and 2'!$B$9:$B$508)-1)+$I$405</f>
        <v>0.79358717434869808</v>
      </c>
      <c r="J406">
        <f>SMALL('SimData1 and 2'!$C$9:$C$508,397)</f>
        <v>7.9478139429156531</v>
      </c>
      <c r="K406">
        <f>1/(COUNT('SimData1 and 2'!$C$9:$C$508)-1)+$K$405</f>
        <v>0.79358717434869808</v>
      </c>
    </row>
    <row r="407" spans="1:11" x14ac:dyDescent="0.2">
      <c r="A407">
        <v>399</v>
      </c>
      <c r="B407">
        <v>7.9955920316145548</v>
      </c>
      <c r="C407">
        <v>7.8309122771688235</v>
      </c>
      <c r="H407">
        <f>SMALL('SimData1 and 2'!$B$9:$B$508,398)</f>
        <v>7.9509063172724446</v>
      </c>
      <c r="I407">
        <f>1/(COUNT('SimData1 and 2'!$B$9:$B$508)-1)+$I$406</f>
        <v>0.79559118236473014</v>
      </c>
      <c r="J407">
        <f>SMALL('SimData1 and 2'!$C$9:$C$508,398)</f>
        <v>7.950041712665354</v>
      </c>
      <c r="K407">
        <f>1/(COUNT('SimData1 and 2'!$C$9:$C$508)-1)+$K$406</f>
        <v>0.79559118236473014</v>
      </c>
    </row>
    <row r="408" spans="1:11" x14ac:dyDescent="0.2">
      <c r="A408">
        <v>400</v>
      </c>
      <c r="B408">
        <v>6.2163003265023153</v>
      </c>
      <c r="C408">
        <v>3.5000033206835086</v>
      </c>
      <c r="H408">
        <f>SMALL('SimData1 and 2'!$B$9:$B$508,399)</f>
        <v>7.9522938930884184</v>
      </c>
      <c r="I408">
        <f>1/(COUNT('SimData1 and 2'!$B$9:$B$508)-1)+$I$407</f>
        <v>0.79759519038076221</v>
      </c>
      <c r="J408">
        <f>SMALL('SimData1 and 2'!$C$9:$C$508,399)</f>
        <v>7.9544121300775013</v>
      </c>
      <c r="K408">
        <f>1/(COUNT('SimData1 and 2'!$C$9:$C$508)-1)+$K$407</f>
        <v>0.79759519038076221</v>
      </c>
    </row>
    <row r="409" spans="1:11" x14ac:dyDescent="0.2">
      <c r="A409">
        <v>401</v>
      </c>
      <c r="B409">
        <v>7.9296740990433525</v>
      </c>
      <c r="C409">
        <v>7.1751821044198243</v>
      </c>
      <c r="H409">
        <f>SMALL('SimData1 and 2'!$B$9:$B$508,400)</f>
        <v>7.9545670040967043</v>
      </c>
      <c r="I409">
        <f>1/(COUNT('SimData1 and 2'!$B$9:$B$508)-1)+$I$408</f>
        <v>0.79959919839679428</v>
      </c>
      <c r="J409">
        <f>SMALL('SimData1 and 2'!$C$9:$C$508,400)</f>
        <v>7.9567088245935063</v>
      </c>
      <c r="K409">
        <f>1/(COUNT('SimData1 and 2'!$C$9:$C$508)-1)+$K$408</f>
        <v>0.79959919839679428</v>
      </c>
    </row>
    <row r="410" spans="1:11" x14ac:dyDescent="0.2">
      <c r="A410">
        <v>402</v>
      </c>
      <c r="B410">
        <v>7.6503683222166678</v>
      </c>
      <c r="C410">
        <v>7.2583243193989357</v>
      </c>
      <c r="H410">
        <f>SMALL('SimData1 and 2'!$B$9:$B$508,401)</f>
        <v>7.9598057693837498</v>
      </c>
      <c r="I410">
        <f>1/(COUNT('SimData1 and 2'!$B$9:$B$508)-1)+$I$409</f>
        <v>0.80160320641282634</v>
      </c>
      <c r="J410">
        <f>SMALL('SimData1 and 2'!$C$9:$C$508,401)</f>
        <v>7.9579570328169718</v>
      </c>
      <c r="K410">
        <f>1/(COUNT('SimData1 and 2'!$C$9:$C$508)-1)+$K$409</f>
        <v>0.80160320641282634</v>
      </c>
    </row>
    <row r="411" spans="1:11" x14ac:dyDescent="0.2">
      <c r="A411">
        <v>403</v>
      </c>
      <c r="B411">
        <v>6.5838652821034733</v>
      </c>
      <c r="C411">
        <v>6.3370611121327549</v>
      </c>
      <c r="H411">
        <f>SMALL('SimData1 and 2'!$B$9:$B$508,402)</f>
        <v>7.9608308491495272</v>
      </c>
      <c r="I411">
        <f>1/(COUNT('SimData1 and 2'!$B$9:$B$508)-1)+$I$410</f>
        <v>0.80360721442885841</v>
      </c>
      <c r="J411">
        <f>SMALL('SimData1 and 2'!$C$9:$C$508,402)</f>
        <v>7.9610092232734768</v>
      </c>
      <c r="K411">
        <f>1/(COUNT('SimData1 and 2'!$C$9:$C$508)-1)+$K$410</f>
        <v>0.80360721442885841</v>
      </c>
    </row>
    <row r="412" spans="1:11" x14ac:dyDescent="0.2">
      <c r="A412">
        <v>404</v>
      </c>
      <c r="B412">
        <v>6.8525559348934717</v>
      </c>
      <c r="C412">
        <v>8.0044105060724675</v>
      </c>
      <c r="H412">
        <f>SMALL('SimData1 and 2'!$B$9:$B$508,403)</f>
        <v>7.9648216637475482</v>
      </c>
      <c r="I412">
        <f>1/(COUNT('SimData1 and 2'!$B$9:$B$508)-1)+$I$411</f>
        <v>0.80561122244489047</v>
      </c>
      <c r="J412">
        <f>SMALL('SimData1 and 2'!$C$9:$C$508,403)</f>
        <v>7.9636515979636222</v>
      </c>
      <c r="K412">
        <f>1/(COUNT('SimData1 and 2'!$C$9:$C$508)-1)+$K$411</f>
        <v>0.80561122244489047</v>
      </c>
    </row>
    <row r="413" spans="1:11" x14ac:dyDescent="0.2">
      <c r="A413">
        <v>405</v>
      </c>
      <c r="B413">
        <v>7.2224575180121686</v>
      </c>
      <c r="C413">
        <v>7.2119217299147529</v>
      </c>
      <c r="H413">
        <f>SMALL('SimData1 and 2'!$B$9:$B$508,404)</f>
        <v>7.9688774150789179</v>
      </c>
      <c r="I413">
        <f>1/(COUNT('SimData1 and 2'!$B$9:$B$508)-1)+$I$412</f>
        <v>0.80761523046092254</v>
      </c>
      <c r="J413">
        <f>SMALL('SimData1 and 2'!$C$9:$C$508,404)</f>
        <v>7.968576524411076</v>
      </c>
      <c r="K413">
        <f>1/(COUNT('SimData1 and 2'!$C$9:$C$508)-1)+$K$412</f>
        <v>0.80761523046092254</v>
      </c>
    </row>
    <row r="414" spans="1:11" x14ac:dyDescent="0.2">
      <c r="A414">
        <v>406</v>
      </c>
      <c r="B414">
        <v>8.4214744718750296</v>
      </c>
      <c r="C414">
        <v>5.9197700881720055</v>
      </c>
      <c r="H414">
        <f>SMALL('SimData1 and 2'!$B$9:$B$508,405)</f>
        <v>7.9699977799074082</v>
      </c>
      <c r="I414">
        <f>1/(COUNT('SimData1 and 2'!$B$9:$B$508)-1)+$I$413</f>
        <v>0.80961923847695461</v>
      </c>
      <c r="J414">
        <f>SMALL('SimData1 and 2'!$C$9:$C$508,405)</f>
        <v>7.9701226406178973</v>
      </c>
      <c r="K414">
        <f>1/(COUNT('SimData1 and 2'!$C$9:$C$508)-1)+$K$413</f>
        <v>0.80961923847695461</v>
      </c>
    </row>
    <row r="415" spans="1:11" x14ac:dyDescent="0.2">
      <c r="A415">
        <v>407</v>
      </c>
      <c r="B415">
        <v>5.1826581224043338</v>
      </c>
      <c r="C415">
        <v>3.5000011294392723</v>
      </c>
      <c r="H415">
        <f>SMALL('SimData1 and 2'!$B$9:$B$508,406)</f>
        <v>7.9725820952683986</v>
      </c>
      <c r="I415">
        <f>1/(COUNT('SimData1 and 2'!$B$9:$B$508)-1)+$I$414</f>
        <v>0.81162324649298667</v>
      </c>
      <c r="J415">
        <f>SMALL('SimData1 and 2'!$C$9:$C$508,406)</f>
        <v>7.9742278038556922</v>
      </c>
      <c r="K415">
        <f>1/(COUNT('SimData1 and 2'!$C$9:$C$508)-1)+$K$414</f>
        <v>0.81162324649298667</v>
      </c>
    </row>
    <row r="416" spans="1:11" x14ac:dyDescent="0.2">
      <c r="A416">
        <v>408</v>
      </c>
      <c r="B416">
        <v>7.1707482919008863</v>
      </c>
      <c r="C416">
        <v>7.2224985695519042</v>
      </c>
      <c r="H416">
        <f>SMALL('SimData1 and 2'!$B$9:$B$508,407)</f>
        <v>7.9776767274742824</v>
      </c>
      <c r="I416">
        <f>1/(COUNT('SimData1 and 2'!$B$9:$B$508)-1)+$I$415</f>
        <v>0.81362725450901874</v>
      </c>
      <c r="J416">
        <f>SMALL('SimData1 and 2'!$C$9:$C$508,407)</f>
        <v>7.9761827109402423</v>
      </c>
      <c r="K416">
        <f>1/(COUNT('SimData1 and 2'!$C$9:$C$508)-1)+$K$415</f>
        <v>0.81362725450901874</v>
      </c>
    </row>
    <row r="417" spans="1:11" x14ac:dyDescent="0.2">
      <c r="A417">
        <v>409</v>
      </c>
      <c r="B417">
        <v>7.2086930419328192</v>
      </c>
      <c r="C417">
        <v>6.4925212745240399</v>
      </c>
      <c r="H417">
        <f>SMALL('SimData1 and 2'!$B$9:$B$508,408)</f>
        <v>7.9806914261496971</v>
      </c>
      <c r="I417">
        <f>1/(COUNT('SimData1 and 2'!$B$9:$B$508)-1)+$I$416</f>
        <v>0.8156312625250508</v>
      </c>
      <c r="J417">
        <f>SMALL('SimData1 and 2'!$C$9:$C$508,408)</f>
        <v>7.9791455863505316</v>
      </c>
      <c r="K417">
        <f>1/(COUNT('SimData1 and 2'!$C$9:$C$508)-1)+$K$416</f>
        <v>0.8156312625250508</v>
      </c>
    </row>
    <row r="418" spans="1:11" x14ac:dyDescent="0.2">
      <c r="A418">
        <v>410</v>
      </c>
      <c r="B418">
        <v>7.1854704452724363</v>
      </c>
      <c r="C418">
        <v>15.399969231915501</v>
      </c>
      <c r="H418">
        <f>SMALL('SimData1 and 2'!$B$9:$B$508,409)</f>
        <v>7.9816298599488729</v>
      </c>
      <c r="I418">
        <f>1/(COUNT('SimData1 and 2'!$B$9:$B$508)-1)+$I$417</f>
        <v>0.81763527054108287</v>
      </c>
      <c r="J418">
        <f>SMALL('SimData1 and 2'!$C$9:$C$508,409)</f>
        <v>7.9832055993349504</v>
      </c>
      <c r="K418">
        <f>1/(COUNT('SimData1 and 2'!$C$9:$C$508)-1)+$K$417</f>
        <v>0.81763527054108287</v>
      </c>
    </row>
    <row r="419" spans="1:11" x14ac:dyDescent="0.2">
      <c r="A419">
        <v>411</v>
      </c>
      <c r="B419">
        <v>7.491006790278127</v>
      </c>
      <c r="C419">
        <v>7.2182019987486772</v>
      </c>
      <c r="H419">
        <f>SMALL('SimData1 and 2'!$B$9:$B$508,410)</f>
        <v>7.984572793696481</v>
      </c>
      <c r="I419">
        <f>1/(COUNT('SimData1 and 2'!$B$9:$B$508)-1)+$I$418</f>
        <v>0.81963927855711494</v>
      </c>
      <c r="J419">
        <f>SMALL('SimData1 and 2'!$C$9:$C$508,410)</f>
        <v>7.9847544196476239</v>
      </c>
      <c r="K419">
        <f>1/(COUNT('SimData1 and 2'!$C$9:$C$508)-1)+$K$418</f>
        <v>0.81963927855711494</v>
      </c>
    </row>
    <row r="420" spans="1:11" x14ac:dyDescent="0.2">
      <c r="A420">
        <v>412</v>
      </c>
      <c r="B420">
        <v>5.9978900000250945</v>
      </c>
      <c r="C420">
        <v>7.7003349974993975</v>
      </c>
      <c r="H420">
        <f>SMALL('SimData1 and 2'!$B$9:$B$508,411)</f>
        <v>7.9878253103146477</v>
      </c>
      <c r="I420">
        <f>1/(COUNT('SimData1 and 2'!$B$9:$B$508)-1)+$I$419</f>
        <v>0.821643286573147</v>
      </c>
      <c r="J420">
        <f>SMALL('SimData1 and 2'!$C$9:$C$508,411)</f>
        <v>7.9891743500738697</v>
      </c>
      <c r="K420">
        <f>1/(COUNT('SimData1 and 2'!$C$9:$C$508)-1)+$K$419</f>
        <v>0.821643286573147</v>
      </c>
    </row>
    <row r="421" spans="1:11" x14ac:dyDescent="0.2">
      <c r="A421">
        <v>413</v>
      </c>
      <c r="B421">
        <v>5.1826848136675583</v>
      </c>
      <c r="C421">
        <v>7.2196407317563471</v>
      </c>
      <c r="H421">
        <f>SMALL('SimData1 and 2'!$B$9:$B$508,412)</f>
        <v>7.9900091807358073</v>
      </c>
      <c r="I421">
        <f>1/(COUNT('SimData1 and 2'!$B$9:$B$508)-1)+$I$420</f>
        <v>0.82364729458917907</v>
      </c>
      <c r="J421">
        <f>SMALL('SimData1 and 2'!$C$9:$C$508,412)</f>
        <v>7.9923905259503929</v>
      </c>
      <c r="K421">
        <f>1/(COUNT('SimData1 and 2'!$C$9:$C$508)-1)+$K$420</f>
        <v>0.82364729458917907</v>
      </c>
    </row>
    <row r="422" spans="1:11" x14ac:dyDescent="0.2">
      <c r="A422">
        <v>414</v>
      </c>
      <c r="B422">
        <v>7.6002293870883344</v>
      </c>
      <c r="C422">
        <v>7.2143428832018541</v>
      </c>
      <c r="H422">
        <f>SMALL('SimData1 and 2'!$B$9:$B$508,413)</f>
        <v>7.9934257405158755</v>
      </c>
      <c r="I422">
        <f>1/(COUNT('SimData1 and 2'!$B$9:$B$508)-1)+$I$421</f>
        <v>0.82565130260521113</v>
      </c>
      <c r="J422">
        <f>SMALL('SimData1 and 2'!$C$9:$C$508,413)</f>
        <v>7.9939275892087807</v>
      </c>
      <c r="K422">
        <f>1/(COUNT('SimData1 and 2'!$C$9:$C$508)-1)+$K$421</f>
        <v>0.82565130260521113</v>
      </c>
    </row>
    <row r="423" spans="1:11" x14ac:dyDescent="0.2">
      <c r="A423">
        <v>415</v>
      </c>
      <c r="B423">
        <v>7.2326036689274398</v>
      </c>
      <c r="C423">
        <v>6.1870846440946456</v>
      </c>
      <c r="H423">
        <f>SMALL('SimData1 and 2'!$B$9:$B$508,414)</f>
        <v>7.9955920316145548</v>
      </c>
      <c r="I423">
        <f>1/(COUNT('SimData1 and 2'!$B$9:$B$508)-1)+$I$422</f>
        <v>0.8276553106212432</v>
      </c>
      <c r="J423">
        <f>SMALL('SimData1 and 2'!$C$9:$C$508,414)</f>
        <v>7.9958627896699488</v>
      </c>
      <c r="K423">
        <f>1/(COUNT('SimData1 and 2'!$C$9:$C$508)-1)+$K$422</f>
        <v>0.8276553106212432</v>
      </c>
    </row>
    <row r="424" spans="1:11" x14ac:dyDescent="0.2">
      <c r="A424">
        <v>416</v>
      </c>
      <c r="B424">
        <v>6.5606044637606082</v>
      </c>
      <c r="C424">
        <v>6.1434959310136144</v>
      </c>
      <c r="H424">
        <f>SMALL('SimData1 and 2'!$B$9:$B$508,415)</f>
        <v>7.9986794066854081</v>
      </c>
      <c r="I424">
        <f>1/(COUNT('SimData1 and 2'!$B$9:$B$508)-1)+$I$423</f>
        <v>0.82965931863727527</v>
      </c>
      <c r="J424">
        <f>SMALL('SimData1 and 2'!$C$9:$C$508,415)</f>
        <v>8.0011323403626999</v>
      </c>
      <c r="K424">
        <f>1/(COUNT('SimData1 and 2'!$C$9:$C$508)-1)+$K$423</f>
        <v>0.82965931863727527</v>
      </c>
    </row>
    <row r="425" spans="1:11" x14ac:dyDescent="0.2">
      <c r="A425">
        <v>417</v>
      </c>
      <c r="B425">
        <v>7.38346504624056</v>
      </c>
      <c r="C425">
        <v>5.015107384228866</v>
      </c>
      <c r="H425">
        <f>SMALL('SimData1 and 2'!$B$9:$B$508,416)</f>
        <v>8.0039023284153785</v>
      </c>
      <c r="I425">
        <f>1/(COUNT('SimData1 and 2'!$B$9:$B$508)-1)+$I$424</f>
        <v>0.83166332665330733</v>
      </c>
      <c r="J425">
        <f>SMALL('SimData1 and 2'!$C$9:$C$508,416)</f>
        <v>8.0019271273524968</v>
      </c>
      <c r="K425">
        <f>1/(COUNT('SimData1 and 2'!$C$9:$C$508)-1)+$K$424</f>
        <v>0.83166332665330733</v>
      </c>
    </row>
    <row r="426" spans="1:11" x14ac:dyDescent="0.2">
      <c r="A426">
        <v>418</v>
      </c>
      <c r="B426">
        <v>8.4387228427792316</v>
      </c>
      <c r="C426">
        <v>4.2880551596352232</v>
      </c>
      <c r="H426">
        <f>SMALL('SimData1 and 2'!$B$9:$B$508,417)</f>
        <v>8.0056212357203762</v>
      </c>
      <c r="I426">
        <f>1/(COUNT('SimData1 and 2'!$B$9:$B$508)-1)+$I$425</f>
        <v>0.8336673346693394</v>
      </c>
      <c r="J426">
        <f>SMALL('SimData1 and 2'!$C$9:$C$508,417)</f>
        <v>8.0044105060724675</v>
      </c>
      <c r="K426">
        <f>1/(COUNT('SimData1 and 2'!$C$9:$C$508)-1)+$K$425</f>
        <v>0.8336673346693394</v>
      </c>
    </row>
    <row r="427" spans="1:11" x14ac:dyDescent="0.2">
      <c r="A427">
        <v>419</v>
      </c>
      <c r="B427">
        <v>7.2310782110423037</v>
      </c>
      <c r="C427">
        <v>7.2383683339760214</v>
      </c>
      <c r="H427">
        <f>SMALL('SimData1 and 2'!$B$9:$B$508,418)</f>
        <v>8.0071325534726157</v>
      </c>
      <c r="I427">
        <f>1/(COUNT('SimData1 and 2'!$B$9:$B$508)-1)+$I$426</f>
        <v>0.83567134268537147</v>
      </c>
      <c r="J427">
        <f>SMALL('SimData1 and 2'!$C$9:$C$508,418)</f>
        <v>8.0086628802729436</v>
      </c>
      <c r="K427">
        <f>1/(COUNT('SimData1 and 2'!$C$9:$C$508)-1)+$K$426</f>
        <v>0.83567134268537147</v>
      </c>
    </row>
    <row r="428" spans="1:11" x14ac:dyDescent="0.2">
      <c r="A428">
        <v>420</v>
      </c>
      <c r="B428">
        <v>6.9875190419207192</v>
      </c>
      <c r="C428">
        <v>15.399995875848211</v>
      </c>
      <c r="H428">
        <f>SMALL('SimData1 and 2'!$B$9:$B$508,419)</f>
        <v>8.0114652639121431</v>
      </c>
      <c r="I428">
        <f>1/(COUNT('SimData1 and 2'!$B$9:$B$508)-1)+$I$427</f>
        <v>0.83767535070140353</v>
      </c>
      <c r="J428">
        <f>SMALL('SimData1 and 2'!$C$9:$C$508,419)</f>
        <v>8.0104783890827402</v>
      </c>
      <c r="K428">
        <f>1/(COUNT('SimData1 and 2'!$C$9:$C$508)-1)+$K$427</f>
        <v>0.83767535070140353</v>
      </c>
    </row>
    <row r="429" spans="1:11" x14ac:dyDescent="0.2">
      <c r="A429">
        <v>421</v>
      </c>
      <c r="B429">
        <v>7.1852726774674878</v>
      </c>
      <c r="C429">
        <v>7.1025478323771241</v>
      </c>
      <c r="H429">
        <f>SMALL('SimData1 and 2'!$B$9:$B$508,420)</f>
        <v>8.0151280383628514</v>
      </c>
      <c r="I429">
        <f>1/(COUNT('SimData1 and 2'!$B$9:$B$508)-1)+$I$428</f>
        <v>0.8396793587174356</v>
      </c>
      <c r="J429">
        <f>SMALL('SimData1 and 2'!$C$9:$C$508,420)</f>
        <v>8.0145227702532296</v>
      </c>
      <c r="K429">
        <f>1/(COUNT('SimData1 and 2'!$C$9:$C$508)-1)+$K$428</f>
        <v>0.8396793587174356</v>
      </c>
    </row>
    <row r="430" spans="1:11" x14ac:dyDescent="0.2">
      <c r="A430">
        <v>422</v>
      </c>
      <c r="B430">
        <v>7.1952355327631077</v>
      </c>
      <c r="C430">
        <v>5.5501264198629361</v>
      </c>
      <c r="H430">
        <f>SMALL('SimData1 and 2'!$B$9:$B$508,421)</f>
        <v>8.0185095837257343</v>
      </c>
      <c r="I430">
        <f>1/(COUNT('SimData1 and 2'!$B$9:$B$508)-1)+$I$429</f>
        <v>0.84168336673346766</v>
      </c>
      <c r="J430">
        <f>SMALL('SimData1 and 2'!$C$9:$C$508,421)</f>
        <v>8.017465767916736</v>
      </c>
      <c r="K430">
        <f>1/(COUNT('SimData1 and 2'!$C$9:$C$508)-1)+$K$429</f>
        <v>0.84168336673346766</v>
      </c>
    </row>
    <row r="431" spans="1:11" x14ac:dyDescent="0.2">
      <c r="A431">
        <v>423</v>
      </c>
      <c r="B431">
        <v>7.1739626056698871</v>
      </c>
      <c r="C431">
        <v>7.9428954488029078</v>
      </c>
      <c r="H431">
        <f>SMALL('SimData1 and 2'!$B$9:$B$508,422)</f>
        <v>8.0202636773750591</v>
      </c>
      <c r="I431">
        <f>1/(COUNT('SimData1 and 2'!$B$9:$B$508)-1)+$I$430</f>
        <v>0.84368737474949973</v>
      </c>
      <c r="J431">
        <f>SMALL('SimData1 and 2'!$C$9:$C$508,422)</f>
        <v>8.0187792181293513</v>
      </c>
      <c r="K431">
        <f>1/(COUNT('SimData1 and 2'!$C$9:$C$508)-1)+$K$430</f>
        <v>0.84368737474949973</v>
      </c>
    </row>
    <row r="432" spans="1:11" x14ac:dyDescent="0.2">
      <c r="A432">
        <v>424</v>
      </c>
      <c r="B432">
        <v>7.2056338163078903</v>
      </c>
      <c r="C432">
        <v>6.0029381223516154</v>
      </c>
      <c r="H432">
        <f>SMALL('SimData1 and 2'!$B$9:$B$508,423)</f>
        <v>8.0223244905740749</v>
      </c>
      <c r="I432">
        <f>1/(COUNT('SimData1 and 2'!$B$9:$B$508)-1)+$I$431</f>
        <v>0.8456913827655318</v>
      </c>
      <c r="J432">
        <f>SMALL('SimData1 and 2'!$C$9:$C$508,423)</f>
        <v>8.0242373294776357</v>
      </c>
      <c r="K432">
        <f>1/(COUNT('SimData1 and 2'!$C$9:$C$508)-1)+$K$431</f>
        <v>0.8456913827655318</v>
      </c>
    </row>
    <row r="433" spans="1:11" x14ac:dyDescent="0.2">
      <c r="A433">
        <v>425</v>
      </c>
      <c r="B433">
        <v>7.264870208641808</v>
      </c>
      <c r="C433">
        <v>14.266877334879153</v>
      </c>
      <c r="H433">
        <f>SMALL('SimData1 and 2'!$B$9:$B$508,424)</f>
        <v>8.0255811918375102</v>
      </c>
      <c r="I433">
        <f>1/(COUNT('SimData1 and 2'!$B$9:$B$508)-1)+$I$432</f>
        <v>0.84769539078156386</v>
      </c>
      <c r="J433">
        <f>SMALL('SimData1 and 2'!$C$9:$C$508,424)</f>
        <v>8.0248818724665139</v>
      </c>
      <c r="K433">
        <f>1/(COUNT('SimData1 and 2'!$C$9:$C$508)-1)+$K$432</f>
        <v>0.84769539078156386</v>
      </c>
    </row>
    <row r="434" spans="1:11" x14ac:dyDescent="0.2">
      <c r="A434">
        <v>426</v>
      </c>
      <c r="B434">
        <v>5.1826118565330548</v>
      </c>
      <c r="C434">
        <v>3.5000028242532677</v>
      </c>
      <c r="H434">
        <f>SMALL('SimData1 and 2'!$B$9:$B$508,425)</f>
        <v>8.0299814721831169</v>
      </c>
      <c r="I434">
        <f>1/(COUNT('SimData1 and 2'!$B$9:$B$508)-1)+$I$433</f>
        <v>0.84969939879759593</v>
      </c>
      <c r="J434">
        <f>SMALL('SimData1 and 2'!$C$9:$C$508,425)</f>
        <v>8.0282807948916179</v>
      </c>
      <c r="K434">
        <f>1/(COUNT('SimData1 and 2'!$C$9:$C$508)-1)+$K$433</f>
        <v>0.84969939879759593</v>
      </c>
    </row>
    <row r="435" spans="1:11" x14ac:dyDescent="0.2">
      <c r="A435">
        <v>427</v>
      </c>
      <c r="B435">
        <v>7.2606565948970978</v>
      </c>
      <c r="C435">
        <v>7.2836029058732477</v>
      </c>
      <c r="H435">
        <f>SMALL('SimData1 and 2'!$B$9:$B$508,426)</f>
        <v>8.0304992135958706</v>
      </c>
      <c r="I435">
        <f>1/(COUNT('SimData1 and 2'!$B$9:$B$508)-1)+$I$434</f>
        <v>0.85170340681362799</v>
      </c>
      <c r="J435">
        <f>SMALL('SimData1 and 2'!$C$9:$C$508,426)</f>
        <v>8.0308693865641807</v>
      </c>
      <c r="K435">
        <f>1/(COUNT('SimData1 and 2'!$C$9:$C$508)-1)+$K$434</f>
        <v>0.85170340681362799</v>
      </c>
    </row>
    <row r="436" spans="1:11" x14ac:dyDescent="0.2">
      <c r="A436">
        <v>428</v>
      </c>
      <c r="B436">
        <v>5.1827613708389126</v>
      </c>
      <c r="C436">
        <v>4.9101866701402201</v>
      </c>
      <c r="H436">
        <f>SMALL('SimData1 and 2'!$B$9:$B$508,427)</f>
        <v>8.033937672635755</v>
      </c>
      <c r="I436">
        <f>1/(COUNT('SimData1 and 2'!$B$9:$B$508)-1)+$I$435</f>
        <v>0.85370741482966006</v>
      </c>
      <c r="J436">
        <f>SMALL('SimData1 and 2'!$C$9:$C$508,427)</f>
        <v>8.0357153701366979</v>
      </c>
      <c r="K436">
        <f>1/(COUNT('SimData1 and 2'!$C$9:$C$508)-1)+$K$435</f>
        <v>0.85370741482966006</v>
      </c>
    </row>
    <row r="437" spans="1:11" x14ac:dyDescent="0.2">
      <c r="A437">
        <v>429</v>
      </c>
      <c r="B437">
        <v>8.0764885049690811</v>
      </c>
      <c r="C437">
        <v>8.330039767657416</v>
      </c>
      <c r="H437">
        <f>SMALL('SimData1 and 2'!$B$9:$B$508,428)</f>
        <v>8.0372872524984569</v>
      </c>
      <c r="I437">
        <f>1/(COUNT('SimData1 and 2'!$B$9:$B$508)-1)+$I$436</f>
        <v>0.85571142284569213</v>
      </c>
      <c r="J437">
        <f>SMALL('SimData1 and 2'!$C$9:$C$508,428)</f>
        <v>8.0366880462730812</v>
      </c>
      <c r="K437">
        <f>1/(COUNT('SimData1 and 2'!$C$9:$C$508)-1)+$K$436</f>
        <v>0.85571142284569213</v>
      </c>
    </row>
    <row r="438" spans="1:11" x14ac:dyDescent="0.2">
      <c r="A438">
        <v>430</v>
      </c>
      <c r="B438">
        <v>5.9955371600312972</v>
      </c>
      <c r="C438">
        <v>7.2108050858452639</v>
      </c>
      <c r="H438">
        <f>SMALL('SimData1 and 2'!$B$9:$B$508,429)</f>
        <v>8.0393719072861209</v>
      </c>
      <c r="I438">
        <f>1/(COUNT('SimData1 and 2'!$B$9:$B$508)-1)+$I$437</f>
        <v>0.85771543086172419</v>
      </c>
      <c r="J438">
        <f>SMALL('SimData1 and 2'!$C$9:$C$508,429)</f>
        <v>8.0392914334785424</v>
      </c>
      <c r="K438">
        <f>1/(COUNT('SimData1 and 2'!$C$9:$C$508)-1)+$K$437</f>
        <v>0.85771543086172419</v>
      </c>
    </row>
    <row r="439" spans="1:11" x14ac:dyDescent="0.2">
      <c r="A439">
        <v>431</v>
      </c>
      <c r="B439">
        <v>8.438761739050701</v>
      </c>
      <c r="C439">
        <v>8.0308693865641807</v>
      </c>
      <c r="H439">
        <f>SMALL('SimData1 and 2'!$B$9:$B$508,430)</f>
        <v>8.0436732406325628</v>
      </c>
      <c r="I439">
        <f>1/(COUNT('SimData1 and 2'!$B$9:$B$508)-1)+$I$438</f>
        <v>0.85971943887775626</v>
      </c>
      <c r="J439">
        <f>SMALL('SimData1 and 2'!$C$9:$C$508,430)</f>
        <v>8.0433511707882648</v>
      </c>
      <c r="K439">
        <f>1/(COUNT('SimData1 and 2'!$C$9:$C$508)-1)+$K$438</f>
        <v>0.85971943887775626</v>
      </c>
    </row>
    <row r="440" spans="1:11" x14ac:dyDescent="0.2">
      <c r="A440">
        <v>432</v>
      </c>
      <c r="B440">
        <v>6.0000427082127397</v>
      </c>
      <c r="C440">
        <v>6.002598290498808</v>
      </c>
      <c r="H440">
        <f>SMALL('SimData1 and 2'!$B$9:$B$508,431)</f>
        <v>8.0460283150937002</v>
      </c>
      <c r="I440">
        <f>1/(COUNT('SimData1 and 2'!$B$9:$B$508)-1)+$I$439</f>
        <v>0.86172344689378833</v>
      </c>
      <c r="J440">
        <f>SMALL('SimData1 and 2'!$C$9:$C$508,431)</f>
        <v>8.0476191618671589</v>
      </c>
      <c r="K440">
        <f>1/(COUNT('SimData1 and 2'!$C$9:$C$508)-1)+$K$439</f>
        <v>0.86172344689378833</v>
      </c>
    </row>
    <row r="441" spans="1:11" x14ac:dyDescent="0.2">
      <c r="A441">
        <v>433</v>
      </c>
      <c r="B441">
        <v>5.377685149271084</v>
      </c>
      <c r="C441">
        <v>6.2270972898635915</v>
      </c>
      <c r="H441">
        <f>SMALL('SimData1 and 2'!$B$9:$B$508,432)</f>
        <v>8.0501390971368867</v>
      </c>
      <c r="I441">
        <f>1/(COUNT('SimData1 and 2'!$B$9:$B$508)-1)+$I$440</f>
        <v>0.86372745490982039</v>
      </c>
      <c r="J441">
        <f>SMALL('SimData1 and 2'!$C$9:$C$508,432)</f>
        <v>8.0971350653980796</v>
      </c>
      <c r="K441">
        <f>1/(COUNT('SimData1 and 2'!$C$9:$C$508)-1)+$K$440</f>
        <v>0.86372745490982039</v>
      </c>
    </row>
    <row r="442" spans="1:11" x14ac:dyDescent="0.2">
      <c r="A442">
        <v>434</v>
      </c>
      <c r="B442">
        <v>7.2253733004037706</v>
      </c>
      <c r="C442">
        <v>6.8412357544833231</v>
      </c>
      <c r="H442">
        <f>SMALL('SimData1 and 2'!$B$9:$B$508,433)</f>
        <v>8.0547685780849818</v>
      </c>
      <c r="I442">
        <f>1/(COUNT('SimData1 and 2'!$B$9:$B$508)-1)+$I$441</f>
        <v>0.86573146292585246</v>
      </c>
      <c r="J442">
        <f>SMALL('SimData1 and 2'!$C$9:$C$508,433)</f>
        <v>8.330039767657416</v>
      </c>
      <c r="K442">
        <f>1/(COUNT('SimData1 and 2'!$C$9:$C$508)-1)+$K$441</f>
        <v>0.86573146292585246</v>
      </c>
    </row>
    <row r="443" spans="1:11" x14ac:dyDescent="0.2">
      <c r="A443">
        <v>435</v>
      </c>
      <c r="B443">
        <v>7.2215001307550999</v>
      </c>
      <c r="C443">
        <v>4.4990758601107999</v>
      </c>
      <c r="H443">
        <f>SMALL('SimData1 and 2'!$B$9:$B$508,434)</f>
        <v>8.0764885049690811</v>
      </c>
      <c r="I443">
        <f>1/(COUNT('SimData1 and 2'!$B$9:$B$508)-1)+$I$442</f>
        <v>0.86773547094188452</v>
      </c>
      <c r="J443">
        <f>SMALL('SimData1 and 2'!$C$9:$C$508,434)</f>
        <v>8.6080991234608426</v>
      </c>
      <c r="K443">
        <f>1/(COUNT('SimData1 and 2'!$C$9:$C$508)-1)+$K$442</f>
        <v>0.86773547094188452</v>
      </c>
    </row>
    <row r="444" spans="1:11" x14ac:dyDescent="0.2">
      <c r="A444">
        <v>436</v>
      </c>
      <c r="B444">
        <v>7.9475300214854077</v>
      </c>
      <c r="C444">
        <v>5.9987668040498416</v>
      </c>
      <c r="H444">
        <f>SMALL('SimData1 and 2'!$B$9:$B$508,435)</f>
        <v>8.0825980343500845</v>
      </c>
      <c r="I444">
        <f>1/(COUNT('SimData1 and 2'!$B$9:$B$508)-1)+$I$443</f>
        <v>0.86973947895791659</v>
      </c>
      <c r="J444">
        <f>SMALL('SimData1 and 2'!$C$9:$C$508,435)</f>
        <v>8.836693539801491</v>
      </c>
      <c r="K444">
        <f>1/(COUNT('SimData1 and 2'!$C$9:$C$508)-1)+$K$443</f>
        <v>0.86973947895791659</v>
      </c>
    </row>
    <row r="445" spans="1:11" x14ac:dyDescent="0.2">
      <c r="A445">
        <v>437</v>
      </c>
      <c r="B445">
        <v>5.1826310858825746</v>
      </c>
      <c r="C445">
        <v>7.2242963405698424</v>
      </c>
      <c r="H445">
        <f>SMALL('SimData1 and 2'!$B$9:$B$508,436)</f>
        <v>8.0985047118329181</v>
      </c>
      <c r="I445">
        <f>1/(COUNT('SimData1 and 2'!$B$9:$B$508)-1)+$I$444</f>
        <v>0.87174348697394866</v>
      </c>
      <c r="J445">
        <f>SMALL('SimData1 and 2'!$C$9:$C$508,436)</f>
        <v>9.0192854532008599</v>
      </c>
      <c r="K445">
        <f>1/(COUNT('SimData1 and 2'!$C$9:$C$508)-1)+$K$444</f>
        <v>0.87174348697394866</v>
      </c>
    </row>
    <row r="446" spans="1:11" x14ac:dyDescent="0.2">
      <c r="A446">
        <v>438</v>
      </c>
      <c r="B446">
        <v>7.2281191695441009</v>
      </c>
      <c r="C446">
        <v>6.0023871855864384</v>
      </c>
      <c r="H446">
        <f>SMALL('SimData1 and 2'!$B$9:$B$508,437)</f>
        <v>8.1210752313721173</v>
      </c>
      <c r="I446">
        <f>1/(COUNT('SimData1 and 2'!$B$9:$B$508)-1)+$I$445</f>
        <v>0.87374749498998072</v>
      </c>
      <c r="J446">
        <f>SMALL('SimData1 and 2'!$C$9:$C$508,437)</f>
        <v>9.273280958159317</v>
      </c>
      <c r="K446">
        <f>1/(COUNT('SimData1 and 2'!$C$9:$C$508)-1)+$K$445</f>
        <v>0.87374749498998072</v>
      </c>
    </row>
    <row r="447" spans="1:11" x14ac:dyDescent="0.2">
      <c r="A447">
        <v>439</v>
      </c>
      <c r="B447">
        <v>6.2688747814333059</v>
      </c>
      <c r="C447">
        <v>6.2065332179871273</v>
      </c>
      <c r="H447">
        <f>SMALL('SimData1 and 2'!$B$9:$B$508,438)</f>
        <v>8.1344219540258784</v>
      </c>
      <c r="I447">
        <f>1/(COUNT('SimData1 and 2'!$B$9:$B$508)-1)+$I$446</f>
        <v>0.87575150300601279</v>
      </c>
      <c r="J447">
        <f>SMALL('SimData1 and 2'!$C$9:$C$508,438)</f>
        <v>9.6613316540001453</v>
      </c>
      <c r="K447">
        <f>1/(COUNT('SimData1 and 2'!$C$9:$C$508)-1)+$K$446</f>
        <v>0.87575150300601279</v>
      </c>
    </row>
    <row r="448" spans="1:11" x14ac:dyDescent="0.2">
      <c r="A448">
        <v>440</v>
      </c>
      <c r="B448">
        <v>6.0030024733774816</v>
      </c>
      <c r="C448">
        <v>6.0040632275486008</v>
      </c>
      <c r="H448">
        <f>SMALL('SimData1 and 2'!$B$9:$B$508,439)</f>
        <v>8.1413873964861025</v>
      </c>
      <c r="I448">
        <f>1/(COUNT('SimData1 and 2'!$B$9:$B$508)-1)+$I$447</f>
        <v>0.87775551102204485</v>
      </c>
      <c r="J448">
        <f>SMALL('SimData1 and 2'!$C$9:$C$508,439)</f>
        <v>9.8442132005973662</v>
      </c>
      <c r="K448">
        <f>1/(COUNT('SimData1 and 2'!$C$9:$C$508)-1)+$K$447</f>
        <v>0.87775551102204485</v>
      </c>
    </row>
    <row r="449" spans="1:11" x14ac:dyDescent="0.2">
      <c r="A449">
        <v>441</v>
      </c>
      <c r="B449">
        <v>8.43877031189459</v>
      </c>
      <c r="C449">
        <v>7.3252739430729372</v>
      </c>
      <c r="H449">
        <f>SMALL('SimData1 and 2'!$B$9:$B$508,440)</f>
        <v>8.1605682450807997</v>
      </c>
      <c r="I449">
        <f>1/(COUNT('SimData1 and 2'!$B$9:$B$508)-1)+$I$448</f>
        <v>0.87975951903807692</v>
      </c>
      <c r="J449">
        <f>SMALL('SimData1 and 2'!$C$9:$C$508,440)</f>
        <v>10.120667482539931</v>
      </c>
      <c r="K449">
        <f>1/(COUNT('SimData1 and 2'!$C$9:$C$508)-1)+$K$448</f>
        <v>0.87975951903807692</v>
      </c>
    </row>
    <row r="450" spans="1:11" x14ac:dyDescent="0.2">
      <c r="A450">
        <v>442</v>
      </c>
      <c r="B450">
        <v>5.1826875099170717</v>
      </c>
      <c r="C450">
        <v>8.0282807948916179</v>
      </c>
      <c r="H450">
        <f>SMALL('SimData1 and 2'!$B$9:$B$508,441)</f>
        <v>8.1699392775845272</v>
      </c>
      <c r="I450">
        <f>1/(COUNT('SimData1 and 2'!$B$9:$B$508)-1)+$I$449</f>
        <v>0.88176352705410899</v>
      </c>
      <c r="J450">
        <f>SMALL('SimData1 and 2'!$C$9:$C$508,441)</f>
        <v>10.366492163278952</v>
      </c>
      <c r="K450">
        <f>1/(COUNT('SimData1 and 2'!$C$9:$C$508)-1)+$K$449</f>
        <v>0.88176352705410899</v>
      </c>
    </row>
    <row r="451" spans="1:11" x14ac:dyDescent="0.2">
      <c r="A451">
        <v>443</v>
      </c>
      <c r="B451">
        <v>6.9625977945033606</v>
      </c>
      <c r="C451">
        <v>6.007804311798898</v>
      </c>
      <c r="H451">
        <f>SMALL('SimData1 and 2'!$B$9:$B$508,442)</f>
        <v>8.1884534216804319</v>
      </c>
      <c r="I451">
        <f>1/(COUNT('SimData1 and 2'!$B$9:$B$508)-1)+$I$450</f>
        <v>0.88376753507014105</v>
      </c>
      <c r="J451">
        <f>SMALL('SimData1 and 2'!$C$9:$C$508,442)</f>
        <v>10.530102371432795</v>
      </c>
      <c r="K451">
        <f>1/(COUNT('SimData1 and 2'!$C$9:$C$508)-1)+$K$450</f>
        <v>0.88376753507014105</v>
      </c>
    </row>
    <row r="452" spans="1:11" x14ac:dyDescent="0.2">
      <c r="A452">
        <v>444</v>
      </c>
      <c r="B452">
        <v>6.0046206508319138</v>
      </c>
      <c r="C452">
        <v>7.2522318187720458</v>
      </c>
      <c r="H452">
        <f>SMALL('SimData1 and 2'!$B$9:$B$508,443)</f>
        <v>8.1978479824200168</v>
      </c>
      <c r="I452">
        <f>1/(COUNT('SimData1 and 2'!$B$9:$B$508)-1)+$I$451</f>
        <v>0.88577154308617312</v>
      </c>
      <c r="J452">
        <f>SMALL('SimData1 and 2'!$C$9:$C$508,443)</f>
        <v>10.728545893797648</v>
      </c>
      <c r="K452">
        <f>1/(COUNT('SimData1 and 2'!$C$9:$C$508)-1)+$K$451</f>
        <v>0.88577154308617312</v>
      </c>
    </row>
    <row r="453" spans="1:11" x14ac:dyDescent="0.2">
      <c r="A453">
        <v>445</v>
      </c>
      <c r="B453">
        <v>6.0064338615983566</v>
      </c>
      <c r="C453">
        <v>4.8335567881510224</v>
      </c>
      <c r="H453">
        <f>SMALL('SimData1 and 2'!$B$9:$B$508,444)</f>
        <v>8.2092188173998064</v>
      </c>
      <c r="I453">
        <f>1/(COUNT('SimData1 and 2'!$B$9:$B$508)-1)+$I$452</f>
        <v>0.88777555110220518</v>
      </c>
      <c r="J453">
        <f>SMALL('SimData1 and 2'!$C$9:$C$508,444)</f>
        <v>11.095547231073223</v>
      </c>
      <c r="K453">
        <f>1/(COUNT('SimData1 and 2'!$C$9:$C$508)-1)+$K$452</f>
        <v>0.88777555110220518</v>
      </c>
    </row>
    <row r="454" spans="1:11" x14ac:dyDescent="0.2">
      <c r="A454">
        <v>446</v>
      </c>
      <c r="B454">
        <v>5.9964906540326197</v>
      </c>
      <c r="C454">
        <v>6.0000213714440997</v>
      </c>
      <c r="H454">
        <f>SMALL('SimData1 and 2'!$B$9:$B$508,445)</f>
        <v>8.2182732824646259</v>
      </c>
      <c r="I454">
        <f>1/(COUNT('SimData1 and 2'!$B$9:$B$508)-1)+$I$453</f>
        <v>0.88977955911823725</v>
      </c>
      <c r="J454">
        <f>SMALL('SimData1 and 2'!$C$9:$C$508,445)</f>
        <v>11.233067809456241</v>
      </c>
      <c r="K454">
        <f>1/(COUNT('SimData1 and 2'!$C$9:$C$508)-1)+$K$453</f>
        <v>0.88977955911823725</v>
      </c>
    </row>
    <row r="455" spans="1:11" x14ac:dyDescent="0.2">
      <c r="A455">
        <v>447</v>
      </c>
      <c r="B455">
        <v>7.2218606439749333</v>
      </c>
      <c r="C455">
        <v>7.4039337139089927</v>
      </c>
      <c r="H455">
        <f>SMALL('SimData1 and 2'!$B$9:$B$508,446)</f>
        <v>8.2411568595547511</v>
      </c>
      <c r="I455">
        <f>1/(COUNT('SimData1 and 2'!$B$9:$B$508)-1)+$I$454</f>
        <v>0.89178356713426932</v>
      </c>
      <c r="J455">
        <f>SMALL('SimData1 and 2'!$C$9:$C$508,446)</f>
        <v>11.547169783979506</v>
      </c>
      <c r="K455">
        <f>1/(COUNT('SimData1 and 2'!$C$9:$C$508)-1)+$K$454</f>
        <v>0.89178356713426932</v>
      </c>
    </row>
    <row r="456" spans="1:11" x14ac:dyDescent="0.2">
      <c r="A456">
        <v>448</v>
      </c>
      <c r="B456">
        <v>6.007512989643315</v>
      </c>
      <c r="C456">
        <v>3.5000003068062298</v>
      </c>
      <c r="H456">
        <f>SMALL('SimData1 and 2'!$B$9:$B$508,447)</f>
        <v>8.2555907397034503</v>
      </c>
      <c r="I456">
        <f>1/(COUNT('SimData1 and 2'!$B$9:$B$508)-1)+$I$455</f>
        <v>0.89378757515030138</v>
      </c>
      <c r="J456">
        <f>SMALL('SimData1 and 2'!$C$9:$C$508,447)</f>
        <v>11.791625763253982</v>
      </c>
      <c r="K456">
        <f>1/(COUNT('SimData1 and 2'!$C$9:$C$508)-1)+$K$455</f>
        <v>0.89378757515030138</v>
      </c>
    </row>
    <row r="457" spans="1:11" x14ac:dyDescent="0.2">
      <c r="A457">
        <v>449</v>
      </c>
      <c r="B457">
        <v>6.3763443662274844</v>
      </c>
      <c r="C457">
        <v>6.5986111698801846</v>
      </c>
      <c r="H457">
        <f>SMALL('SimData1 and 2'!$B$9:$B$508,448)</f>
        <v>8.2666404333241257</v>
      </c>
      <c r="I457">
        <f>1/(COUNT('SimData1 and 2'!$B$9:$B$508)-1)+$I$456</f>
        <v>0.89579158316633345</v>
      </c>
      <c r="J457">
        <f>SMALL('SimData1 and 2'!$C$9:$C$508,448)</f>
        <v>12.095183413595784</v>
      </c>
      <c r="K457">
        <f>1/(COUNT('SimData1 and 2'!$C$9:$C$508)-1)+$K$456</f>
        <v>0.89579158316633345</v>
      </c>
    </row>
    <row r="458" spans="1:11" x14ac:dyDescent="0.2">
      <c r="A458">
        <v>450</v>
      </c>
      <c r="B458">
        <v>7.1918380461092362</v>
      </c>
      <c r="C458">
        <v>6.8832453275948122</v>
      </c>
      <c r="H458">
        <f>SMALL('SimData1 and 2'!$B$9:$B$508,449)</f>
        <v>8.2779686971776769</v>
      </c>
      <c r="I458">
        <f>1/(COUNT('SimData1 and 2'!$B$9:$B$508)-1)+$I$457</f>
        <v>0.89779559118236552</v>
      </c>
      <c r="J458">
        <f>SMALL('SimData1 and 2'!$C$9:$C$508,449)</f>
        <v>12.313504834077841</v>
      </c>
      <c r="K458">
        <f>1/(COUNT('SimData1 and 2'!$C$9:$C$508)-1)+$K$457</f>
        <v>0.89779559118236552</v>
      </c>
    </row>
    <row r="459" spans="1:11" x14ac:dyDescent="0.2">
      <c r="A459">
        <v>451</v>
      </c>
      <c r="B459">
        <v>6.3970803474685987</v>
      </c>
      <c r="C459">
        <v>7.2288858978668804</v>
      </c>
      <c r="H459">
        <f>SMALL('SimData1 and 2'!$B$9:$B$508,450)</f>
        <v>8.288218662321249</v>
      </c>
      <c r="I459">
        <f>1/(COUNT('SimData1 and 2'!$B$9:$B$508)-1)+$I$458</f>
        <v>0.89979959919839758</v>
      </c>
      <c r="J459">
        <f>SMALL('SimData1 and 2'!$C$9:$C$508,450)</f>
        <v>12.708667236494117</v>
      </c>
      <c r="K459">
        <f>1/(COUNT('SimData1 and 2'!$C$9:$C$508)-1)+$K$458</f>
        <v>0.89979959919839758</v>
      </c>
    </row>
    <row r="460" spans="1:11" x14ac:dyDescent="0.2">
      <c r="A460">
        <v>452</v>
      </c>
      <c r="B460">
        <v>7.2266720797155957</v>
      </c>
      <c r="C460">
        <v>7.2270543088522361</v>
      </c>
      <c r="H460">
        <f>SMALL('SimData1 and 2'!$B$9:$B$508,451)</f>
        <v>8.3075938063738111</v>
      </c>
      <c r="I460">
        <f>1/(COUNT('SimData1 and 2'!$B$9:$B$508)-1)+$I$459</f>
        <v>0.90180360721442965</v>
      </c>
      <c r="J460">
        <f>SMALL('SimData1 and 2'!$C$9:$C$508,451)</f>
        <v>12.831968901665832</v>
      </c>
      <c r="K460">
        <f>1/(COUNT('SimData1 and 2'!$C$9:$C$508)-1)+$K$459</f>
        <v>0.90180360721442965</v>
      </c>
    </row>
    <row r="461" spans="1:11" x14ac:dyDescent="0.2">
      <c r="A461">
        <v>453</v>
      </c>
      <c r="B461">
        <v>5.997010828683738</v>
      </c>
      <c r="C461">
        <v>7.2070132166276277</v>
      </c>
      <c r="H461">
        <f>SMALL('SimData1 and 2'!$B$9:$B$508,452)</f>
        <v>8.3282405096891718</v>
      </c>
      <c r="I461">
        <f>1/(COUNT('SimData1 and 2'!$B$9:$B$508)-1)+$I$460</f>
        <v>0.90380761523046171</v>
      </c>
      <c r="J461">
        <f>SMALL('SimData1 and 2'!$C$9:$C$508,452)</f>
        <v>13.145956732498401</v>
      </c>
      <c r="K461">
        <f>1/(COUNT('SimData1 and 2'!$C$9:$C$508)-1)+$K$460</f>
        <v>0.90380761523046171</v>
      </c>
    </row>
    <row r="462" spans="1:11" x14ac:dyDescent="0.2">
      <c r="A462">
        <v>454</v>
      </c>
      <c r="B462">
        <v>5.9999156674834575</v>
      </c>
      <c r="C462">
        <v>6.0065254183123091</v>
      </c>
      <c r="H462">
        <f>SMALL('SimData1 and 2'!$B$9:$B$508,453)</f>
        <v>8.3357296255022213</v>
      </c>
      <c r="I462">
        <f>1/(COUNT('SimData1 and 2'!$B$9:$B$508)-1)+$I$461</f>
        <v>0.90581162324649378</v>
      </c>
      <c r="J462">
        <f>SMALL('SimData1 and 2'!$C$9:$C$508,453)</f>
        <v>13.500865854056553</v>
      </c>
      <c r="K462">
        <f>1/(COUNT('SimData1 and 2'!$C$9:$C$508)-1)+$K$461</f>
        <v>0.90581162324649378</v>
      </c>
    </row>
    <row r="463" spans="1:11" x14ac:dyDescent="0.2">
      <c r="A463">
        <v>455</v>
      </c>
      <c r="B463">
        <v>8.2666404333241257</v>
      </c>
      <c r="C463">
        <v>7.2261898346120432</v>
      </c>
      <c r="H463">
        <f>SMALL('SimData1 and 2'!$B$9:$B$508,454)</f>
        <v>8.3422615646961287</v>
      </c>
      <c r="I463">
        <f>1/(COUNT('SimData1 and 2'!$B$9:$B$508)-1)+$I$462</f>
        <v>0.90781563126252585</v>
      </c>
      <c r="J463">
        <f>SMALL('SimData1 and 2'!$C$9:$C$508,454)</f>
        <v>13.795625774900547</v>
      </c>
      <c r="K463">
        <f>1/(COUNT('SimData1 and 2'!$C$9:$C$508)-1)+$K$462</f>
        <v>0.90781563126252585</v>
      </c>
    </row>
    <row r="464" spans="1:11" x14ac:dyDescent="0.2">
      <c r="A464">
        <v>456</v>
      </c>
      <c r="B464">
        <v>6.0986530223787643</v>
      </c>
      <c r="C464">
        <v>7.9891743500738697</v>
      </c>
      <c r="H464">
        <f>SMALL('SimData1 and 2'!$B$9:$B$508,455)</f>
        <v>8.3656043397047846</v>
      </c>
      <c r="I464">
        <f>1/(COUNT('SimData1 and 2'!$B$9:$B$508)-1)+$I$463</f>
        <v>0.90981963927855791</v>
      </c>
      <c r="J464">
        <f>SMALL('SimData1 and 2'!$C$9:$C$508,455)</f>
        <v>13.931492173308321</v>
      </c>
      <c r="K464">
        <f>1/(COUNT('SimData1 and 2'!$C$9:$C$508)-1)+$K$463</f>
        <v>0.90981963927855791</v>
      </c>
    </row>
    <row r="465" spans="1:11" x14ac:dyDescent="0.2">
      <c r="A465">
        <v>457</v>
      </c>
      <c r="B465">
        <v>7.1523039830163899</v>
      </c>
      <c r="C465">
        <v>6.7087132758443957</v>
      </c>
      <c r="H465">
        <f>SMALL('SimData1 and 2'!$B$9:$B$508,456)</f>
        <v>8.3831474392076757</v>
      </c>
      <c r="I465">
        <f>1/(COUNT('SimData1 and 2'!$B$9:$B$508)-1)+$I$464</f>
        <v>0.91182364729458998</v>
      </c>
      <c r="J465">
        <f>SMALL('SimData1 and 2'!$C$9:$C$508,456)</f>
        <v>14.266877334879153</v>
      </c>
      <c r="K465">
        <f>1/(COUNT('SimData1 and 2'!$C$9:$C$508)-1)+$K$464</f>
        <v>0.91182364729458998</v>
      </c>
    </row>
    <row r="466" spans="1:11" x14ac:dyDescent="0.2">
      <c r="A466">
        <v>458</v>
      </c>
      <c r="B466">
        <v>7.2229402235099984</v>
      </c>
      <c r="C466">
        <v>7.8222321807469868</v>
      </c>
      <c r="H466">
        <f>SMALL('SimData1 and 2'!$B$9:$B$508,457)</f>
        <v>8.3929867018789572</v>
      </c>
      <c r="I466">
        <f>1/(COUNT('SimData1 and 2'!$B$9:$B$508)-1)+$I$465</f>
        <v>0.91382765531062204</v>
      </c>
      <c r="J466">
        <f>SMALL('SimData1 and 2'!$C$9:$C$508,457)</f>
        <v>14.568699817566479</v>
      </c>
      <c r="K466">
        <f>1/(COUNT('SimData1 and 2'!$C$9:$C$508)-1)+$K$465</f>
        <v>0.91382765531062204</v>
      </c>
    </row>
    <row r="467" spans="1:11" x14ac:dyDescent="0.2">
      <c r="A467">
        <v>459</v>
      </c>
      <c r="B467">
        <v>6.1784984995106571</v>
      </c>
      <c r="C467">
        <v>7.2557978570948141</v>
      </c>
      <c r="H467">
        <f>SMALL('SimData1 and 2'!$B$9:$B$508,458)</f>
        <v>8.4069915487397449</v>
      </c>
      <c r="I467">
        <f>1/(COUNT('SimData1 and 2'!$B$9:$B$508)-1)+$I$466</f>
        <v>0.91583166332665411</v>
      </c>
      <c r="J467">
        <f>SMALL('SimData1 and 2'!$C$9:$C$508,458)</f>
        <v>14.784959221523954</v>
      </c>
      <c r="K467">
        <f>1/(COUNT('SimData1 and 2'!$C$9:$C$508)-1)+$K$466</f>
        <v>0.91583166332665411</v>
      </c>
    </row>
    <row r="468" spans="1:11" x14ac:dyDescent="0.2">
      <c r="A468">
        <v>460</v>
      </c>
      <c r="B468">
        <v>6.1254953552068603</v>
      </c>
      <c r="C468">
        <v>7.2011283157883073</v>
      </c>
      <c r="H468">
        <f>SMALL('SimData1 and 2'!$B$9:$B$508,459)</f>
        <v>8.4214744718750296</v>
      </c>
      <c r="I468">
        <f>1/(COUNT('SimData1 and 2'!$B$9:$B$508)-1)+$I$467</f>
        <v>0.91783567134268618</v>
      </c>
      <c r="J468">
        <f>SMALL('SimData1 and 2'!$C$9:$C$508,459)</f>
        <v>14.930562085462313</v>
      </c>
      <c r="K468">
        <f>1/(COUNT('SimData1 and 2'!$C$9:$C$508)-1)+$K$467</f>
        <v>0.91783567134268618</v>
      </c>
    </row>
    <row r="469" spans="1:11" x14ac:dyDescent="0.2">
      <c r="A469">
        <v>461</v>
      </c>
      <c r="B469">
        <v>7.456623039050581</v>
      </c>
      <c r="C469">
        <v>15.399990962986411</v>
      </c>
      <c r="H469">
        <f>SMALL('SimData1 and 2'!$B$9:$B$508,460)</f>
        <v>8.4251706586446495</v>
      </c>
      <c r="I469">
        <f>1/(COUNT('SimData1 and 2'!$B$9:$B$508)-1)+$I$468</f>
        <v>0.91983967935871824</v>
      </c>
      <c r="J469">
        <f>SMALL('SimData1 and 2'!$C$9:$C$508,460)</f>
        <v>15.34345453168164</v>
      </c>
      <c r="K469">
        <f>1/(COUNT('SimData1 and 2'!$C$9:$C$508)-1)+$K$468</f>
        <v>0.91983967935871824</v>
      </c>
    </row>
    <row r="470" spans="1:11" x14ac:dyDescent="0.2">
      <c r="A470">
        <v>462</v>
      </c>
      <c r="B470">
        <v>8.1344219540258784</v>
      </c>
      <c r="C470">
        <v>7.1986268195806247</v>
      </c>
      <c r="H470">
        <f>SMALL('SimData1 and 2'!$B$9:$B$508,461)</f>
        <v>8.4386354385588831</v>
      </c>
      <c r="I470">
        <f>1/(COUNT('SimData1 and 2'!$B$9:$B$508)-1)+$I$469</f>
        <v>0.92184368737475031</v>
      </c>
      <c r="J470">
        <f>SMALL('SimData1 and 2'!$C$9:$C$508,461)</f>
        <v>15.399931121863133</v>
      </c>
      <c r="K470">
        <f>1/(COUNT('SimData1 and 2'!$C$9:$C$508)-1)+$K$469</f>
        <v>0.92184368737475031</v>
      </c>
    </row>
    <row r="471" spans="1:11" x14ac:dyDescent="0.2">
      <c r="A471">
        <v>463</v>
      </c>
      <c r="B471">
        <v>7.3211430069660057</v>
      </c>
      <c r="C471">
        <v>5.9964352111481425</v>
      </c>
      <c r="H471">
        <f>SMALL('SimData1 and 2'!$B$9:$B$508,462)</f>
        <v>8.4386387075806955</v>
      </c>
      <c r="I471">
        <f>1/(COUNT('SimData1 and 2'!$B$9:$B$508)-1)+$I$470</f>
        <v>0.92384769539078238</v>
      </c>
      <c r="J471">
        <f>SMALL('SimData1 and 2'!$C$9:$C$508,462)</f>
        <v>15.399933379086193</v>
      </c>
      <c r="K471">
        <f>1/(COUNT('SimData1 and 2'!$C$9:$C$508)-1)+$K$470</f>
        <v>0.92384769539078238</v>
      </c>
    </row>
    <row r="472" spans="1:11" x14ac:dyDescent="0.2">
      <c r="A472">
        <v>464</v>
      </c>
      <c r="B472">
        <v>7.2853518455589228</v>
      </c>
      <c r="C472">
        <v>7.178128460515663</v>
      </c>
      <c r="H472">
        <f>SMALL('SimData1 and 2'!$B$9:$B$508,463)</f>
        <v>8.4386432588911084</v>
      </c>
      <c r="I472">
        <f>1/(COUNT('SimData1 and 2'!$B$9:$B$508)-1)+$I$471</f>
        <v>0.92585170340681444</v>
      </c>
      <c r="J472">
        <f>SMALL('SimData1 and 2'!$C$9:$C$508,463)</f>
        <v>15.399934368382727</v>
      </c>
      <c r="K472">
        <f>1/(COUNT('SimData1 and 2'!$C$9:$C$508)-1)+$K$471</f>
        <v>0.92585170340681444</v>
      </c>
    </row>
    <row r="473" spans="1:11" x14ac:dyDescent="0.2">
      <c r="A473">
        <v>465</v>
      </c>
      <c r="B473">
        <v>8.4387363415625067</v>
      </c>
      <c r="C473">
        <v>3.5000010154563337</v>
      </c>
      <c r="H473">
        <f>SMALL('SimData1 and 2'!$B$9:$B$508,464)</f>
        <v>8.4386471948660144</v>
      </c>
      <c r="I473">
        <f>1/(COUNT('SimData1 and 2'!$B$9:$B$508)-1)+$I$472</f>
        <v>0.92785571142284651</v>
      </c>
      <c r="J473">
        <f>SMALL('SimData1 and 2'!$C$9:$C$508,464)</f>
        <v>15.399936961691431</v>
      </c>
      <c r="K473">
        <f>1/(COUNT('SimData1 and 2'!$C$9:$C$508)-1)+$K$472</f>
        <v>0.92785571142284651</v>
      </c>
    </row>
    <row r="474" spans="1:11" x14ac:dyDescent="0.2">
      <c r="A474">
        <v>466</v>
      </c>
      <c r="B474">
        <v>8.2411568595547511</v>
      </c>
      <c r="C474">
        <v>15.399936961691431</v>
      </c>
      <c r="H474">
        <f>SMALL('SimData1 and 2'!$B$9:$B$508,465)</f>
        <v>8.4386505271668248</v>
      </c>
      <c r="I474">
        <f>1/(COUNT('SimData1 and 2'!$B$9:$B$508)-1)+$I$473</f>
        <v>0.92985971943887857</v>
      </c>
      <c r="J474">
        <f>SMALL('SimData1 and 2'!$C$9:$C$508,465)</f>
        <v>15.399938533854264</v>
      </c>
      <c r="K474">
        <f>1/(COUNT('SimData1 and 2'!$C$9:$C$508)-1)+$K$473</f>
        <v>0.92985971943887857</v>
      </c>
    </row>
    <row r="475" spans="1:11" x14ac:dyDescent="0.2">
      <c r="A475">
        <v>467</v>
      </c>
      <c r="B475">
        <v>8.1605682450807997</v>
      </c>
      <c r="C475">
        <v>7.7192589707486423</v>
      </c>
      <c r="H475">
        <f>SMALL('SimData1 and 2'!$B$9:$B$508,466)</f>
        <v>8.4386540357464561</v>
      </c>
      <c r="I475">
        <f>1/(COUNT('SimData1 and 2'!$B$9:$B$508)-1)+$I$474</f>
        <v>0.93186372745491064</v>
      </c>
      <c r="J475">
        <f>SMALL('SimData1 and 2'!$C$9:$C$508,466)</f>
        <v>15.39993919849532</v>
      </c>
      <c r="K475">
        <f>1/(COUNT('SimData1 and 2'!$C$9:$C$508)-1)+$K$474</f>
        <v>0.93186372745491064</v>
      </c>
    </row>
    <row r="476" spans="1:11" x14ac:dyDescent="0.2">
      <c r="A476">
        <v>468</v>
      </c>
      <c r="B476">
        <v>7.213356381689219</v>
      </c>
      <c r="C476">
        <v>7.2185937551047603</v>
      </c>
      <c r="H476">
        <f>SMALL('SimData1 and 2'!$B$9:$B$508,467)</f>
        <v>8.4386566693911647</v>
      </c>
      <c r="I476">
        <f>1/(COUNT('SimData1 and 2'!$B$9:$B$508)-1)+$I$475</f>
        <v>0.93386773547094271</v>
      </c>
      <c r="J476">
        <f>SMALL('SimData1 and 2'!$C$9:$C$508,467)</f>
        <v>15.399941285470771</v>
      </c>
      <c r="K476">
        <f>1/(COUNT('SimData1 and 2'!$C$9:$C$508)-1)+$K$475</f>
        <v>0.93386773547094271</v>
      </c>
    </row>
    <row r="477" spans="1:11" x14ac:dyDescent="0.2">
      <c r="A477">
        <v>469</v>
      </c>
      <c r="B477">
        <v>7.2292529972472419</v>
      </c>
      <c r="C477">
        <v>7.2280780446675363</v>
      </c>
      <c r="H477">
        <f>SMALL('SimData1 and 2'!$B$9:$B$508,468)</f>
        <v>8.4386625607060246</v>
      </c>
      <c r="I477">
        <f>1/(COUNT('SimData1 and 2'!$B$9:$B$508)-1)+$I$476</f>
        <v>0.93587174348697477</v>
      </c>
      <c r="J477">
        <f>SMALL('SimData1 and 2'!$C$9:$C$508,468)</f>
        <v>15.399942887046731</v>
      </c>
      <c r="K477">
        <f>1/(COUNT('SimData1 and 2'!$C$9:$C$508)-1)+$K$476</f>
        <v>0.93587174348697477</v>
      </c>
    </row>
    <row r="478" spans="1:11" x14ac:dyDescent="0.2">
      <c r="A478">
        <v>470</v>
      </c>
      <c r="B478">
        <v>7.2260431767578925</v>
      </c>
      <c r="C478">
        <v>6.0756988034208215</v>
      </c>
      <c r="H478">
        <f>SMALL('SimData1 and 2'!$B$9:$B$508,469)</f>
        <v>8.4386667928624952</v>
      </c>
      <c r="I478">
        <f>1/(COUNT('SimData1 and 2'!$B$9:$B$508)-1)+$I$477</f>
        <v>0.93787575150300684</v>
      </c>
      <c r="J478">
        <f>SMALL('SimData1 and 2'!$C$9:$C$508,469)</f>
        <v>15.399945675519497</v>
      </c>
      <c r="K478">
        <f>1/(COUNT('SimData1 and 2'!$C$9:$C$508)-1)+$K$477</f>
        <v>0.93787575150300684</v>
      </c>
    </row>
    <row r="479" spans="1:11" x14ac:dyDescent="0.2">
      <c r="A479">
        <v>471</v>
      </c>
      <c r="B479">
        <v>7.2156073706517878</v>
      </c>
      <c r="C479">
        <v>6.3467722992618523</v>
      </c>
      <c r="H479">
        <f>SMALL('SimData1 and 2'!$B$9:$B$508,470)</f>
        <v>8.4386701835810989</v>
      </c>
      <c r="I479">
        <f>1/(COUNT('SimData1 and 2'!$B$9:$B$508)-1)+$I$478</f>
        <v>0.9398797595190389</v>
      </c>
      <c r="J479">
        <f>SMALL('SimData1 and 2'!$C$9:$C$508,470)</f>
        <v>15.399947360368277</v>
      </c>
      <c r="K479">
        <f>1/(COUNT('SimData1 and 2'!$C$9:$C$508)-1)+$K$478</f>
        <v>0.9398797595190389</v>
      </c>
    </row>
    <row r="480" spans="1:11" x14ac:dyDescent="0.2">
      <c r="A480">
        <v>472</v>
      </c>
      <c r="B480">
        <v>7.2888481046279869</v>
      </c>
      <c r="C480">
        <v>3.5000006724063155</v>
      </c>
      <c r="H480">
        <f>SMALL('SimData1 and 2'!$B$9:$B$508,471)</f>
        <v>8.4386742538546358</v>
      </c>
      <c r="I480">
        <f>1/(COUNT('SimData1 and 2'!$B$9:$B$508)-1)+$I$479</f>
        <v>0.94188376753507097</v>
      </c>
      <c r="J480">
        <f>SMALL('SimData1 and 2'!$C$9:$C$508,471)</f>
        <v>15.399947604812628</v>
      </c>
      <c r="K480">
        <f>1/(COUNT('SimData1 and 2'!$C$9:$C$508)-1)+$K$479</f>
        <v>0.94188376753507097</v>
      </c>
    </row>
    <row r="481" spans="1:11" x14ac:dyDescent="0.2">
      <c r="A481">
        <v>473</v>
      </c>
      <c r="B481">
        <v>8.4387123617308575</v>
      </c>
      <c r="C481">
        <v>7.9636515979636222</v>
      </c>
      <c r="H481">
        <f>SMALL('SimData1 and 2'!$B$9:$B$508,472)</f>
        <v>8.4386761249454096</v>
      </c>
      <c r="I481">
        <f>1/(COUNT('SimData1 and 2'!$B$9:$B$508)-1)+$I$480</f>
        <v>0.94388777555110304</v>
      </c>
      <c r="J481">
        <f>SMALL('SimData1 and 2'!$C$9:$C$508,472)</f>
        <v>15.399949328526828</v>
      </c>
      <c r="K481">
        <f>1/(COUNT('SimData1 and 2'!$C$9:$C$508)-1)+$K$480</f>
        <v>0.94388777555110304</v>
      </c>
    </row>
    <row r="482" spans="1:11" x14ac:dyDescent="0.2">
      <c r="A482">
        <v>474</v>
      </c>
      <c r="B482">
        <v>7.5203009084334118</v>
      </c>
      <c r="C482">
        <v>15.399952168492701</v>
      </c>
      <c r="H482">
        <f>SMALL('SimData1 and 2'!$B$9:$B$508,473)</f>
        <v>8.4386808593153138</v>
      </c>
      <c r="I482">
        <f>1/(COUNT('SimData1 and 2'!$B$9:$B$508)-1)+$I$481</f>
        <v>0.9458917835671351</v>
      </c>
      <c r="J482">
        <f>SMALL('SimData1 and 2'!$C$9:$C$508,473)</f>
        <v>15.399952168492701</v>
      </c>
      <c r="K482">
        <f>1/(COUNT('SimData1 and 2'!$C$9:$C$508)-1)+$K$481</f>
        <v>0.9458917835671351</v>
      </c>
    </row>
    <row r="483" spans="1:11" x14ac:dyDescent="0.2">
      <c r="A483">
        <v>475</v>
      </c>
      <c r="B483">
        <v>6.1477336976810308</v>
      </c>
      <c r="C483">
        <v>7.229323093006764</v>
      </c>
      <c r="H483">
        <f>SMALL('SimData1 and 2'!$B$9:$B$508,474)</f>
        <v>8.4386845785398883</v>
      </c>
      <c r="I483">
        <f>1/(COUNT('SimData1 and 2'!$B$9:$B$508)-1)+$I$482</f>
        <v>0.94789579158316717</v>
      </c>
      <c r="J483">
        <f>SMALL('SimData1 and 2'!$C$9:$C$508,474)</f>
        <v>15.399952881989611</v>
      </c>
      <c r="K483">
        <f>1/(COUNT('SimData1 and 2'!$C$9:$C$508)-1)+$K$482</f>
        <v>0.94789579158316717</v>
      </c>
    </row>
    <row r="484" spans="1:11" x14ac:dyDescent="0.2">
      <c r="A484">
        <v>476</v>
      </c>
      <c r="B484">
        <v>8.3656043397047846</v>
      </c>
      <c r="C484">
        <v>7.2725097729551207</v>
      </c>
      <c r="H484">
        <f>SMALL('SimData1 and 2'!$B$9:$B$508,475)</f>
        <v>8.4386881176581703</v>
      </c>
      <c r="I484">
        <f>1/(COUNT('SimData1 and 2'!$B$9:$B$508)-1)+$I$483</f>
        <v>0.94989979959919923</v>
      </c>
      <c r="J484">
        <f>SMALL('SimData1 and 2'!$C$9:$C$508,475)</f>
        <v>15.39995476225744</v>
      </c>
      <c r="K484">
        <f>1/(COUNT('SimData1 and 2'!$C$9:$C$508)-1)+$K$483</f>
        <v>0.94989979959919923</v>
      </c>
    </row>
    <row r="485" spans="1:11" x14ac:dyDescent="0.2">
      <c r="A485">
        <v>477</v>
      </c>
      <c r="B485">
        <v>6.0244368299815987</v>
      </c>
      <c r="C485">
        <v>5.7672321671213327</v>
      </c>
      <c r="H485">
        <f>SMALL('SimData1 and 2'!$B$9:$B$508,476)</f>
        <v>8.4386914727840026</v>
      </c>
      <c r="I485">
        <f>1/(COUNT('SimData1 and 2'!$B$9:$B$508)-1)+$I$484</f>
        <v>0.9519038076152313</v>
      </c>
      <c r="J485">
        <f>SMALL('SimData1 and 2'!$C$9:$C$508,476)</f>
        <v>15.39995732802824</v>
      </c>
      <c r="K485">
        <f>1/(COUNT('SimData1 and 2'!$C$9:$C$508)-1)+$K$484</f>
        <v>0.9519038076152313</v>
      </c>
    </row>
    <row r="486" spans="1:11" x14ac:dyDescent="0.2">
      <c r="A486">
        <v>478</v>
      </c>
      <c r="B486">
        <v>7.274590118495861</v>
      </c>
      <c r="C486">
        <v>7.4707620779059871</v>
      </c>
      <c r="H486">
        <f>SMALL('SimData1 and 2'!$B$9:$B$508,477)</f>
        <v>8.4386936540812751</v>
      </c>
      <c r="I486">
        <f>1/(COUNT('SimData1 and 2'!$B$9:$B$508)-1)+$I$485</f>
        <v>0.95390781563126337</v>
      </c>
      <c r="J486">
        <f>SMALL('SimData1 and 2'!$C$9:$C$508,477)</f>
        <v>15.399959447581187</v>
      </c>
      <c r="K486">
        <f>1/(COUNT('SimData1 and 2'!$C$9:$C$508)-1)+$K$485</f>
        <v>0.95390781563126337</v>
      </c>
    </row>
    <row r="487" spans="1:11" x14ac:dyDescent="0.2">
      <c r="A487">
        <v>479</v>
      </c>
      <c r="B487">
        <v>6.0054195746674548</v>
      </c>
      <c r="C487">
        <v>6.5469807627726633</v>
      </c>
      <c r="H487">
        <f>SMALL('SimData1 and 2'!$B$9:$B$508,478)</f>
        <v>8.4386988394856566</v>
      </c>
      <c r="I487">
        <f>1/(COUNT('SimData1 and 2'!$B$9:$B$508)-1)+$I$486</f>
        <v>0.95591182364729543</v>
      </c>
      <c r="J487">
        <f>SMALL('SimData1 and 2'!$C$9:$C$508,478)</f>
        <v>15.399961121715343</v>
      </c>
      <c r="K487">
        <f>1/(COUNT('SimData1 and 2'!$C$9:$C$508)-1)+$K$486</f>
        <v>0.95591182364729543</v>
      </c>
    </row>
    <row r="488" spans="1:11" x14ac:dyDescent="0.2">
      <c r="A488">
        <v>480</v>
      </c>
      <c r="B488">
        <v>7.2612386170902798</v>
      </c>
      <c r="C488">
        <v>7.4199697309913262</v>
      </c>
      <c r="H488">
        <f>SMALL('SimData1 and 2'!$B$9:$B$508,479)</f>
        <v>8.4387025058297436</v>
      </c>
      <c r="I488">
        <f>1/(COUNT('SimData1 and 2'!$B$9:$B$508)-1)+$I$487</f>
        <v>0.9579158316633275</v>
      </c>
      <c r="J488">
        <f>SMALL('SimData1 and 2'!$C$9:$C$508,479)</f>
        <v>15.399961941438992</v>
      </c>
      <c r="K488">
        <f>1/(COUNT('SimData1 and 2'!$C$9:$C$508)-1)+$K$487</f>
        <v>0.9579158316633275</v>
      </c>
    </row>
    <row r="489" spans="1:11" x14ac:dyDescent="0.2">
      <c r="A489">
        <v>481</v>
      </c>
      <c r="B489">
        <v>7.2922659965984549</v>
      </c>
      <c r="C489">
        <v>7.4986754086541083</v>
      </c>
      <c r="H489">
        <f>SMALL('SimData1 and 2'!$B$9:$B$508,480)</f>
        <v>8.438706051467781</v>
      </c>
      <c r="I489">
        <f>1/(COUNT('SimData1 and 2'!$B$9:$B$508)-1)+$I$488</f>
        <v>0.95991983967935957</v>
      </c>
      <c r="J489">
        <f>SMALL('SimData1 and 2'!$C$9:$C$508,480)</f>
        <v>15.399964071954933</v>
      </c>
      <c r="K489">
        <f>1/(COUNT('SimData1 and 2'!$C$9:$C$508)-1)+$K$488</f>
        <v>0.95991983967935957</v>
      </c>
    </row>
    <row r="490" spans="1:11" x14ac:dyDescent="0.2">
      <c r="A490">
        <v>482</v>
      </c>
      <c r="B490">
        <v>7.5336968530552522</v>
      </c>
      <c r="C490">
        <v>7.2502965976588749</v>
      </c>
      <c r="H490">
        <f>SMALL('SimData1 and 2'!$B$9:$B$508,481)</f>
        <v>8.4387089589487516</v>
      </c>
      <c r="I490">
        <f>1/(COUNT('SimData1 and 2'!$B$9:$B$508)-1)+$I$489</f>
        <v>0.96192384769539163</v>
      </c>
      <c r="J490">
        <f>SMALL('SimData1 and 2'!$C$9:$C$508,481)</f>
        <v>15.3999656799995</v>
      </c>
      <c r="K490">
        <f>1/(COUNT('SimData1 and 2'!$C$9:$C$508)-1)+$K$489</f>
        <v>0.96192384769539163</v>
      </c>
    </row>
    <row r="491" spans="1:11" x14ac:dyDescent="0.2">
      <c r="A491">
        <v>483</v>
      </c>
      <c r="B491">
        <v>6.6157474811140373</v>
      </c>
      <c r="C491">
        <v>15.399978310825004</v>
      </c>
      <c r="H491">
        <f>SMALL('SimData1 and 2'!$B$9:$B$508,482)</f>
        <v>8.4387123617308575</v>
      </c>
      <c r="I491">
        <f>1/(COUNT('SimData1 and 2'!$B$9:$B$508)-1)+$I$490</f>
        <v>0.9639278557114237</v>
      </c>
      <c r="J491">
        <f>SMALL('SimData1 and 2'!$C$9:$C$508,482)</f>
        <v>15.399967340587132</v>
      </c>
      <c r="K491">
        <f>1/(COUNT('SimData1 and 2'!$C$9:$C$508)-1)+$K$490</f>
        <v>0.9639278557114237</v>
      </c>
    </row>
    <row r="492" spans="1:11" x14ac:dyDescent="0.2">
      <c r="A492">
        <v>484</v>
      </c>
      <c r="B492">
        <v>8.0985047118329181</v>
      </c>
      <c r="C492">
        <v>7.1764777064811422</v>
      </c>
      <c r="H492">
        <f>SMALL('SimData1 and 2'!$B$9:$B$508,483)</f>
        <v>8.4387171935447469</v>
      </c>
      <c r="I492">
        <f>1/(COUNT('SimData1 and 2'!$B$9:$B$508)-1)+$I$491</f>
        <v>0.96593186372745576</v>
      </c>
      <c r="J492">
        <f>SMALL('SimData1 and 2'!$C$9:$C$508,483)</f>
        <v>15.399969231915501</v>
      </c>
      <c r="K492">
        <f>1/(COUNT('SimData1 and 2'!$C$9:$C$508)-1)+$K$491</f>
        <v>0.96593186372745576</v>
      </c>
    </row>
    <row r="493" spans="1:11" x14ac:dyDescent="0.2">
      <c r="A493">
        <v>485</v>
      </c>
      <c r="B493">
        <v>7.2629947505512362</v>
      </c>
      <c r="C493">
        <v>7.4319949517789183</v>
      </c>
      <c r="H493">
        <f>SMALL('SimData1 and 2'!$B$9:$B$508,484)</f>
        <v>8.4387199923582443</v>
      </c>
      <c r="I493">
        <f>1/(COUNT('SimData1 and 2'!$B$9:$B$508)-1)+$I$492</f>
        <v>0.96793587174348783</v>
      </c>
      <c r="J493">
        <f>SMALL('SimData1 and 2'!$C$9:$C$508,484)</f>
        <v>15.399970410898518</v>
      </c>
      <c r="K493">
        <f>1/(COUNT('SimData1 and 2'!$C$9:$C$508)-1)+$K$492</f>
        <v>0.96793587174348783</v>
      </c>
    </row>
    <row r="494" spans="1:11" x14ac:dyDescent="0.2">
      <c r="A494">
        <v>486</v>
      </c>
      <c r="B494">
        <v>5.999266204244603</v>
      </c>
      <c r="C494">
        <v>7.6680276400230154</v>
      </c>
      <c r="H494">
        <f>SMALL('SimData1 and 2'!$B$9:$B$508,485)</f>
        <v>8.4387228427792316</v>
      </c>
      <c r="I494">
        <f>1/(COUNT('SimData1 and 2'!$B$9:$B$508)-1)+$I$493</f>
        <v>0.9699398797595199</v>
      </c>
      <c r="J494">
        <f>SMALL('SimData1 and 2'!$C$9:$C$508,485)</f>
        <v>15.399972316095123</v>
      </c>
      <c r="K494">
        <f>1/(COUNT('SimData1 and 2'!$C$9:$C$508)-1)+$K$493</f>
        <v>0.9699398797595199</v>
      </c>
    </row>
    <row r="495" spans="1:11" x14ac:dyDescent="0.2">
      <c r="A495">
        <v>487</v>
      </c>
      <c r="B495">
        <v>7.9900091807358073</v>
      </c>
      <c r="C495">
        <v>6.3055166332030659</v>
      </c>
      <c r="H495">
        <f>SMALL('SimData1 and 2'!$B$9:$B$508,486)</f>
        <v>8.4387272935920077</v>
      </c>
      <c r="I495">
        <f>1/(COUNT('SimData1 and 2'!$B$9:$B$508)-1)+$I$494</f>
        <v>0.97194388777555196</v>
      </c>
      <c r="J495">
        <f>SMALL('SimData1 and 2'!$C$9:$C$508,486)</f>
        <v>15.399975219467141</v>
      </c>
      <c r="K495">
        <f>1/(COUNT('SimData1 and 2'!$C$9:$C$508)-1)+$K$494</f>
        <v>0.97194388777555196</v>
      </c>
    </row>
    <row r="496" spans="1:11" x14ac:dyDescent="0.2">
      <c r="A496">
        <v>488</v>
      </c>
      <c r="B496">
        <v>8.4386808593153138</v>
      </c>
      <c r="C496">
        <v>6.6647422163743215</v>
      </c>
      <c r="H496">
        <f>SMALL('SimData1 and 2'!$B$9:$B$508,487)</f>
        <v>8.4387289237362122</v>
      </c>
      <c r="I496">
        <f>1/(COUNT('SimData1 and 2'!$B$9:$B$508)-1)+$I$495</f>
        <v>0.97394789579158403</v>
      </c>
      <c r="J496">
        <f>SMALL('SimData1 and 2'!$C$9:$C$508,487)</f>
        <v>15.399976549457888</v>
      </c>
      <c r="K496">
        <f>1/(COUNT('SimData1 and 2'!$C$9:$C$508)-1)+$K$495</f>
        <v>0.97394789579158403</v>
      </c>
    </row>
    <row r="497" spans="1:11" x14ac:dyDescent="0.2">
      <c r="A497">
        <v>489</v>
      </c>
      <c r="B497">
        <v>6.9476093552489173</v>
      </c>
      <c r="C497">
        <v>3.5000048803640671</v>
      </c>
      <c r="H497">
        <f>SMALL('SimData1 and 2'!$B$9:$B$508,488)</f>
        <v>8.438733923504147</v>
      </c>
      <c r="I497">
        <f>1/(COUNT('SimData1 and 2'!$B$9:$B$508)-1)+$I$496</f>
        <v>0.97595190380761609</v>
      </c>
      <c r="J497">
        <f>SMALL('SimData1 and 2'!$C$9:$C$508,488)</f>
        <v>15.399978310825004</v>
      </c>
      <c r="K497">
        <f>1/(COUNT('SimData1 and 2'!$C$9:$C$508)-1)+$K$496</f>
        <v>0.97595190380761609</v>
      </c>
    </row>
    <row r="498" spans="1:11" x14ac:dyDescent="0.2">
      <c r="A498">
        <v>490</v>
      </c>
      <c r="B498">
        <v>5.182590882426461</v>
      </c>
      <c r="C498">
        <v>7.2125989690143069</v>
      </c>
      <c r="H498">
        <f>SMALL('SimData1 and 2'!$B$9:$B$508,489)</f>
        <v>8.4387363415625067</v>
      </c>
      <c r="I498">
        <f>1/(COUNT('SimData1 and 2'!$B$9:$B$508)-1)+$I$497</f>
        <v>0.97795591182364816</v>
      </c>
      <c r="J498">
        <f>SMALL('SimData1 and 2'!$C$9:$C$508,489)</f>
        <v>15.399980391904162</v>
      </c>
      <c r="K498">
        <f>1/(COUNT('SimData1 and 2'!$C$9:$C$508)-1)+$K$497</f>
        <v>0.97795591182364816</v>
      </c>
    </row>
    <row r="499" spans="1:11" x14ac:dyDescent="0.2">
      <c r="A499">
        <v>491</v>
      </c>
      <c r="B499">
        <v>5.1827068706529964</v>
      </c>
      <c r="C499">
        <v>7.2211560645686799</v>
      </c>
      <c r="H499">
        <f>SMALL('SimData1 and 2'!$B$9:$B$508,490)</f>
        <v>8.4387410460311578</v>
      </c>
      <c r="I499">
        <f>1/(COUNT('SimData1 and 2'!$B$9:$B$508)-1)+$I$498</f>
        <v>0.97995991983968023</v>
      </c>
      <c r="J499">
        <f>SMALL('SimData1 and 2'!$C$9:$C$508,490)</f>
        <v>15.399981778517017</v>
      </c>
      <c r="K499">
        <f>1/(COUNT('SimData1 and 2'!$C$9:$C$508)-1)+$K$498</f>
        <v>0.97995991983968023</v>
      </c>
    </row>
    <row r="500" spans="1:11" x14ac:dyDescent="0.2">
      <c r="A500">
        <v>492</v>
      </c>
      <c r="B500">
        <v>5.9967049550986848</v>
      </c>
      <c r="C500">
        <v>7.1969363620451876</v>
      </c>
      <c r="H500">
        <f>SMALL('SimData1 and 2'!$B$9:$B$508,491)</f>
        <v>8.4387445606209592</v>
      </c>
      <c r="I500">
        <f>1/(COUNT('SimData1 and 2'!$B$9:$B$508)-1)+$I$499</f>
        <v>0.98196392785571229</v>
      </c>
      <c r="J500">
        <f>SMALL('SimData1 and 2'!$C$9:$C$508,491)</f>
        <v>15.399984106725331</v>
      </c>
      <c r="K500">
        <f>1/(COUNT('SimData1 and 2'!$C$9:$C$508)-1)+$K$499</f>
        <v>0.98196392785571229</v>
      </c>
    </row>
    <row r="501" spans="1:11" x14ac:dyDescent="0.2">
      <c r="A501">
        <v>493</v>
      </c>
      <c r="B501">
        <v>8.0460283150937002</v>
      </c>
      <c r="C501">
        <v>7.2193923768669714</v>
      </c>
      <c r="H501">
        <f>SMALL('SimData1 and 2'!$B$9:$B$508,492)</f>
        <v>8.438748309201813</v>
      </c>
      <c r="I501">
        <f>1/(COUNT('SimData1 and 2'!$B$9:$B$508)-1)+$I$500</f>
        <v>0.98396793587174436</v>
      </c>
      <c r="J501">
        <f>SMALL('SimData1 and 2'!$C$9:$C$508,492)</f>
        <v>15.399984815379904</v>
      </c>
      <c r="K501">
        <f>1/(COUNT('SimData1 and 2'!$C$9:$C$508)-1)+$K$500</f>
        <v>0.98396793587174436</v>
      </c>
    </row>
    <row r="502" spans="1:11" x14ac:dyDescent="0.2">
      <c r="A502">
        <v>494</v>
      </c>
      <c r="B502">
        <v>7.9509063172724446</v>
      </c>
      <c r="C502">
        <v>6.0083570348018238</v>
      </c>
      <c r="H502">
        <f>SMALL('SimData1 and 2'!$B$9:$B$508,493)</f>
        <v>8.4387527134710769</v>
      </c>
      <c r="I502">
        <f>1/(COUNT('SimData1 and 2'!$B$9:$B$508)-1)+$I$501</f>
        <v>0.98597194388777643</v>
      </c>
      <c r="J502">
        <f>SMALL('SimData1 and 2'!$C$9:$C$508,493)</f>
        <v>15.399986950049385</v>
      </c>
      <c r="K502">
        <f>1/(COUNT('SimData1 and 2'!$C$9:$C$508)-1)+$K$501</f>
        <v>0.98597194388777643</v>
      </c>
    </row>
    <row r="503" spans="1:11" x14ac:dyDescent="0.2">
      <c r="A503">
        <v>495</v>
      </c>
      <c r="B503">
        <v>5.1826617182242893</v>
      </c>
      <c r="C503">
        <v>7.2307315541275585</v>
      </c>
      <c r="H503">
        <f>SMALL('SimData1 and 2'!$B$9:$B$508,494)</f>
        <v>8.4387546088994352</v>
      </c>
      <c r="I503">
        <f>1/(COUNT('SimData1 and 2'!$B$9:$B$508)-1)+$I$502</f>
        <v>0.98797595190380849</v>
      </c>
      <c r="J503">
        <f>SMALL('SimData1 and 2'!$C$9:$C$508,494)</f>
        <v>15.399989266871014</v>
      </c>
      <c r="K503">
        <f>1/(COUNT('SimData1 and 2'!$C$9:$C$508)-1)+$K$502</f>
        <v>0.98797595190380849</v>
      </c>
    </row>
    <row r="504" spans="1:11" x14ac:dyDescent="0.2">
      <c r="A504">
        <v>496</v>
      </c>
      <c r="B504">
        <v>5.1826241356062726</v>
      </c>
      <c r="C504">
        <v>7.2771934399767311</v>
      </c>
      <c r="H504">
        <f>SMALL('SimData1 and 2'!$B$9:$B$508,495)</f>
        <v>8.4387572962348472</v>
      </c>
      <c r="I504">
        <f>1/(COUNT('SimData1 and 2'!$B$9:$B$508)-1)+$I$503</f>
        <v>0.98997995991984056</v>
      </c>
      <c r="J504">
        <f>SMALL('SimData1 and 2'!$C$9:$C$508,495)</f>
        <v>15.399990962986411</v>
      </c>
      <c r="K504">
        <f>1/(COUNT('SimData1 and 2'!$C$9:$C$508)-1)+$K$503</f>
        <v>0.98997995991984056</v>
      </c>
    </row>
    <row r="505" spans="1:11" x14ac:dyDescent="0.2">
      <c r="A505">
        <v>497</v>
      </c>
      <c r="B505">
        <v>7.2575163928156785</v>
      </c>
      <c r="C505">
        <v>3.5000042268800855</v>
      </c>
      <c r="H505">
        <f>SMALL('SimData1 and 2'!$B$9:$B$508,496)</f>
        <v>8.438761739050701</v>
      </c>
      <c r="I505">
        <f>1/(COUNT('SimData1 and 2'!$B$9:$B$508)-1)+$I$504</f>
        <v>0.99198396793587262</v>
      </c>
      <c r="J505">
        <f>SMALL('SimData1 and 2'!$C$9:$C$508,496)</f>
        <v>15.399992069180641</v>
      </c>
      <c r="K505">
        <f>1/(COUNT('SimData1 and 2'!$C$9:$C$508)-1)+$K$504</f>
        <v>0.99198396793587262</v>
      </c>
    </row>
    <row r="506" spans="1:11" x14ac:dyDescent="0.2">
      <c r="A506">
        <v>498</v>
      </c>
      <c r="B506">
        <v>5.1827386380898712</v>
      </c>
      <c r="C506">
        <v>7.9847544196476239</v>
      </c>
      <c r="H506">
        <f>SMALL('SimData1 and 2'!$B$9:$B$508,497)</f>
        <v>8.4387647226058036</v>
      </c>
      <c r="I506">
        <f>1/(COUNT('SimData1 and 2'!$B$9:$B$508)-1)+$I$505</f>
        <v>0.99398797595190469</v>
      </c>
      <c r="J506">
        <f>SMALL('SimData1 and 2'!$C$9:$C$508,497)</f>
        <v>15.399993843264104</v>
      </c>
      <c r="K506">
        <f>1/(COUNT('SimData1 and 2'!$C$9:$C$508)-1)+$K$505</f>
        <v>0.99398797595190469</v>
      </c>
    </row>
    <row r="507" spans="1:11" x14ac:dyDescent="0.2">
      <c r="A507">
        <v>499</v>
      </c>
      <c r="B507">
        <v>8.1699392775845272</v>
      </c>
      <c r="C507">
        <v>15.399933379086193</v>
      </c>
      <c r="H507">
        <f>SMALL('SimData1 and 2'!$B$9:$B$508,498)</f>
        <v>8.43877031189459</v>
      </c>
      <c r="I507">
        <f>1/(COUNT('SimData1 and 2'!$B$9:$B$508)-1)+$I$506</f>
        <v>0.99599198396793676</v>
      </c>
      <c r="J507">
        <f>SMALL('SimData1 and 2'!$C$9:$C$508,498)</f>
        <v>15.399995875848211</v>
      </c>
      <c r="K507">
        <f>1/(COUNT('SimData1 and 2'!$C$9:$C$508)-1)+$K$506</f>
        <v>0.99599198396793676</v>
      </c>
    </row>
    <row r="508" spans="1:11" x14ac:dyDescent="0.2">
      <c r="A508">
        <v>500</v>
      </c>
      <c r="B508">
        <v>7.4029363768594489</v>
      </c>
      <c r="C508">
        <v>3.5000043953069708</v>
      </c>
      <c r="H508">
        <f>SMALL('SimData1 and 2'!$B$9:$B$508,499)</f>
        <v>8.438772917387837</v>
      </c>
      <c r="I508">
        <f>1/(COUNT('SimData1 and 2'!$B$9:$B$508)-1)+$I$507</f>
        <v>0.99799599198396882</v>
      </c>
      <c r="J508">
        <f>SMALL('SimData1 and 2'!$C$9:$C$508,499)</f>
        <v>15.399997394858355</v>
      </c>
      <c r="K508">
        <f>1/(COUNT('SimData1 and 2'!$C$9:$C$508)-1)+$K$507</f>
        <v>0.99799599198396882</v>
      </c>
    </row>
    <row r="509" spans="1:11" x14ac:dyDescent="0.2">
      <c r="H509">
        <f>SMALL('SimData1 and 2'!$B$9:$B$508,500)</f>
        <v>8.4387754508072845</v>
      </c>
      <c r="I509">
        <f>1/(COUNT('SimData1 and 2'!$B$9:$B$508)-1)+$I$508</f>
        <v>1.0000000000000009</v>
      </c>
      <c r="J509">
        <f>SMALL('SimData1 and 2'!$C$9:$C$508,500)</f>
        <v>15.399999269651822</v>
      </c>
      <c r="K509">
        <f>1/(COUNT('SimData1 and 2'!$C$9:$C$508)-1)+$K$508</f>
        <v>1.0000000000000009</v>
      </c>
    </row>
    <row r="510" spans="1:11" x14ac:dyDescent="0.2">
      <c r="A510" t="s">
        <v>29</v>
      </c>
    </row>
    <row r="511" spans="1:11" x14ac:dyDescent="0.2">
      <c r="A511" t="s">
        <v>30</v>
      </c>
      <c r="B511" t="str">
        <f>IF(ISBLANK($B510)=TRUE,"",_xll.EDF(B9:B508,$B510))</f>
        <v/>
      </c>
      <c r="C511" t="str">
        <f>IF(ISBLANK($C510)=TRUE,"",_xll.EDF(C9:C508,$C510))</f>
        <v/>
      </c>
    </row>
    <row r="512" spans="1:11" x14ac:dyDescent="0.2">
      <c r="A512" t="s">
        <v>31</v>
      </c>
    </row>
    <row r="513" spans="1:3" x14ac:dyDescent="0.2">
      <c r="A513" t="s">
        <v>32</v>
      </c>
      <c r="B513" t="str">
        <f>IF(ISBLANK($B512)=TRUE,"",_xll.EDF(B9:B508,$B512))</f>
        <v/>
      </c>
      <c r="C513" t="str">
        <f>IF(ISBLANK($C512)=TRUE,"",_xll.EDF(C9:C508,$C512))</f>
        <v/>
      </c>
    </row>
    <row r="514" spans="1:3" x14ac:dyDescent="0.2">
      <c r="A514" t="s">
        <v>33</v>
      </c>
    </row>
    <row r="515" spans="1:3" x14ac:dyDescent="0.2">
      <c r="A515" t="s">
        <v>34</v>
      </c>
      <c r="B515" t="str">
        <f>IF(ISBLANK($B514)=TRUE,"",_xll.EDF(B9:B508,$B514))</f>
        <v/>
      </c>
      <c r="C515" t="str">
        <f>IF(ISBLANK($C514)=TRUE,"",_xll.EDF(C9:C508,$C514))</f>
        <v/>
      </c>
    </row>
    <row r="516" spans="1:3" x14ac:dyDescent="0.2">
      <c r="A516" t="s">
        <v>35</v>
      </c>
    </row>
    <row r="517" spans="1:3" x14ac:dyDescent="0.2">
      <c r="A517" t="s">
        <v>36</v>
      </c>
      <c r="B517" t="str">
        <f>IF(ISBLANK($B516)=TRUE,"",_xll.EDF(B9:B508,$B516))</f>
        <v/>
      </c>
      <c r="C517" t="str">
        <f>IF(ISBLANK($C516)=TRUE,"",_xll.EDF(C9:C508,$C516))</f>
        <v/>
      </c>
    </row>
    <row r="518" spans="1:3" x14ac:dyDescent="0.2">
      <c r="A518" t="s">
        <v>37</v>
      </c>
    </row>
    <row r="519" spans="1:3" x14ac:dyDescent="0.2">
      <c r="A519" t="s">
        <v>38</v>
      </c>
      <c r="B519" t="str">
        <f>IF(ISBLANK($B518)=TRUE,"",_xll.EDF(B9:B508,$B518))</f>
        <v/>
      </c>
      <c r="C519" t="str">
        <f>IF(ISBLANK($C518)=TRUE,"",_xll.EDF(C9:C508,$C518))</f>
        <v/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SimDataMod</vt:lpstr>
      <vt:lpstr>SimData1 and 2</vt:lpstr>
    </vt:vector>
  </TitlesOfParts>
  <Company>Department of Agricultural Economics at TAMU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Richardson</dc:creator>
  <cp:lastModifiedBy>Person</cp:lastModifiedBy>
  <dcterms:created xsi:type="dcterms:W3CDTF">2003-03-29T17:59:19Z</dcterms:created>
  <dcterms:modified xsi:type="dcterms:W3CDTF">2017-10-18T14:09:50Z</dcterms:modified>
</cp:coreProperties>
</file>