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4085" windowHeight="8580"/>
  </bookViews>
  <sheets>
    <sheet name="Sheet1" sheetId="1" r:id="rId1"/>
    <sheet name="SimData" sheetId="18" r:id="rId2"/>
  </sheets>
  <definedNames>
    <definedName name="_xlnm.Print_Area" localSheetId="0">Sheet1!$A$1:$L$30</definedName>
  </definedNames>
  <calcPr calcId="125725"/>
</workbook>
</file>

<file path=xl/calcChain.xml><?xml version="1.0" encoding="utf-8"?>
<calcChain xmlns="http://schemas.openxmlformats.org/spreadsheetml/2006/main">
  <c r="K11" i="18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F119"/>
  <c r="F117"/>
  <c r="F115"/>
  <c r="F113"/>
  <c r="F111"/>
  <c r="F8"/>
  <c r="J9" s="1"/>
  <c r="F7"/>
  <c r="F6"/>
  <c r="F4"/>
  <c r="F5" s="1"/>
  <c r="F3"/>
  <c r="E119"/>
  <c r="E117"/>
  <c r="E115"/>
  <c r="E113"/>
  <c r="E111"/>
  <c r="E8"/>
  <c r="E7"/>
  <c r="E6"/>
  <c r="E4"/>
  <c r="E5" s="1"/>
  <c r="E3"/>
  <c r="D119"/>
  <c r="D117"/>
  <c r="D115"/>
  <c r="D113"/>
  <c r="D111"/>
  <c r="D8"/>
  <c r="D7"/>
  <c r="D6"/>
  <c r="D4"/>
  <c r="D5" s="1"/>
  <c r="D3"/>
  <c r="C119"/>
  <c r="C117"/>
  <c r="C115"/>
  <c r="C113"/>
  <c r="C111"/>
  <c r="C8"/>
  <c r="C7"/>
  <c r="C6"/>
  <c r="C4"/>
  <c r="C5" s="1"/>
  <c r="C3"/>
  <c r="B119"/>
  <c r="B117"/>
  <c r="B115"/>
  <c r="B113"/>
  <c r="B111"/>
  <c r="B8"/>
  <c r="B7"/>
  <c r="B6"/>
  <c r="B4"/>
  <c r="B5" s="1"/>
  <c r="B3"/>
  <c r="E8" i="1"/>
  <c r="F22"/>
  <c r="J23"/>
  <c r="F2" i="18"/>
  <c r="E2"/>
  <c r="D2"/>
  <c r="C2"/>
  <c r="B2"/>
  <c r="F10" i="1"/>
  <c r="F14"/>
  <c r="G12"/>
  <c r="G8"/>
  <c r="G13"/>
  <c r="G9"/>
  <c r="G14"/>
  <c r="G10"/>
  <c r="F8"/>
  <c r="G11"/>
  <c r="A1"/>
  <c r="F12"/>
  <c r="C12" l="1"/>
  <c r="H21" s="1"/>
  <c r="C14"/>
  <c r="H20" s="1"/>
  <c r="C10"/>
  <c r="H19" s="1"/>
  <c r="C8"/>
  <c r="D19" l="1"/>
  <c r="F20" s="1"/>
  <c r="D20" s="1"/>
  <c r="F19"/>
  <c r="F21" l="1"/>
  <c r="D21" s="1"/>
  <c r="F23" s="1"/>
  <c r="H22"/>
  <c r="D22" s="1"/>
  <c r="H23" s="1"/>
  <c r="D23" l="1"/>
</calcChain>
</file>

<file path=xl/sharedStrings.xml><?xml version="1.0" encoding="utf-8"?>
<sst xmlns="http://schemas.openxmlformats.org/spreadsheetml/2006/main" count="64" uniqueCount="55">
  <si>
    <t>Regional Acres</t>
  </si>
  <si>
    <t>Value</t>
  </si>
  <si>
    <t>Mean</t>
  </si>
  <si>
    <t>Std Dev</t>
  </si>
  <si>
    <t>Regional Yield</t>
  </si>
  <si>
    <t>Regional Production</t>
  </si>
  <si>
    <t>Market Share</t>
  </si>
  <si>
    <t>Margin</t>
  </si>
  <si>
    <t>Variable Costs</t>
  </si>
  <si>
    <t>Net Returns</t>
  </si>
  <si>
    <t>Stochastic Variables Facing the Business</t>
  </si>
  <si>
    <t>=</t>
  </si>
  <si>
    <t>*</t>
  </si>
  <si>
    <t>Volume for the Business</t>
  </si>
  <si>
    <t>Revenue for the Business</t>
  </si>
  <si>
    <t>-</t>
  </si>
  <si>
    <t>Management Variables</t>
  </si>
  <si>
    <t xml:space="preserve">Average Variable Costs </t>
  </si>
  <si>
    <t>Fixed Costs</t>
  </si>
  <si>
    <t>James W. Richardson</t>
  </si>
  <si>
    <t>Accounting Identities for the Business</t>
  </si>
  <si>
    <t>Vol</t>
  </si>
  <si>
    <t>Rev</t>
  </si>
  <si>
    <t>Prod</t>
  </si>
  <si>
    <t>VC</t>
  </si>
  <si>
    <t>NR</t>
  </si>
  <si>
    <t>Var Names</t>
  </si>
  <si>
    <t>Out</t>
  </si>
  <si>
    <t xml:space="preserve"> </t>
  </si>
  <si>
    <t>Simulation Results for demoagribusiness.xls</t>
  </si>
  <si>
    <t>SND</t>
  </si>
  <si>
    <t>SND Formula</t>
  </si>
  <si>
    <t>StDev</t>
  </si>
  <si>
    <t>CV</t>
  </si>
  <si>
    <t>Min</t>
  </si>
  <si>
    <t>Max</t>
  </si>
  <si>
    <t>Iteration</t>
  </si>
  <si>
    <t>CDFProb.</t>
  </si>
  <si>
    <t>Simulated values and statistics in SimData</t>
  </si>
  <si>
    <t>CDF of Net Returns in Chart1</t>
  </si>
  <si>
    <t>Appendix D</t>
  </si>
  <si>
    <t>These are the sorted NR Values generated by Simetar's CDF Function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</si>
  <si>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</si>
  <si>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</si>
  <si>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</si>
  <si>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</si>
  <si>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</si>
  <si>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</si>
  <si>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</si>
  <si>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</si>
  <si>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</si>
  <si>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</si>
  <si>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</si>
  <si>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100 Iterations.  9:25:01 AM 12/21/2005 (0.28 sec.).  © 2005.</t>
  </si>
  <si>
    <t>© 2011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</si>
</sst>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00"/>
    <numFmt numFmtId="165" formatCode="0.0000"/>
    <numFmt numFmtId="169" formatCode="_(* #,##0_);_(* \(#,##0\);_(* &quot;-&quot;??_);_(@_)"/>
  </numFmts>
  <fonts count="3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2" fillId="0" borderId="0" xfId="0" quotePrefix="1" applyFont="1" applyAlignment="1">
      <alignment horizontal="center"/>
    </xf>
    <xf numFmtId="0" fontId="2" fillId="0" borderId="5" xfId="0" applyFont="1" applyBorder="1"/>
    <xf numFmtId="2" fontId="0" fillId="0" borderId="0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0" fillId="0" borderId="0" xfId="0" applyNumberFormat="1"/>
    <xf numFmtId="2" fontId="0" fillId="0" borderId="0" xfId="0" applyNumberFormat="1"/>
    <xf numFmtId="169" fontId="0" fillId="0" borderId="0" xfId="1" applyNumberFormat="1" applyFont="1"/>
    <xf numFmtId="1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left" indent="2"/>
    </xf>
    <xf numFmtId="0" fontId="0" fillId="0" borderId="6" xfId="0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164" fontId="0" fillId="0" borderId="9" xfId="0" applyNumberFormat="1" applyFill="1" applyBorder="1"/>
    <xf numFmtId="169" fontId="0" fillId="0" borderId="2" xfId="1" applyNumberFormat="1" applyFont="1" applyBorder="1"/>
    <xf numFmtId="169" fontId="2" fillId="0" borderId="0" xfId="1" applyNumberFormat="1" applyFont="1"/>
    <xf numFmtId="169" fontId="0" fillId="0" borderId="0" xfId="0" applyNumberFormat="1"/>
    <xf numFmtId="169" fontId="2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7297135012997477"/>
          <c:y val="3.55251494814334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08066563327353"/>
          <c:y val="0.21315089688860056"/>
          <c:w val="0.80594318062147696"/>
          <c:h val="0.52577221232521465"/>
        </c:manualLayout>
      </c:layout>
      <c:scatterChart>
        <c:scatterStyle val="smoothMarker"/>
        <c:ser>
          <c:idx val="0"/>
          <c:order val="0"/>
          <c:tx>
            <c:strRef>
              <c:f>SimData!$J$9</c:f>
              <c:strCache>
                <c:ptCount val="1"/>
                <c:pt idx="0">
                  <c:v>NR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SimData!$J$10:$J$109</c:f>
              <c:numCache>
                <c:formatCode>General</c:formatCode>
                <c:ptCount val="100"/>
                <c:pt idx="0">
                  <c:v>-173923.30291541514</c:v>
                </c:pt>
                <c:pt idx="1">
                  <c:v>-147293.0735334382</c:v>
                </c:pt>
                <c:pt idx="2">
                  <c:v>-122913.36233144451</c:v>
                </c:pt>
                <c:pt idx="3">
                  <c:v>-108158.49437888127</c:v>
                </c:pt>
                <c:pt idx="4">
                  <c:v>-94298.748650189867</c:v>
                </c:pt>
                <c:pt idx="5">
                  <c:v>-92861.440379391366</c:v>
                </c:pt>
                <c:pt idx="6">
                  <c:v>-88335.516884095618</c:v>
                </c:pt>
                <c:pt idx="7">
                  <c:v>-86289.639352449565</c:v>
                </c:pt>
                <c:pt idx="8">
                  <c:v>-75796.829582037171</c:v>
                </c:pt>
                <c:pt idx="9">
                  <c:v>-73029.229620505648</c:v>
                </c:pt>
                <c:pt idx="10">
                  <c:v>-70814.277000136412</c:v>
                </c:pt>
                <c:pt idx="11">
                  <c:v>-59448.673568966333</c:v>
                </c:pt>
                <c:pt idx="12">
                  <c:v>-56806.439370872889</c:v>
                </c:pt>
                <c:pt idx="13">
                  <c:v>-49550.902289487218</c:v>
                </c:pt>
                <c:pt idx="14">
                  <c:v>-45690.397536386474</c:v>
                </c:pt>
                <c:pt idx="15">
                  <c:v>-41141.365505989932</c:v>
                </c:pt>
                <c:pt idx="16">
                  <c:v>-20337.087034618249</c:v>
                </c:pt>
                <c:pt idx="17">
                  <c:v>-19488.061804836558</c:v>
                </c:pt>
                <c:pt idx="18">
                  <c:v>-18677.181031692249</c:v>
                </c:pt>
                <c:pt idx="19">
                  <c:v>-15575.583707277779</c:v>
                </c:pt>
                <c:pt idx="20">
                  <c:v>-7414.0704439173569</c:v>
                </c:pt>
                <c:pt idx="21">
                  <c:v>-6926.2577324784943</c:v>
                </c:pt>
                <c:pt idx="22">
                  <c:v>-6789.9031299959752</c:v>
                </c:pt>
                <c:pt idx="23">
                  <c:v>-6784.6270806683751</c:v>
                </c:pt>
                <c:pt idx="24">
                  <c:v>-5439.5713019269169</c:v>
                </c:pt>
                <c:pt idx="25">
                  <c:v>-4787.0758985148568</c:v>
                </c:pt>
                <c:pt idx="26">
                  <c:v>-3155.9181958631962</c:v>
                </c:pt>
                <c:pt idx="27">
                  <c:v>2163.0623341433238</c:v>
                </c:pt>
                <c:pt idx="28">
                  <c:v>4419.4260842618532</c:v>
                </c:pt>
                <c:pt idx="29">
                  <c:v>4803.3873139673378</c:v>
                </c:pt>
                <c:pt idx="30">
                  <c:v>4805.8764164436143</c:v>
                </c:pt>
                <c:pt idx="31">
                  <c:v>7006.7972595856991</c:v>
                </c:pt>
                <c:pt idx="32">
                  <c:v>10160.497669992095</c:v>
                </c:pt>
                <c:pt idx="33">
                  <c:v>10708.744937700743</c:v>
                </c:pt>
                <c:pt idx="34">
                  <c:v>12906.224113654811</c:v>
                </c:pt>
                <c:pt idx="35">
                  <c:v>17573.314965061785</c:v>
                </c:pt>
                <c:pt idx="36">
                  <c:v>18018.303660924139</c:v>
                </c:pt>
                <c:pt idx="37">
                  <c:v>19111.107852767745</c:v>
                </c:pt>
                <c:pt idx="38">
                  <c:v>28124.00973315892</c:v>
                </c:pt>
                <c:pt idx="39">
                  <c:v>28422.577568779467</c:v>
                </c:pt>
                <c:pt idx="40">
                  <c:v>33631.168500106898</c:v>
                </c:pt>
                <c:pt idx="41">
                  <c:v>39392.823781804647</c:v>
                </c:pt>
                <c:pt idx="42">
                  <c:v>42852.363186973613</c:v>
                </c:pt>
                <c:pt idx="43">
                  <c:v>45951.517730648222</c:v>
                </c:pt>
                <c:pt idx="44">
                  <c:v>51610.241378181032</c:v>
                </c:pt>
                <c:pt idx="45">
                  <c:v>55446.723526135378</c:v>
                </c:pt>
                <c:pt idx="46">
                  <c:v>57388.910044998222</c:v>
                </c:pt>
                <c:pt idx="47">
                  <c:v>57766.016742099135</c:v>
                </c:pt>
                <c:pt idx="48">
                  <c:v>59378.240091072745</c:v>
                </c:pt>
                <c:pt idx="49">
                  <c:v>67702.60384394601</c:v>
                </c:pt>
                <c:pt idx="50">
                  <c:v>68000.902419035556</c:v>
                </c:pt>
                <c:pt idx="51">
                  <c:v>68394.577875134768</c:v>
                </c:pt>
                <c:pt idx="52">
                  <c:v>70653.389232678514</c:v>
                </c:pt>
                <c:pt idx="53">
                  <c:v>73995.781542562996</c:v>
                </c:pt>
                <c:pt idx="54">
                  <c:v>76141.615700767259</c:v>
                </c:pt>
                <c:pt idx="55">
                  <c:v>81112.772263415856</c:v>
                </c:pt>
                <c:pt idx="56">
                  <c:v>86023.74166857393</c:v>
                </c:pt>
                <c:pt idx="57">
                  <c:v>88390.751532504451</c:v>
                </c:pt>
                <c:pt idx="58">
                  <c:v>92695.323363394942</c:v>
                </c:pt>
                <c:pt idx="59">
                  <c:v>93460.580106308684</c:v>
                </c:pt>
                <c:pt idx="60">
                  <c:v>96512.633429615002</c:v>
                </c:pt>
                <c:pt idx="61">
                  <c:v>101944.25440447882</c:v>
                </c:pt>
                <c:pt idx="62">
                  <c:v>104374.9176006933</c:v>
                </c:pt>
                <c:pt idx="63">
                  <c:v>112510.15999471926</c:v>
                </c:pt>
                <c:pt idx="64">
                  <c:v>119774.93506416853</c:v>
                </c:pt>
                <c:pt idx="65">
                  <c:v>124137.49441027467</c:v>
                </c:pt>
                <c:pt idx="66">
                  <c:v>125589.3959294532</c:v>
                </c:pt>
                <c:pt idx="67">
                  <c:v>125961.40432425891</c:v>
                </c:pt>
                <c:pt idx="68">
                  <c:v>127925.88885389641</c:v>
                </c:pt>
                <c:pt idx="69">
                  <c:v>128369.81474048877</c:v>
                </c:pt>
                <c:pt idx="70">
                  <c:v>133810.0737388577</c:v>
                </c:pt>
                <c:pt idx="71">
                  <c:v>142187.41125293041</c:v>
                </c:pt>
                <c:pt idx="72">
                  <c:v>144012.34766758839</c:v>
                </c:pt>
                <c:pt idx="73">
                  <c:v>149249.0415235408</c:v>
                </c:pt>
                <c:pt idx="74">
                  <c:v>153033.85544900852</c:v>
                </c:pt>
                <c:pt idx="75">
                  <c:v>162849.07241476199</c:v>
                </c:pt>
                <c:pt idx="76">
                  <c:v>164883.72043549782</c:v>
                </c:pt>
                <c:pt idx="77">
                  <c:v>166689.4765059544</c:v>
                </c:pt>
                <c:pt idx="78">
                  <c:v>171740.65020906832</c:v>
                </c:pt>
                <c:pt idx="79">
                  <c:v>179753.37145094096</c:v>
                </c:pt>
                <c:pt idx="80">
                  <c:v>190381.28376095428</c:v>
                </c:pt>
                <c:pt idx="81">
                  <c:v>190860.1155345763</c:v>
                </c:pt>
                <c:pt idx="82">
                  <c:v>197486.89496587525</c:v>
                </c:pt>
                <c:pt idx="83">
                  <c:v>197810.53327038302</c:v>
                </c:pt>
                <c:pt idx="84">
                  <c:v>200901.74771817122</c:v>
                </c:pt>
                <c:pt idx="85">
                  <c:v>214443.06080953375</c:v>
                </c:pt>
                <c:pt idx="86">
                  <c:v>224106.84831263602</c:v>
                </c:pt>
                <c:pt idx="87">
                  <c:v>236744.42180408951</c:v>
                </c:pt>
                <c:pt idx="88">
                  <c:v>237136.5210258828</c:v>
                </c:pt>
                <c:pt idx="89">
                  <c:v>240374.02740135335</c:v>
                </c:pt>
                <c:pt idx="90">
                  <c:v>246382.51770682231</c:v>
                </c:pt>
                <c:pt idx="91">
                  <c:v>258467.37013351591</c:v>
                </c:pt>
                <c:pt idx="92">
                  <c:v>265119.77818055172</c:v>
                </c:pt>
                <c:pt idx="93">
                  <c:v>269486.83414636226</c:v>
                </c:pt>
                <c:pt idx="94">
                  <c:v>279219.85578988213</c:v>
                </c:pt>
                <c:pt idx="95">
                  <c:v>281155.00967773516</c:v>
                </c:pt>
                <c:pt idx="96">
                  <c:v>306325.65565371164</c:v>
                </c:pt>
                <c:pt idx="97">
                  <c:v>307182.45450938947</c:v>
                </c:pt>
                <c:pt idx="98">
                  <c:v>328802.0357676663</c:v>
                </c:pt>
                <c:pt idx="99">
                  <c:v>409373.97570418695</c:v>
                </c:pt>
              </c:numCache>
            </c:numRef>
          </c:xVal>
          <c:yVal>
            <c:numRef>
              <c:f>SimData!$K$10:$K$109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axId val="160496640"/>
        <c:axId val="49656576"/>
      </c:scatterChart>
      <c:valAx>
        <c:axId val="160496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56576"/>
        <c:crosses val="autoZero"/>
        <c:crossBetween val="midCat"/>
      </c:valAx>
      <c:valAx>
        <c:axId val="4965657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3.0270166408318384E-2"/>
              <c:y val="0.415644248932771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4966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107946472945483"/>
          <c:y val="0.88812873703583561"/>
          <c:w val="0.10594558242911434"/>
          <c:h val="8.52603587554402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14</xdr:row>
      <xdr:rowOff>0</xdr:rowOff>
    </xdr:from>
    <xdr:to>
      <xdr:col>14</xdr:col>
      <xdr:colOff>323850</xdr:colOff>
      <xdr:row>30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tabSelected="1" zoomScaleNormal="100" workbookViewId="0">
      <selection activeCell="A3" sqref="A3"/>
    </sheetView>
  </sheetViews>
  <sheetFormatPr defaultRowHeight="12.75"/>
  <cols>
    <col min="1" max="12" width="10.7109375" customWidth="1"/>
  </cols>
  <sheetData>
    <row r="1" spans="1:12">
      <c r="A1" s="18" t="str">
        <f ca="1">_xll.WBNAME()</f>
        <v>Agribusiness Demo.xlsx</v>
      </c>
    </row>
    <row r="2" spans="1:12">
      <c r="A2" t="s">
        <v>19</v>
      </c>
    </row>
    <row r="3" spans="1:12">
      <c r="A3" t="s">
        <v>54</v>
      </c>
    </row>
    <row r="4" spans="1:12">
      <c r="A4" t="s">
        <v>40</v>
      </c>
    </row>
    <row r="6" spans="1:12" ht="13.5" thickBot="1">
      <c r="A6" s="6"/>
      <c r="B6" s="8" t="s">
        <v>10</v>
      </c>
      <c r="C6" s="6"/>
      <c r="D6" s="6"/>
      <c r="E6" s="6"/>
      <c r="F6" s="6"/>
      <c r="G6" s="6"/>
      <c r="I6" s="6"/>
      <c r="J6" s="8" t="s">
        <v>16</v>
      </c>
      <c r="K6" s="6"/>
      <c r="L6" s="6"/>
    </row>
    <row r="7" spans="1:12" ht="13.5" thickBot="1">
      <c r="C7" t="s">
        <v>1</v>
      </c>
      <c r="D7" t="s">
        <v>2</v>
      </c>
      <c r="E7" t="s">
        <v>3</v>
      </c>
      <c r="F7" s="16" t="s">
        <v>30</v>
      </c>
      <c r="G7" s="20" t="s">
        <v>31</v>
      </c>
      <c r="I7" t="s">
        <v>17</v>
      </c>
      <c r="L7">
        <v>0.05</v>
      </c>
    </row>
    <row r="8" spans="1:12">
      <c r="A8" s="1" t="s">
        <v>0</v>
      </c>
      <c r="B8" s="2"/>
      <c r="C8" s="24">
        <f ca="1">D8+E8*F8</f>
        <v>99846.108518370893</v>
      </c>
      <c r="D8" s="24">
        <v>100000</v>
      </c>
      <c r="E8" s="2">
        <f>300</f>
        <v>300</v>
      </c>
      <c r="F8" s="21">
        <f ca="1">_xll.NORM(0,1)</f>
        <v>-0.51297160543037501</v>
      </c>
      <c r="G8" s="19" t="str">
        <f ca="1">_xll.VFORMULA(F8)</f>
        <v>=NORM(0,1)</v>
      </c>
      <c r="I8" t="s">
        <v>18</v>
      </c>
      <c r="L8">
        <v>260000</v>
      </c>
    </row>
    <row r="9" spans="1:12">
      <c r="A9" s="3"/>
      <c r="B9" s="4"/>
      <c r="C9" s="9"/>
      <c r="D9" s="4"/>
      <c r="E9" s="4"/>
      <c r="F9" s="22"/>
      <c r="G9" s="19" t="str">
        <f ca="1">_xll.VFORMULA(F9)</f>
        <v/>
      </c>
    </row>
    <row r="10" spans="1:12">
      <c r="A10" s="3" t="s">
        <v>4</v>
      </c>
      <c r="B10" s="4"/>
      <c r="C10" s="9">
        <f ca="1">D10+E10*F10</f>
        <v>52.996540440648857</v>
      </c>
      <c r="D10" s="4">
        <v>50.5</v>
      </c>
      <c r="E10" s="4">
        <v>4.5</v>
      </c>
      <c r="F10" s="22">
        <f ca="1">_xll.NORM(0,1)</f>
        <v>0.55478676458863418</v>
      </c>
      <c r="G10" s="19" t="str">
        <f ca="1">_xll.VFORMULA(F10)</f>
        <v>=NORM(0,1)</v>
      </c>
    </row>
    <row r="11" spans="1:12">
      <c r="A11" s="3"/>
      <c r="B11" s="4"/>
      <c r="C11" s="4"/>
      <c r="D11" s="4"/>
      <c r="E11" s="4"/>
      <c r="F11" s="22"/>
      <c r="G11" s="19" t="str">
        <f ca="1">_xll.VFORMULA(F11)</f>
        <v/>
      </c>
    </row>
    <row r="12" spans="1:12">
      <c r="A12" s="3" t="s">
        <v>7</v>
      </c>
      <c r="B12" s="4"/>
      <c r="C12" s="10">
        <f ca="1">D12+E12*F12</f>
        <v>8.4884711554812739E-2</v>
      </c>
      <c r="D12" s="4">
        <v>0.15</v>
      </c>
      <c r="E12" s="4">
        <v>0.03</v>
      </c>
      <c r="F12" s="22">
        <f ca="1">_xll.NORM(0,1)</f>
        <v>-2.1705096148395753</v>
      </c>
      <c r="G12" s="19" t="str">
        <f ca="1">_xll.VFORMULA(F12)</f>
        <v>=NORM(0,1)</v>
      </c>
    </row>
    <row r="13" spans="1:12">
      <c r="A13" s="3"/>
      <c r="B13" s="4"/>
      <c r="C13" s="10"/>
      <c r="D13" s="4"/>
      <c r="E13" s="4"/>
      <c r="F13" s="22"/>
      <c r="G13" s="19" t="str">
        <f ca="1">_xll.VFORMULA(F13)</f>
        <v/>
      </c>
    </row>
    <row r="14" spans="1:12" ht="13.5" thickBot="1">
      <c r="A14" s="5" t="s">
        <v>6</v>
      </c>
      <c r="B14" s="6"/>
      <c r="C14" s="11">
        <f ca="1">D14+E14*F14</f>
        <v>0.67338943124218031</v>
      </c>
      <c r="D14" s="6">
        <v>0.67</v>
      </c>
      <c r="E14" s="6">
        <v>0.1</v>
      </c>
      <c r="F14" s="23">
        <f ca="1">_xll.NORM(0,1)</f>
        <v>3.3894312421802297E-2</v>
      </c>
      <c r="G14" s="19" t="str">
        <f ca="1">_xll.VFORMULA(F14)</f>
        <v>=NORM(0,1)</v>
      </c>
    </row>
    <row r="17" spans="1:10" ht="13.5" thickBot="1">
      <c r="A17" s="6"/>
      <c r="B17" s="8" t="s">
        <v>20</v>
      </c>
      <c r="C17" s="6"/>
      <c r="D17" s="6"/>
      <c r="E17" s="6"/>
      <c r="F17" s="6"/>
      <c r="G17" s="6"/>
      <c r="H17" s="6"/>
      <c r="I17" s="6"/>
      <c r="J17" s="6"/>
    </row>
    <row r="18" spans="1:10">
      <c r="C18" s="16" t="s">
        <v>26</v>
      </c>
      <c r="D18" s="16" t="s">
        <v>27</v>
      </c>
    </row>
    <row r="19" spans="1:10">
      <c r="A19" t="s">
        <v>5</v>
      </c>
      <c r="C19" s="16" t="s">
        <v>23</v>
      </c>
      <c r="D19" s="27">
        <f ca="1">C8*C10</f>
        <v>5291498.327935257</v>
      </c>
      <c r="E19" s="7" t="s">
        <v>11</v>
      </c>
      <c r="F19" s="13">
        <f ca="1">C8</f>
        <v>99846.108518370893</v>
      </c>
      <c r="G19" s="7" t="s">
        <v>12</v>
      </c>
      <c r="H19" s="13">
        <f ca="1">C10</f>
        <v>52.996540440648857</v>
      </c>
    </row>
    <row r="20" spans="1:10">
      <c r="A20" t="s">
        <v>13</v>
      </c>
      <c r="C20" s="16" t="s">
        <v>21</v>
      </c>
      <c r="D20" s="27">
        <f ca="1">F20*H20</f>
        <v>3563239.0494672707</v>
      </c>
      <c r="E20" s="7" t="s">
        <v>11</v>
      </c>
      <c r="F20" s="26">
        <f ca="1">D19</f>
        <v>5291498.327935257</v>
      </c>
      <c r="G20" s="7" t="s">
        <v>12</v>
      </c>
      <c r="H20" s="12">
        <f ca="1">C14</f>
        <v>0.67338943124218031</v>
      </c>
    </row>
    <row r="21" spans="1:10">
      <c r="A21" t="s">
        <v>14</v>
      </c>
      <c r="C21" s="16" t="s">
        <v>22</v>
      </c>
      <c r="D21" s="27">
        <f ca="1">F21*H21</f>
        <v>302464.51891487441</v>
      </c>
      <c r="E21" s="7" t="s">
        <v>11</v>
      </c>
      <c r="F21" s="26">
        <f ca="1">D20</f>
        <v>3563239.0494672707</v>
      </c>
      <c r="G21" s="7" t="s">
        <v>12</v>
      </c>
      <c r="H21" s="12">
        <f ca="1">C12</f>
        <v>8.4884711554812739E-2</v>
      </c>
    </row>
    <row r="22" spans="1:10">
      <c r="A22" t="s">
        <v>8</v>
      </c>
      <c r="C22" s="16" t="s">
        <v>24</v>
      </c>
      <c r="D22" s="27">
        <f ca="1">F22*H22</f>
        <v>178161.95247336355</v>
      </c>
      <c r="E22" s="7" t="s">
        <v>11</v>
      </c>
      <c r="F22">
        <f>L7</f>
        <v>0.05</v>
      </c>
      <c r="G22" s="7" t="s">
        <v>12</v>
      </c>
      <c r="H22" s="26">
        <f ca="1">D20</f>
        <v>3563239.0494672707</v>
      </c>
    </row>
    <row r="23" spans="1:10">
      <c r="A23" t="s">
        <v>9</v>
      </c>
      <c r="C23" s="16" t="s">
        <v>25</v>
      </c>
      <c r="D23" s="27">
        <f ca="1">F23-H23-J23</f>
        <v>-135697.43355848914</v>
      </c>
      <c r="E23" s="7" t="s">
        <v>11</v>
      </c>
      <c r="F23" s="26">
        <f ca="1">D21</f>
        <v>302464.51891487441</v>
      </c>
      <c r="G23" s="7" t="s">
        <v>15</v>
      </c>
      <c r="H23" s="26">
        <f ca="1">D22</f>
        <v>178161.95247336355</v>
      </c>
      <c r="I23" s="7" t="s">
        <v>15</v>
      </c>
      <c r="J23">
        <f>L8</f>
        <v>260000</v>
      </c>
    </row>
    <row r="24" spans="1:10" ht="13.5" thickBo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7" spans="1:10">
      <c r="A27" s="18" t="s">
        <v>29</v>
      </c>
    </row>
    <row r="28" spans="1:10">
      <c r="F28" t="s">
        <v>28</v>
      </c>
    </row>
    <row r="29" spans="1:10">
      <c r="B29" s="18" t="s">
        <v>38</v>
      </c>
    </row>
    <row r="30" spans="1:10">
      <c r="B30" s="18" t="s">
        <v>39</v>
      </c>
    </row>
    <row r="36" spans="2:6">
      <c r="B36" s="15"/>
      <c r="C36" s="15"/>
      <c r="D36" s="15"/>
      <c r="E36" s="15"/>
      <c r="F36" s="15"/>
    </row>
    <row r="37" spans="2:6">
      <c r="C37" s="15"/>
      <c r="E37" s="15"/>
    </row>
    <row r="64" spans="2:4">
      <c r="B64" s="17"/>
      <c r="C64" s="17"/>
      <c r="D64" s="17"/>
    </row>
    <row r="65" spans="2:4">
      <c r="B65" s="17"/>
      <c r="C65" s="17"/>
      <c r="D65" s="17"/>
    </row>
    <row r="66" spans="2:4">
      <c r="B66" s="17"/>
      <c r="C66" s="17"/>
      <c r="D66" s="17"/>
    </row>
    <row r="67" spans="2:4">
      <c r="B67" s="17"/>
      <c r="C67" s="17"/>
      <c r="D67" s="17"/>
    </row>
    <row r="68" spans="2:4">
      <c r="B68" s="17"/>
      <c r="C68" s="17"/>
      <c r="D68" s="17"/>
    </row>
    <row r="69" spans="2:4">
      <c r="B69" s="17"/>
      <c r="C69" s="17"/>
      <c r="D69" s="17"/>
    </row>
    <row r="70" spans="2:4">
      <c r="B70" s="17"/>
      <c r="C70" s="17"/>
      <c r="D70" s="17"/>
    </row>
    <row r="71" spans="2:4">
      <c r="B71" s="17"/>
      <c r="C71" s="17"/>
      <c r="D71" s="17"/>
    </row>
    <row r="72" spans="2:4">
      <c r="B72" s="17"/>
      <c r="C72" s="17"/>
      <c r="D72" s="17"/>
    </row>
    <row r="73" spans="2:4">
      <c r="B73" s="17"/>
      <c r="C73" s="17"/>
      <c r="D73" s="17"/>
    </row>
    <row r="74" spans="2:4">
      <c r="B74" s="17"/>
      <c r="C74" s="17"/>
      <c r="D74" s="17"/>
    </row>
    <row r="75" spans="2:4">
      <c r="B75" s="17"/>
      <c r="C75" s="17"/>
      <c r="D75" s="17"/>
    </row>
    <row r="76" spans="2:4">
      <c r="B76" s="17"/>
      <c r="C76" s="17"/>
      <c r="D76" s="17"/>
    </row>
    <row r="77" spans="2:4">
      <c r="B77" s="17"/>
      <c r="C77" s="17"/>
      <c r="D77" s="17"/>
    </row>
    <row r="78" spans="2:4">
      <c r="B78" s="17"/>
      <c r="C78" s="17"/>
      <c r="D78" s="17"/>
    </row>
    <row r="79" spans="2:4">
      <c r="B79" s="17"/>
      <c r="C79" s="17"/>
      <c r="D79" s="17"/>
    </row>
    <row r="80" spans="2:4">
      <c r="B80" s="17"/>
      <c r="C80" s="17"/>
      <c r="D80" s="17"/>
    </row>
    <row r="81" spans="2:4">
      <c r="B81" s="17"/>
      <c r="C81" s="17"/>
      <c r="D81" s="17"/>
    </row>
    <row r="82" spans="2:4">
      <c r="B82" s="17"/>
      <c r="C82" s="17"/>
      <c r="D82" s="17"/>
    </row>
    <row r="83" spans="2:4">
      <c r="B83" s="17"/>
      <c r="C83" s="17"/>
      <c r="D83" s="17"/>
    </row>
    <row r="84" spans="2:4">
      <c r="B84" s="17"/>
      <c r="C84" s="17"/>
      <c r="D84" s="17"/>
    </row>
    <row r="85" spans="2:4">
      <c r="B85" s="17"/>
      <c r="C85" s="17"/>
      <c r="D85" s="17"/>
    </row>
    <row r="86" spans="2:4">
      <c r="B86" s="17"/>
      <c r="C86" s="17"/>
      <c r="D86" s="17"/>
    </row>
    <row r="87" spans="2:4">
      <c r="B87" s="17"/>
      <c r="C87" s="17"/>
      <c r="D87" s="17"/>
    </row>
    <row r="88" spans="2:4">
      <c r="B88" s="17"/>
      <c r="C88" s="17"/>
      <c r="D88" s="17"/>
    </row>
    <row r="89" spans="2:4">
      <c r="B89" s="17"/>
      <c r="C89" s="17"/>
      <c r="D89" s="17"/>
    </row>
    <row r="90" spans="2:4">
      <c r="B90" s="17"/>
      <c r="C90" s="17"/>
      <c r="D90" s="17"/>
    </row>
    <row r="91" spans="2:4">
      <c r="B91" s="17"/>
      <c r="C91" s="17"/>
      <c r="D91" s="17"/>
    </row>
    <row r="92" spans="2:4">
      <c r="B92" s="17"/>
      <c r="C92" s="17"/>
      <c r="D92" s="17"/>
    </row>
    <row r="93" spans="2:4">
      <c r="B93" s="17"/>
      <c r="C93" s="17"/>
      <c r="D93" s="17"/>
    </row>
    <row r="94" spans="2:4">
      <c r="B94" s="17"/>
      <c r="C94" s="17"/>
      <c r="D94" s="17"/>
    </row>
    <row r="95" spans="2:4">
      <c r="B95" s="17"/>
      <c r="C95" s="17"/>
      <c r="D95" s="17"/>
    </row>
    <row r="96" spans="2:4">
      <c r="B96" s="17"/>
      <c r="C96" s="17"/>
      <c r="D96" s="17"/>
    </row>
    <row r="97" spans="2:4">
      <c r="B97" s="17"/>
      <c r="C97" s="17"/>
      <c r="D97" s="17"/>
    </row>
    <row r="98" spans="2:4">
      <c r="B98" s="17"/>
      <c r="C98" s="17"/>
      <c r="D98" s="17"/>
    </row>
    <row r="99" spans="2:4">
      <c r="B99" s="17"/>
      <c r="C99" s="17"/>
      <c r="D99" s="17"/>
    </row>
    <row r="100" spans="2:4">
      <c r="B100" s="17"/>
      <c r="C100" s="17"/>
      <c r="D100" s="17"/>
    </row>
    <row r="101" spans="2:4">
      <c r="B101" s="17"/>
      <c r="C101" s="17"/>
      <c r="D101" s="17"/>
    </row>
    <row r="102" spans="2:4">
      <c r="B102" s="17"/>
      <c r="C102" s="17"/>
      <c r="D102" s="17"/>
    </row>
    <row r="103" spans="2:4">
      <c r="B103" s="17"/>
      <c r="C103" s="17"/>
      <c r="D103" s="17"/>
    </row>
    <row r="104" spans="2:4">
      <c r="B104" s="17"/>
      <c r="C104" s="17"/>
      <c r="D104" s="17"/>
    </row>
    <row r="105" spans="2:4">
      <c r="B105" s="17"/>
      <c r="C105" s="17"/>
      <c r="D105" s="17"/>
    </row>
    <row r="106" spans="2:4">
      <c r="B106" s="17"/>
      <c r="C106" s="17"/>
      <c r="D106" s="17"/>
    </row>
    <row r="107" spans="2:4">
      <c r="B107" s="17"/>
      <c r="C107" s="17"/>
      <c r="D107" s="17"/>
    </row>
    <row r="108" spans="2:4">
      <c r="B108" s="17"/>
      <c r="C108" s="17"/>
      <c r="D108" s="17"/>
    </row>
    <row r="109" spans="2:4">
      <c r="B109" s="17"/>
      <c r="C109" s="17"/>
      <c r="D109" s="17"/>
    </row>
    <row r="110" spans="2:4">
      <c r="B110" s="17"/>
      <c r="C110" s="17"/>
      <c r="D110" s="17"/>
    </row>
    <row r="111" spans="2:4">
      <c r="B111" s="17"/>
      <c r="C111" s="17"/>
      <c r="D111" s="17"/>
    </row>
    <row r="112" spans="2:4">
      <c r="B112" s="17"/>
      <c r="C112" s="17"/>
      <c r="D112" s="17"/>
    </row>
    <row r="113" spans="2:4">
      <c r="B113" s="17"/>
      <c r="C113" s="17"/>
      <c r="D113" s="17"/>
    </row>
    <row r="114" spans="2:4">
      <c r="B114" s="17"/>
      <c r="C114" s="17"/>
      <c r="D114" s="17"/>
    </row>
    <row r="115" spans="2:4">
      <c r="B115" s="17"/>
      <c r="C115" s="17"/>
      <c r="D115" s="17"/>
    </row>
    <row r="116" spans="2:4">
      <c r="B116" s="17"/>
      <c r="C116" s="17"/>
      <c r="D116" s="17"/>
    </row>
    <row r="117" spans="2:4">
      <c r="B117" s="17"/>
      <c r="C117" s="17"/>
      <c r="D117" s="17"/>
    </row>
    <row r="118" spans="2:4">
      <c r="B118" s="17"/>
      <c r="C118" s="17"/>
      <c r="D118" s="17"/>
    </row>
    <row r="119" spans="2:4">
      <c r="B119" s="17"/>
      <c r="C119" s="17"/>
      <c r="D119" s="17"/>
    </row>
    <row r="120" spans="2:4">
      <c r="B120" s="17"/>
      <c r="C120" s="17"/>
      <c r="D120" s="17"/>
    </row>
    <row r="121" spans="2:4">
      <c r="B121" s="17"/>
      <c r="C121" s="17"/>
      <c r="D121" s="17"/>
    </row>
    <row r="122" spans="2:4">
      <c r="B122" s="17"/>
      <c r="C122" s="17"/>
      <c r="D122" s="17"/>
    </row>
    <row r="123" spans="2:4">
      <c r="B123" s="17"/>
      <c r="C123" s="17"/>
      <c r="D123" s="17"/>
    </row>
    <row r="124" spans="2:4">
      <c r="B124" s="17"/>
      <c r="C124" s="17"/>
      <c r="D124" s="17"/>
    </row>
    <row r="125" spans="2:4">
      <c r="B125" s="17"/>
      <c r="C125" s="17"/>
      <c r="D125" s="17"/>
    </row>
    <row r="126" spans="2:4">
      <c r="B126" s="17"/>
      <c r="C126" s="17"/>
      <c r="D126" s="17"/>
    </row>
    <row r="127" spans="2:4">
      <c r="B127" s="17"/>
      <c r="C127" s="17"/>
      <c r="D127" s="17"/>
    </row>
    <row r="128" spans="2:4">
      <c r="B128" s="17"/>
      <c r="C128" s="17"/>
      <c r="D128" s="17"/>
    </row>
    <row r="129" spans="2:4">
      <c r="B129" s="17"/>
      <c r="C129" s="17"/>
      <c r="D129" s="17"/>
    </row>
    <row r="130" spans="2:4">
      <c r="B130" s="17"/>
      <c r="C130" s="17"/>
      <c r="D130" s="17"/>
    </row>
    <row r="131" spans="2:4">
      <c r="B131" s="17"/>
      <c r="C131" s="17"/>
      <c r="D131" s="17"/>
    </row>
    <row r="132" spans="2:4">
      <c r="B132" s="17"/>
      <c r="C132" s="17"/>
      <c r="D132" s="17"/>
    </row>
    <row r="133" spans="2:4">
      <c r="B133" s="17"/>
      <c r="C133" s="17"/>
      <c r="D133" s="17"/>
    </row>
    <row r="134" spans="2:4">
      <c r="B134" s="17"/>
      <c r="C134" s="17"/>
      <c r="D134" s="17"/>
    </row>
    <row r="135" spans="2:4">
      <c r="B135" s="17"/>
      <c r="C135" s="17"/>
      <c r="D135" s="17"/>
    </row>
    <row r="136" spans="2:4">
      <c r="B136" s="17"/>
      <c r="C136" s="17"/>
      <c r="D136" s="17"/>
    </row>
    <row r="137" spans="2:4">
      <c r="B137" s="17"/>
      <c r="C137" s="17"/>
      <c r="D137" s="17"/>
    </row>
    <row r="138" spans="2:4">
      <c r="B138" s="17"/>
      <c r="C138" s="17"/>
      <c r="D138" s="17"/>
    </row>
    <row r="139" spans="2:4">
      <c r="B139" s="17"/>
      <c r="C139" s="17"/>
      <c r="D139" s="17"/>
    </row>
    <row r="140" spans="2:4">
      <c r="B140" s="17"/>
      <c r="C140" s="17"/>
      <c r="D140" s="17"/>
    </row>
    <row r="141" spans="2:4">
      <c r="B141" s="17"/>
      <c r="C141" s="17"/>
      <c r="D141" s="17"/>
    </row>
    <row r="142" spans="2:4">
      <c r="B142" s="17"/>
      <c r="C142" s="17"/>
      <c r="D142" s="17"/>
    </row>
    <row r="143" spans="2:4">
      <c r="B143" s="17"/>
      <c r="C143" s="17"/>
      <c r="D143" s="17"/>
    </row>
    <row r="144" spans="2:4">
      <c r="B144" s="17"/>
      <c r="C144" s="17"/>
      <c r="D144" s="17"/>
    </row>
    <row r="145" spans="2:4">
      <c r="B145" s="17"/>
      <c r="C145" s="17"/>
      <c r="D145" s="17"/>
    </row>
    <row r="146" spans="2:4">
      <c r="B146" s="17"/>
      <c r="C146" s="17"/>
      <c r="D146" s="17"/>
    </row>
    <row r="147" spans="2:4">
      <c r="B147" s="17"/>
      <c r="C147" s="17"/>
      <c r="D147" s="17"/>
    </row>
    <row r="148" spans="2:4">
      <c r="B148" s="17"/>
      <c r="C148" s="17"/>
      <c r="D148" s="17"/>
    </row>
    <row r="149" spans="2:4">
      <c r="B149" s="17"/>
      <c r="C149" s="17"/>
      <c r="D149" s="17"/>
    </row>
    <row r="150" spans="2:4">
      <c r="B150" s="17"/>
      <c r="C150" s="17"/>
      <c r="D150" s="17"/>
    </row>
    <row r="151" spans="2:4">
      <c r="B151" s="17"/>
      <c r="C151" s="17"/>
      <c r="D151" s="17"/>
    </row>
    <row r="152" spans="2:4">
      <c r="B152" s="17"/>
      <c r="C152" s="17"/>
      <c r="D152" s="17"/>
    </row>
    <row r="153" spans="2:4">
      <c r="B153" s="17"/>
      <c r="C153" s="17"/>
      <c r="D153" s="17"/>
    </row>
    <row r="154" spans="2:4">
      <c r="B154" s="17"/>
      <c r="C154" s="17"/>
      <c r="D154" s="17"/>
    </row>
    <row r="155" spans="2:4">
      <c r="B155" s="17"/>
      <c r="C155" s="17"/>
      <c r="D155" s="17"/>
    </row>
    <row r="156" spans="2:4">
      <c r="B156" s="17"/>
      <c r="C156" s="17"/>
      <c r="D156" s="17"/>
    </row>
    <row r="157" spans="2:4">
      <c r="B157" s="17"/>
      <c r="C157" s="17"/>
      <c r="D157" s="17"/>
    </row>
    <row r="158" spans="2:4">
      <c r="B158" s="17"/>
      <c r="C158" s="17"/>
      <c r="D158" s="17"/>
    </row>
    <row r="159" spans="2:4">
      <c r="B159" s="17"/>
      <c r="C159" s="17"/>
      <c r="D159" s="17"/>
    </row>
    <row r="160" spans="2:4">
      <c r="B160" s="17"/>
      <c r="C160" s="17"/>
      <c r="D160" s="17"/>
    </row>
    <row r="161" spans="2:4">
      <c r="B161" s="17"/>
      <c r="C161" s="17"/>
      <c r="D161" s="17"/>
    </row>
    <row r="162" spans="2:4">
      <c r="B162" s="17"/>
      <c r="C162" s="17"/>
      <c r="D162" s="17"/>
    </row>
    <row r="163" spans="2:4">
      <c r="B163" s="17"/>
      <c r="C163" s="17"/>
      <c r="D163" s="17"/>
    </row>
  </sheetData>
  <phoneticPr fontId="0" type="noConversion"/>
  <printOptions headings="1" gridLines="1"/>
  <pageMargins left="0.91" right="0.75" top="0.5" bottom="0.52" header="0.5" footer="0.5"/>
  <pageSetup scale="67" fitToHeight="2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workbookViewId="0">
      <selection activeCell="A12" sqref="A12"/>
    </sheetView>
  </sheetViews>
  <sheetFormatPr defaultRowHeight="12.75"/>
  <cols>
    <col min="2" max="3" width="11.5703125" bestFit="1" customWidth="1"/>
    <col min="4" max="5" width="10.5703125" bestFit="1" customWidth="1"/>
    <col min="6" max="6" width="11.140625" bestFit="1" customWidth="1"/>
    <col min="10" max="10" width="13.5703125" style="14" customWidth="1"/>
  </cols>
  <sheetData>
    <row r="1" spans="1:11">
      <c r="A1" t="s">
        <v>53</v>
      </c>
    </row>
    <row r="2" spans="1:11">
      <c r="A2" t="s">
        <v>42</v>
      </c>
      <c r="B2" t="str">
        <f ca="1">ADDRESS(ROW(Sheet1!$D$19),COLUMN(Sheet1!$D$19),4,,_xll.WSNAME(Sheet1!$D$19))</f>
        <v>Sheet1!D19</v>
      </c>
      <c r="C2" t="str">
        <f ca="1">ADDRESS(ROW(Sheet1!$D$20),COLUMN(Sheet1!$D$20),4,,_xll.WSNAME(Sheet1!$D$20))</f>
        <v>Sheet1!D20</v>
      </c>
      <c r="D2" t="str">
        <f ca="1">ADDRESS(ROW(Sheet1!$D$21),COLUMN(Sheet1!$D$21),4,,_xll.WSNAME(Sheet1!$D$21))</f>
        <v>Sheet1!D21</v>
      </c>
      <c r="E2" t="str">
        <f ca="1">ADDRESS(ROW(Sheet1!$D$22),COLUMN(Sheet1!$D$22),4,,_xll.WSNAME(Sheet1!$D$22))</f>
        <v>Sheet1!D22</v>
      </c>
      <c r="F2" t="str">
        <f ca="1">ADDRESS(ROW(Sheet1!$D$23),COLUMN(Sheet1!$D$23),4,,_xll.WSNAME(Sheet1!$D$23))</f>
        <v>Sheet1!D23</v>
      </c>
    </row>
    <row r="3" spans="1:11">
      <c r="A3" t="s">
        <v>2</v>
      </c>
      <c r="B3">
        <f>AVERAGE(B9:B108)</f>
        <v>5049349.0984440837</v>
      </c>
      <c r="C3">
        <f>AVERAGE(C9:C108)</f>
        <v>3387998.1483995169</v>
      </c>
      <c r="D3">
        <f>AVERAGE(D9:D108)</f>
        <v>507335.4794745039</v>
      </c>
      <c r="E3">
        <f>AVERAGE(E9:E108)</f>
        <v>169399.90741997599</v>
      </c>
      <c r="F3">
        <f>AVERAGE(F9:F108)</f>
        <v>77935.572054527831</v>
      </c>
    </row>
    <row r="4" spans="1:11">
      <c r="A4" t="s">
        <v>32</v>
      </c>
      <c r="B4">
        <f>STDEV(B9:B108)</f>
        <v>448464.29333002644</v>
      </c>
      <c r="C4">
        <f>STDEV(C9:C108)</f>
        <v>597960.14017788053</v>
      </c>
      <c r="D4">
        <f>STDEV(D9:D108)</f>
        <v>133860.62016091667</v>
      </c>
      <c r="E4">
        <f>STDEV(E9:E108)</f>
        <v>29898.007008893353</v>
      </c>
      <c r="F4">
        <f>STDEV(F9:F108)</f>
        <v>117372.9460179101</v>
      </c>
    </row>
    <row r="5" spans="1:11">
      <c r="A5" t="s">
        <v>33</v>
      </c>
      <c r="B5">
        <f>100*B4/B3</f>
        <v>8.8816258212017285</v>
      </c>
      <c r="C5">
        <f>100*C4/C3</f>
        <v>17.649364432514687</v>
      </c>
      <c r="D5">
        <f>100*D4/D3</f>
        <v>26.385030335266318</v>
      </c>
      <c r="E5">
        <f>100*E4/E3</f>
        <v>17.649364432514275</v>
      </c>
      <c r="F5">
        <f>100*F4/F3</f>
        <v>150.60253350779257</v>
      </c>
    </row>
    <row r="6" spans="1:11">
      <c r="A6" t="s">
        <v>34</v>
      </c>
      <c r="B6">
        <f>MIN(B9:B108)</f>
        <v>3878329.1152677294</v>
      </c>
      <c r="C6">
        <f>MIN(C9:C108)</f>
        <v>2029119.8664810893</v>
      </c>
      <c r="D6">
        <f>MIN(D9:D108)</f>
        <v>247159.30614741097</v>
      </c>
      <c r="E6">
        <f>MIN(E9:E108)</f>
        <v>101455.99332405446</v>
      </c>
      <c r="F6">
        <f>MIN(F9:F108)</f>
        <v>-173923.30291541514</v>
      </c>
    </row>
    <row r="7" spans="1:11">
      <c r="A7" t="s">
        <v>35</v>
      </c>
      <c r="B7">
        <f>MAX(B9:B108)</f>
        <v>6087839.3892983161</v>
      </c>
      <c r="C7">
        <f>MAX(C9:C108)</f>
        <v>4930322.4409005241</v>
      </c>
      <c r="D7">
        <f>MAX(D9:D108)</f>
        <v>887376.34203512094</v>
      </c>
      <c r="E7">
        <f>MAX(E9:E108)</f>
        <v>246516.12204502622</v>
      </c>
      <c r="F7">
        <f>MAX(F9:F108)</f>
        <v>409373.97570418695</v>
      </c>
      <c r="J7" s="25" t="s">
        <v>41</v>
      </c>
    </row>
    <row r="8" spans="1:11">
      <c r="A8" t="s">
        <v>36</v>
      </c>
      <c r="B8" t="str">
        <f>Sheet1!$C$19</f>
        <v>Prod</v>
      </c>
      <c r="C8" t="str">
        <f>Sheet1!$C$20</f>
        <v>Vol</v>
      </c>
      <c r="D8" t="str">
        <f>Sheet1!$C$21</f>
        <v>Rev</v>
      </c>
      <c r="E8" t="str">
        <f>Sheet1!$C$22</f>
        <v>VC</v>
      </c>
      <c r="F8" t="str">
        <f>Sheet1!$C$23</f>
        <v>NR</v>
      </c>
    </row>
    <row r="9" spans="1:11">
      <c r="A9">
        <v>1</v>
      </c>
      <c r="B9">
        <v>6056602.2623233525</v>
      </c>
      <c r="C9">
        <v>4930322.4409005241</v>
      </c>
      <c r="D9">
        <v>619026.28203974548</v>
      </c>
      <c r="E9">
        <v>246516.12204502622</v>
      </c>
      <c r="F9">
        <v>112510.15999471926</v>
      </c>
      <c r="J9" t="str">
        <f>SimData!$F$8</f>
        <v>NR</v>
      </c>
      <c r="K9" t="s">
        <v>37</v>
      </c>
    </row>
    <row r="10" spans="1:11">
      <c r="A10">
        <v>2</v>
      </c>
      <c r="B10">
        <v>5055445.9726395356</v>
      </c>
      <c r="C10">
        <v>2923145.6832160209</v>
      </c>
      <c r="D10">
        <v>498852.60752419598</v>
      </c>
      <c r="E10">
        <v>146157.28416080106</v>
      </c>
      <c r="F10">
        <v>92695.323363394942</v>
      </c>
      <c r="J10">
        <f>SMALL(SimData!$F$9:$F$108,1)</f>
        <v>-173923.30291541514</v>
      </c>
      <c r="K10">
        <v>0</v>
      </c>
    </row>
    <row r="11" spans="1:11">
      <c r="A11">
        <v>3</v>
      </c>
      <c r="B11">
        <v>4937183.7482091011</v>
      </c>
      <c r="C11">
        <v>3288060.7881295122</v>
      </c>
      <c r="D11">
        <v>520915.67283609061</v>
      </c>
      <c r="E11">
        <v>164403.03940647561</v>
      </c>
      <c r="F11">
        <v>96512.633429615002</v>
      </c>
      <c r="J11">
        <f>SMALL(SimData!$F$9:$F$108,2)</f>
        <v>-147293.0735334382</v>
      </c>
      <c r="K11">
        <f>1/(COUNT(SimData!$F$9:$F$108)-1)+$K$10</f>
        <v>1.0101010101010102E-2</v>
      </c>
    </row>
    <row r="12" spans="1:11">
      <c r="A12">
        <v>4</v>
      </c>
      <c r="B12">
        <v>4872319.783641506</v>
      </c>
      <c r="C12">
        <v>3474203.4781199</v>
      </c>
      <c r="D12">
        <v>561636.06275989139</v>
      </c>
      <c r="E12">
        <v>173710.17390599501</v>
      </c>
      <c r="F12">
        <v>127925.88885389641</v>
      </c>
      <c r="J12">
        <f>SMALL(SimData!$F$9:$F$108,3)</f>
        <v>-122913.36233144451</v>
      </c>
      <c r="K12">
        <f>1/(COUNT(SimData!$F$9:$F$108)-1)+$K$11</f>
        <v>2.0202020202020204E-2</v>
      </c>
    </row>
    <row r="13" spans="1:11">
      <c r="A13">
        <v>5</v>
      </c>
      <c r="B13">
        <v>5454523.8513020212</v>
      </c>
      <c r="C13">
        <v>3280396.0636997838</v>
      </c>
      <c r="D13">
        <v>614879.9187195655</v>
      </c>
      <c r="E13">
        <v>164019.8031849892</v>
      </c>
      <c r="F13">
        <v>190860.1155345763</v>
      </c>
      <c r="J13">
        <f>SMALL(SimData!$F$9:$F$108,4)</f>
        <v>-108158.49437888127</v>
      </c>
      <c r="K13">
        <f>1/(COUNT(SimData!$F$9:$F$108)-1)+$K$12</f>
        <v>3.0303030303030304E-2</v>
      </c>
    </row>
    <row r="14" spans="1:11">
      <c r="A14">
        <v>6</v>
      </c>
      <c r="B14">
        <v>5085743.2550330386</v>
      </c>
      <c r="C14">
        <v>3137047.5451193266</v>
      </c>
      <c r="D14">
        <v>617754.12497413752</v>
      </c>
      <c r="E14">
        <v>156852.37725596633</v>
      </c>
      <c r="F14">
        <v>200901.74771817122</v>
      </c>
      <c r="J14">
        <f>SMALL(SimData!$F$9:$F$108,5)</f>
        <v>-94298.748650189867</v>
      </c>
      <c r="K14">
        <f>1/(COUNT(SimData!$F$9:$F$108)-1)+$K$13</f>
        <v>4.0404040404040407E-2</v>
      </c>
    </row>
    <row r="15" spans="1:11">
      <c r="A15">
        <v>7</v>
      </c>
      <c r="B15">
        <v>4454388.2937472668</v>
      </c>
      <c r="C15">
        <v>3446965.9501876021</v>
      </c>
      <c r="D15">
        <v>439355.09476896579</v>
      </c>
      <c r="E15">
        <v>172348.29750938012</v>
      </c>
      <c r="F15">
        <v>7006.7972595856991</v>
      </c>
      <c r="J15">
        <f>SMALL(SimData!$F$9:$F$108,6)</f>
        <v>-92861.440379391366</v>
      </c>
      <c r="K15">
        <f>1/(COUNT(SimData!$F$9:$F$108)-1)+$K$14</f>
        <v>5.0505050505050511E-2</v>
      </c>
    </row>
    <row r="16" spans="1:11">
      <c r="A16">
        <v>8</v>
      </c>
      <c r="B16">
        <v>5346887.1576317037</v>
      </c>
      <c r="C16">
        <v>3404774.3162783352</v>
      </c>
      <c r="D16">
        <v>593087.78822867875</v>
      </c>
      <c r="E16">
        <v>170238.71581391676</v>
      </c>
      <c r="F16">
        <v>162849.07241476199</v>
      </c>
      <c r="J16">
        <f>SMALL(SimData!$F$9:$F$108,7)</f>
        <v>-88335.516884095618</v>
      </c>
      <c r="K16">
        <f>1/(COUNT(SimData!$F$9:$F$108)-1)+$K$15</f>
        <v>6.0606060606060615E-2</v>
      </c>
    </row>
    <row r="17" spans="1:11">
      <c r="A17">
        <v>9</v>
      </c>
      <c r="B17">
        <v>5300751.4739868613</v>
      </c>
      <c r="C17">
        <v>3095099.5117852092</v>
      </c>
      <c r="D17">
        <v>355306.30202029413</v>
      </c>
      <c r="E17">
        <v>154754.97558926046</v>
      </c>
      <c r="F17">
        <v>-59448.673568966333</v>
      </c>
      <c r="J17">
        <f>SMALL(SimData!$F$9:$F$108,8)</f>
        <v>-86289.639352449565</v>
      </c>
      <c r="K17">
        <f>1/(COUNT(SimData!$F$9:$F$108)-1)+$K$16</f>
        <v>7.0707070707070718E-2</v>
      </c>
    </row>
    <row r="18" spans="1:11">
      <c r="A18">
        <v>10</v>
      </c>
      <c r="B18">
        <v>4357943.7236691574</v>
      </c>
      <c r="C18">
        <v>4101380.7866825075</v>
      </c>
      <c r="D18">
        <v>533463.61720926012</v>
      </c>
      <c r="E18">
        <v>205069.03933412538</v>
      </c>
      <c r="F18">
        <v>68394.577875134768</v>
      </c>
      <c r="J18">
        <f>SMALL(SimData!$F$9:$F$108,9)</f>
        <v>-75796.829582037171</v>
      </c>
      <c r="K18">
        <f>1/(COUNT(SimData!$F$9:$F$108)-1)+$K$17</f>
        <v>8.0808080808080815E-2</v>
      </c>
    </row>
    <row r="19" spans="1:11">
      <c r="A19">
        <v>11</v>
      </c>
      <c r="B19">
        <v>5057889.5211829217</v>
      </c>
      <c r="C19">
        <v>3436830.5564707238</v>
      </c>
      <c r="D19">
        <v>411504.44078891794</v>
      </c>
      <c r="E19">
        <v>171841.52782353619</v>
      </c>
      <c r="F19">
        <v>-20337.087034618249</v>
      </c>
      <c r="J19">
        <f>SMALL(SimData!$F$9:$F$108,10)</f>
        <v>-73029.229620505648</v>
      </c>
      <c r="K19">
        <f>1/(COUNT(SimData!$F$9:$F$108)-1)+$K$18</f>
        <v>9.0909090909090912E-2</v>
      </c>
    </row>
    <row r="20" spans="1:11">
      <c r="A20">
        <v>12</v>
      </c>
      <c r="B20">
        <v>4630199.4849858293</v>
      </c>
      <c r="C20">
        <v>3550125.5424104598</v>
      </c>
      <c r="D20">
        <v>476899.10090232769</v>
      </c>
      <c r="E20">
        <v>177506.27712052301</v>
      </c>
      <c r="F20">
        <v>39392.823781804647</v>
      </c>
      <c r="J20">
        <f>SMALL(SimData!$F$9:$F$108,11)</f>
        <v>-70814.277000136412</v>
      </c>
      <c r="K20">
        <f>1/(COUNT(SimData!$F$9:$F$108)-1)+$K$19</f>
        <v>0.10101010101010101</v>
      </c>
    </row>
    <row r="21" spans="1:11">
      <c r="A21">
        <v>13</v>
      </c>
      <c r="B21">
        <v>5225036.4009392699</v>
      </c>
      <c r="C21">
        <v>3464240.3222612753</v>
      </c>
      <c r="D21">
        <v>427772.44481113687</v>
      </c>
      <c r="E21">
        <v>173212.01611306379</v>
      </c>
      <c r="F21">
        <v>-5439.5713019269169</v>
      </c>
      <c r="J21">
        <f>SMALL(SimData!$F$9:$F$108,12)</f>
        <v>-59448.673568966333</v>
      </c>
      <c r="K21">
        <f>1/(COUNT(SimData!$F$9:$F$108)-1)+$K$20</f>
        <v>0.1111111111111111</v>
      </c>
    </row>
    <row r="22" spans="1:11">
      <c r="A22">
        <v>14</v>
      </c>
      <c r="B22">
        <v>4680531.9257650729</v>
      </c>
      <c r="C22">
        <v>2777473.2129105492</v>
      </c>
      <c r="D22">
        <v>456262.5706905257</v>
      </c>
      <c r="E22">
        <v>138873.66064552747</v>
      </c>
      <c r="F22">
        <v>57388.910044998222</v>
      </c>
      <c r="J22">
        <f>SMALL(SimData!$F$9:$F$108,13)</f>
        <v>-56806.439370872889</v>
      </c>
      <c r="K22">
        <f>1/(COUNT(SimData!$F$9:$F$108)-1)+$K$21</f>
        <v>0.1212121212121212</v>
      </c>
    </row>
    <row r="23" spans="1:11">
      <c r="A23">
        <v>15</v>
      </c>
      <c r="B23">
        <v>5260978.8092302065</v>
      </c>
      <c r="C23">
        <v>2734127.9927564939</v>
      </c>
      <c r="D23">
        <v>391919.32373930985</v>
      </c>
      <c r="E23">
        <v>136706.39963782471</v>
      </c>
      <c r="F23">
        <v>-4787.0758985148568</v>
      </c>
      <c r="J23">
        <f>SMALL(SimData!$F$9:$F$108,14)</f>
        <v>-49550.902289487218</v>
      </c>
      <c r="K23">
        <f>1/(COUNT(SimData!$F$9:$F$108)-1)+$K$22</f>
        <v>0.1313131313131313</v>
      </c>
    </row>
    <row r="24" spans="1:11">
      <c r="A24">
        <v>16</v>
      </c>
      <c r="B24">
        <v>5520129.274269999</v>
      </c>
      <c r="C24">
        <v>4443462.8965723328</v>
      </c>
      <c r="D24">
        <v>475246.88709613815</v>
      </c>
      <c r="E24">
        <v>222173.14482861664</v>
      </c>
      <c r="F24">
        <v>-6926.2577324784943</v>
      </c>
      <c r="J24">
        <f>SMALL(SimData!$F$9:$F$108,15)</f>
        <v>-45690.397536386474</v>
      </c>
      <c r="K24">
        <f>1/(COUNT(SimData!$F$9:$F$108)-1)+$K$23</f>
        <v>0.14141414141414141</v>
      </c>
    </row>
    <row r="25" spans="1:11">
      <c r="A25">
        <v>17</v>
      </c>
      <c r="B25">
        <v>4744569.744456715</v>
      </c>
      <c r="C25">
        <v>3367511.4519873955</v>
      </c>
      <c r="D25">
        <v>499028.96183204831</v>
      </c>
      <c r="E25">
        <v>168375.5725993698</v>
      </c>
      <c r="F25">
        <v>70653.389232678514</v>
      </c>
      <c r="J25">
        <f>SMALL(SimData!$F$9:$F$108,16)</f>
        <v>-41141.365505989932</v>
      </c>
      <c r="K25">
        <f>1/(COUNT(SimData!$F$9:$F$108)-1)+$K$24</f>
        <v>0.15151515151515152</v>
      </c>
    </row>
    <row r="26" spans="1:11">
      <c r="A26">
        <v>18</v>
      </c>
      <c r="B26">
        <v>4805126.5443488639</v>
      </c>
      <c r="C26">
        <v>3603038.2546333186</v>
      </c>
      <c r="D26">
        <v>654594.9735411997</v>
      </c>
      <c r="E26">
        <v>180151.91273166594</v>
      </c>
      <c r="F26">
        <v>214443.06080953375</v>
      </c>
      <c r="J26">
        <f>SMALL(SimData!$F$9:$F$108,17)</f>
        <v>-20337.087034618249</v>
      </c>
      <c r="K26">
        <f>1/(COUNT(SimData!$F$9:$F$108)-1)+$K$25</f>
        <v>0.16161616161616163</v>
      </c>
    </row>
    <row r="27" spans="1:11">
      <c r="A27">
        <v>19</v>
      </c>
      <c r="B27">
        <v>4509964.349839462</v>
      </c>
      <c r="C27">
        <v>2796043.3808425451</v>
      </c>
      <c r="D27">
        <v>410510.91397982801</v>
      </c>
      <c r="E27">
        <v>139802.16904212727</v>
      </c>
      <c r="F27">
        <v>10708.744937700743</v>
      </c>
      <c r="J27">
        <f>SMALL(SimData!$F$9:$F$108,18)</f>
        <v>-19488.061804836558</v>
      </c>
      <c r="K27">
        <f>1/(COUNT(SimData!$F$9:$F$108)-1)+$K$26</f>
        <v>0.17171717171717174</v>
      </c>
    </row>
    <row r="28" spans="1:11">
      <c r="A28">
        <v>20</v>
      </c>
      <c r="B28">
        <v>5313286.8923908565</v>
      </c>
      <c r="C28">
        <v>3429473.3540193061</v>
      </c>
      <c r="D28">
        <v>489239.68444306444</v>
      </c>
      <c r="E28">
        <v>171473.66770096531</v>
      </c>
      <c r="F28">
        <v>57766.016742099135</v>
      </c>
      <c r="J28">
        <f>SMALL(SimData!$F$9:$F$108,19)</f>
        <v>-18677.181031692249</v>
      </c>
      <c r="K28">
        <f>1/(COUNT(SimData!$F$9:$F$108)-1)+$K$27</f>
        <v>0.18181818181818185</v>
      </c>
    </row>
    <row r="29" spans="1:11">
      <c r="A29">
        <v>21</v>
      </c>
      <c r="B29">
        <v>4551779.2261395054</v>
      </c>
      <c r="C29">
        <v>2685936.9444296849</v>
      </c>
      <c r="D29">
        <v>437149.21040845785</v>
      </c>
      <c r="E29">
        <v>134296.84722148426</v>
      </c>
      <c r="F29">
        <v>42852.363186973613</v>
      </c>
      <c r="J29">
        <f>SMALL(SimData!$F$9:$F$108,20)</f>
        <v>-15575.583707277779</v>
      </c>
      <c r="K29">
        <f>1/(COUNT(SimData!$F$9:$F$108)-1)+$K$28</f>
        <v>0.19191919191919196</v>
      </c>
    </row>
    <row r="30" spans="1:11">
      <c r="A30">
        <v>22</v>
      </c>
      <c r="B30">
        <v>5003514.2648568861</v>
      </c>
      <c r="C30">
        <v>2493164.7888204209</v>
      </c>
      <c r="D30">
        <v>486602.49384549988</v>
      </c>
      <c r="E30">
        <v>124658.23944102105</v>
      </c>
      <c r="F30">
        <v>101944.25440447882</v>
      </c>
      <c r="J30">
        <f>SMALL(SimData!$F$9:$F$108,21)</f>
        <v>-7414.0704439173569</v>
      </c>
      <c r="K30">
        <f>1/(COUNT(SimData!$F$9:$F$108)-1)+$K$29</f>
        <v>0.20202020202020207</v>
      </c>
    </row>
    <row r="31" spans="1:11">
      <c r="A31">
        <v>23</v>
      </c>
      <c r="B31">
        <v>4878292.7508512326</v>
      </c>
      <c r="C31">
        <v>3221652.181256522</v>
      </c>
      <c r="D31">
        <v>247159.30614741097</v>
      </c>
      <c r="E31">
        <v>161082.60906282612</v>
      </c>
      <c r="F31">
        <v>-173923.30291541514</v>
      </c>
      <c r="J31">
        <f>SMALL(SimData!$F$9:$F$108,22)</f>
        <v>-6926.2577324784943</v>
      </c>
      <c r="K31">
        <f>1/(COUNT(SimData!$F$9:$F$108)-1)+$K$30</f>
        <v>0.21212121212121218</v>
      </c>
    </row>
    <row r="32" spans="1:11">
      <c r="A32">
        <v>24</v>
      </c>
      <c r="B32">
        <v>4957060.8770338083</v>
      </c>
      <c r="C32">
        <v>2648311.1533615026</v>
      </c>
      <c r="D32">
        <v>485876.13777438382</v>
      </c>
      <c r="E32">
        <v>132415.55766807514</v>
      </c>
      <c r="F32">
        <v>93460.580106308684</v>
      </c>
      <c r="J32">
        <f>SMALL(SimData!$F$9:$F$108,23)</f>
        <v>-6789.9031299959752</v>
      </c>
      <c r="K32">
        <f>1/(COUNT(SimData!$F$9:$F$108)-1)+$K$31</f>
        <v>0.22222222222222229</v>
      </c>
    </row>
    <row r="33" spans="1:11">
      <c r="A33">
        <v>25</v>
      </c>
      <c r="B33">
        <v>4963953.0416528238</v>
      </c>
      <c r="C33">
        <v>3043136.7506343382</v>
      </c>
      <c r="D33">
        <v>480157.73995075247</v>
      </c>
      <c r="E33">
        <v>152156.83753171691</v>
      </c>
      <c r="F33">
        <v>68000.902419035556</v>
      </c>
      <c r="J33">
        <f>SMALL(SimData!$F$9:$F$108,24)</f>
        <v>-6784.6270806683751</v>
      </c>
      <c r="K33">
        <f>1/(COUNT(SimData!$F$9:$F$108)-1)+$K$32</f>
        <v>0.2323232323232324</v>
      </c>
    </row>
    <row r="34" spans="1:11">
      <c r="A34">
        <v>26</v>
      </c>
      <c r="B34">
        <v>4994533.6629888276</v>
      </c>
      <c r="C34">
        <v>3816189.0473241378</v>
      </c>
      <c r="D34">
        <v>531922.22462962277</v>
      </c>
      <c r="E34">
        <v>190809.45236620691</v>
      </c>
      <c r="F34">
        <v>81112.772263415856</v>
      </c>
      <c r="J34">
        <f>SMALL(SimData!$F$9:$F$108,25)</f>
        <v>-5439.5713019269169</v>
      </c>
      <c r="K34">
        <f>1/(COUNT(SimData!$F$9:$F$108)-1)+$K$33</f>
        <v>0.24242424242424251</v>
      </c>
    </row>
    <row r="35" spans="1:11">
      <c r="A35">
        <v>27</v>
      </c>
      <c r="B35">
        <v>4311311.9867991051</v>
      </c>
      <c r="C35">
        <v>3207120.970729752</v>
      </c>
      <c r="D35">
        <v>545945.44446594082</v>
      </c>
      <c r="E35">
        <v>160356.04853648762</v>
      </c>
      <c r="F35">
        <v>125589.3959294532</v>
      </c>
      <c r="J35">
        <f>SMALL(SimData!$F$9:$F$108,26)</f>
        <v>-4787.0758985148568</v>
      </c>
      <c r="K35">
        <f>1/(COUNT(SimData!$F$9:$F$108)-1)+$K$34</f>
        <v>0.2525252525252526</v>
      </c>
    </row>
    <row r="36" spans="1:11">
      <c r="A36">
        <v>28</v>
      </c>
      <c r="B36">
        <v>4869489.1026975857</v>
      </c>
      <c r="C36">
        <v>3117177.305099762</v>
      </c>
      <c r="D36">
        <v>418021.9275891314</v>
      </c>
      <c r="E36">
        <v>155858.86525498811</v>
      </c>
      <c r="F36">
        <v>2163.0623341433238</v>
      </c>
      <c r="J36">
        <f>SMALL(SimData!$F$9:$F$108,27)</f>
        <v>-3155.9181958631962</v>
      </c>
      <c r="K36">
        <f>1/(COUNT(SimData!$F$9:$F$108)-1)+$K$35</f>
        <v>0.26262626262626271</v>
      </c>
    </row>
    <row r="37" spans="1:11">
      <c r="A37">
        <v>29</v>
      </c>
      <c r="B37">
        <v>4932544.7643342288</v>
      </c>
      <c r="C37">
        <v>3489284.621775208</v>
      </c>
      <c r="D37">
        <v>311550.86875731591</v>
      </c>
      <c r="E37">
        <v>174464.23108876043</v>
      </c>
      <c r="F37">
        <v>-122913.36233144451</v>
      </c>
      <c r="J37">
        <f>SMALL(SimData!$F$9:$F$108,28)</f>
        <v>2163.0623341433238</v>
      </c>
      <c r="K37">
        <f>1/(COUNT(SimData!$F$9:$F$108)-1)+$K$36</f>
        <v>0.27272727272727282</v>
      </c>
    </row>
    <row r="38" spans="1:11">
      <c r="A38">
        <v>30</v>
      </c>
      <c r="B38">
        <v>5147104.9822458411</v>
      </c>
      <c r="C38">
        <v>2249279.9780886918</v>
      </c>
      <c r="D38">
        <v>279602.55852504325</v>
      </c>
      <c r="E38">
        <v>112463.9989044346</v>
      </c>
      <c r="F38">
        <v>-92861.440379391366</v>
      </c>
      <c r="J38">
        <f>SMALL(SimData!$F$9:$F$108,29)</f>
        <v>4419.4260842618532</v>
      </c>
      <c r="K38">
        <f>1/(COUNT(SimData!$F$9:$F$108)-1)+$K$37</f>
        <v>0.28282828282828293</v>
      </c>
    </row>
    <row r="39" spans="1:11">
      <c r="A39">
        <v>31</v>
      </c>
      <c r="B39">
        <v>4841361.649654015</v>
      </c>
      <c r="C39">
        <v>3588230.5401722873</v>
      </c>
      <c r="D39">
        <v>679785.55440996774</v>
      </c>
      <c r="E39">
        <v>179411.52700861439</v>
      </c>
      <c r="F39">
        <v>240374.02740135335</v>
      </c>
      <c r="J39">
        <f>SMALL(SimData!$F$9:$F$108,30)</f>
        <v>4803.3873139673378</v>
      </c>
      <c r="K39">
        <f>1/(COUNT(SimData!$F$9:$F$108)-1)+$K$38</f>
        <v>0.29292929292929304</v>
      </c>
    </row>
    <row r="40" spans="1:11">
      <c r="A40">
        <v>32</v>
      </c>
      <c r="B40">
        <v>4614032.1833556276</v>
      </c>
      <c r="C40">
        <v>2283035.2348131798</v>
      </c>
      <c r="D40">
        <v>333010.39623466908</v>
      </c>
      <c r="E40">
        <v>114151.761740659</v>
      </c>
      <c r="F40">
        <v>-41141.365505989932</v>
      </c>
      <c r="J40">
        <f>SMALL(SimData!$F$9:$F$108,31)</f>
        <v>4805.8764164436143</v>
      </c>
      <c r="K40">
        <f>1/(COUNT(SimData!$F$9:$F$108)-1)+$K$39</f>
        <v>0.30303030303030315</v>
      </c>
    </row>
    <row r="41" spans="1:11">
      <c r="A41">
        <v>33</v>
      </c>
      <c r="B41">
        <v>4194471.6920034317</v>
      </c>
      <c r="C41">
        <v>2754156.2670740974</v>
      </c>
      <c r="D41">
        <v>486098.56488620932</v>
      </c>
      <c r="E41">
        <v>137707.81335370487</v>
      </c>
      <c r="F41">
        <v>88390.751532504451</v>
      </c>
      <c r="J41">
        <f>SMALL(SimData!$F$9:$F$108,32)</f>
        <v>7006.7972595856991</v>
      </c>
      <c r="K41">
        <f>1/(COUNT(SimData!$F$9:$F$108)-1)+$K$40</f>
        <v>0.31313131313131326</v>
      </c>
    </row>
    <row r="42" spans="1:11">
      <c r="A42">
        <v>34</v>
      </c>
      <c r="B42">
        <v>4929225.0864962144</v>
      </c>
      <c r="C42">
        <v>3374299.3069357271</v>
      </c>
      <c r="D42">
        <v>577964.00687032717</v>
      </c>
      <c r="E42">
        <v>168714.96534678637</v>
      </c>
      <c r="F42">
        <v>149249.0415235408</v>
      </c>
      <c r="J42">
        <f>SMALL(SimData!$F$9:$F$108,33)</f>
        <v>10160.497669992095</v>
      </c>
      <c r="K42">
        <f>1/(COUNT(SimData!$F$9:$F$108)-1)+$K$41</f>
        <v>0.32323232323232337</v>
      </c>
    </row>
    <row r="43" spans="1:11">
      <c r="A43">
        <v>35</v>
      </c>
      <c r="B43">
        <v>5385757.3287777398</v>
      </c>
      <c r="C43">
        <v>4268501.6110786125</v>
      </c>
      <c r="D43">
        <v>477844.50663819251</v>
      </c>
      <c r="E43">
        <v>213425.08055393063</v>
      </c>
      <c r="F43">
        <v>4419.4260842618532</v>
      </c>
      <c r="J43">
        <f>SMALL(SimData!$F$9:$F$108,34)</f>
        <v>10708.744937700743</v>
      </c>
      <c r="K43">
        <f>1/(COUNT(SimData!$F$9:$F$108)-1)+$K$42</f>
        <v>0.33333333333333348</v>
      </c>
    </row>
    <row r="44" spans="1:11">
      <c r="A44">
        <v>36</v>
      </c>
      <c r="B44">
        <v>4701448.7210347429</v>
      </c>
      <c r="C44">
        <v>2647360.0589566417</v>
      </c>
      <c r="D44">
        <v>335561.56357695919</v>
      </c>
      <c r="E44">
        <v>132368.00294783208</v>
      </c>
      <c r="F44">
        <v>-56806.439370872889</v>
      </c>
      <c r="J44">
        <f>SMALL(SimData!$F$9:$F$108,35)</f>
        <v>12906.224113654811</v>
      </c>
      <c r="K44">
        <f>1/(COUNT(SimData!$F$9:$F$108)-1)+$K$43</f>
        <v>0.34343434343434359</v>
      </c>
    </row>
    <row r="45" spans="1:11">
      <c r="A45">
        <v>37</v>
      </c>
      <c r="B45">
        <v>5184095.6942694718</v>
      </c>
      <c r="C45">
        <v>2449303.73428177</v>
      </c>
      <c r="D45">
        <v>379309.26851822529</v>
      </c>
      <c r="E45">
        <v>122465.1867140885</v>
      </c>
      <c r="F45">
        <v>-3155.9181958631962</v>
      </c>
      <c r="J45">
        <f>SMALL(SimData!$F$9:$F$108,36)</f>
        <v>17573.314965061785</v>
      </c>
      <c r="K45">
        <f>1/(COUNT(SimData!$F$9:$F$108)-1)+$K$44</f>
        <v>0.3535353535353537</v>
      </c>
    </row>
    <row r="46" spans="1:11">
      <c r="A46">
        <v>38</v>
      </c>
      <c r="B46">
        <v>5481172.2143390169</v>
      </c>
      <c r="C46">
        <v>4163743.3881714069</v>
      </c>
      <c r="D46">
        <v>665997.70267895341</v>
      </c>
      <c r="E46">
        <v>208187.16940857036</v>
      </c>
      <c r="F46">
        <v>197810.53327038302</v>
      </c>
      <c r="J46">
        <f>SMALL(SimData!$F$9:$F$108,37)</f>
        <v>18018.303660924139</v>
      </c>
      <c r="K46">
        <f>1/(COUNT(SimData!$F$9:$F$108)-1)+$K$45</f>
        <v>0.36363636363636381</v>
      </c>
    </row>
    <row r="47" spans="1:11">
      <c r="A47">
        <v>39</v>
      </c>
      <c r="B47">
        <v>5291670.244332632</v>
      </c>
      <c r="C47">
        <v>3661737.5939630624</v>
      </c>
      <c r="D47">
        <v>701554.24983166903</v>
      </c>
      <c r="E47">
        <v>183086.87969815312</v>
      </c>
      <c r="F47">
        <v>258467.37013351591</v>
      </c>
      <c r="J47">
        <f>SMALL(SimData!$F$9:$F$108,38)</f>
        <v>19111.107852767745</v>
      </c>
      <c r="K47">
        <f>1/(COUNT(SimData!$F$9:$F$108)-1)+$K$46</f>
        <v>0.37373737373737392</v>
      </c>
    </row>
    <row r="48" spans="1:11">
      <c r="A48">
        <v>40</v>
      </c>
      <c r="B48">
        <v>4546007.2453817939</v>
      </c>
      <c r="C48">
        <v>3287001.4554064991</v>
      </c>
      <c r="D48">
        <v>528724.9903710183</v>
      </c>
      <c r="E48">
        <v>164350.07277032497</v>
      </c>
      <c r="F48">
        <v>104374.9176006933</v>
      </c>
      <c r="J48">
        <f>SMALL(SimData!$F$9:$F$108,39)</f>
        <v>28124.00973315892</v>
      </c>
      <c r="K48">
        <f>1/(COUNT(SimData!$F$9:$F$108)-1)+$K$47</f>
        <v>0.38383838383838403</v>
      </c>
    </row>
    <row r="49" spans="1:11">
      <c r="A49">
        <v>41</v>
      </c>
      <c r="B49">
        <v>5138663.1165707828</v>
      </c>
      <c r="C49">
        <v>3533172.9797574948</v>
      </c>
      <c r="D49">
        <v>289365.57545443653</v>
      </c>
      <c r="E49">
        <v>176658.64898787474</v>
      </c>
      <c r="F49">
        <v>-147293.0735334382</v>
      </c>
      <c r="J49">
        <f>SMALL(SimData!$F$9:$F$108,40)</f>
        <v>28422.577568779467</v>
      </c>
      <c r="K49">
        <f>1/(COUNT(SimData!$F$9:$F$108)-1)+$K$48</f>
        <v>0.39393939393939414</v>
      </c>
    </row>
    <row r="50" spans="1:11">
      <c r="A50">
        <v>42</v>
      </c>
      <c r="B50">
        <v>5147399.2354033748</v>
      </c>
      <c r="C50">
        <v>4122243.02052233</v>
      </c>
      <c r="D50">
        <v>450536.56731883873</v>
      </c>
      <c r="E50">
        <v>206112.15102611651</v>
      </c>
      <c r="F50">
        <v>-15575.583707277779</v>
      </c>
      <c r="J50">
        <f>SMALL(SimData!$F$9:$F$108,41)</f>
        <v>33631.168500106898</v>
      </c>
      <c r="K50">
        <f>1/(COUNT(SimData!$F$9:$F$108)-1)+$K$49</f>
        <v>0.40404040404040426</v>
      </c>
    </row>
    <row r="51" spans="1:11">
      <c r="A51">
        <v>43</v>
      </c>
      <c r="B51">
        <v>5193082.4027509773</v>
      </c>
      <c r="C51">
        <v>2953950.2859553657</v>
      </c>
      <c r="D51">
        <v>389020.33326607605</v>
      </c>
      <c r="E51">
        <v>147697.5142977683</v>
      </c>
      <c r="F51">
        <v>-18677.181031692249</v>
      </c>
      <c r="J51">
        <f>SMALL(SimData!$F$9:$F$108,42)</f>
        <v>39392.823781804647</v>
      </c>
      <c r="K51">
        <f>1/(COUNT(SimData!$F$9:$F$108)-1)+$K$50</f>
        <v>0.41414141414141437</v>
      </c>
    </row>
    <row r="52" spans="1:11">
      <c r="A52">
        <v>44</v>
      </c>
      <c r="B52">
        <v>5647733.2692444501</v>
      </c>
      <c r="C52">
        <v>2878688.5000961432</v>
      </c>
      <c r="D52">
        <v>471637.02884875314</v>
      </c>
      <c r="E52">
        <v>143934.42500480716</v>
      </c>
      <c r="F52">
        <v>67702.60384394601</v>
      </c>
      <c r="J52">
        <f>SMALL(SimData!$F$9:$F$108,43)</f>
        <v>42852.363186973613</v>
      </c>
      <c r="K52">
        <f>1/(COUNT(SimData!$F$9:$F$108)-1)+$K$51</f>
        <v>0.42424242424242448</v>
      </c>
    </row>
    <row r="53" spans="1:11">
      <c r="A53">
        <v>45</v>
      </c>
      <c r="B53">
        <v>5606679.0192789044</v>
      </c>
      <c r="C53">
        <v>4032510.4839349557</v>
      </c>
      <c r="D53">
        <v>626509.24463224562</v>
      </c>
      <c r="E53">
        <v>201625.52419674781</v>
      </c>
      <c r="F53">
        <v>164883.72043549782</v>
      </c>
      <c r="J53">
        <f>SMALL(SimData!$F$9:$F$108,44)</f>
        <v>45951.517730648222</v>
      </c>
      <c r="K53">
        <f>1/(COUNT(SimData!$F$9:$F$108)-1)+$K$52</f>
        <v>0.43434343434343459</v>
      </c>
    </row>
    <row r="54" spans="1:11">
      <c r="A54">
        <v>46</v>
      </c>
      <c r="B54">
        <v>5682505.826456801</v>
      </c>
      <c r="C54">
        <v>3256142.3170269402</v>
      </c>
      <c r="D54">
        <v>548768.5201756059</v>
      </c>
      <c r="E54">
        <v>162807.11585134701</v>
      </c>
      <c r="F54">
        <v>125961.40432425891</v>
      </c>
      <c r="J54">
        <f>SMALL(SimData!$F$9:$F$108,45)</f>
        <v>51610.241378181032</v>
      </c>
      <c r="K54">
        <f>1/(COUNT(SimData!$F$9:$F$108)-1)+$K$53</f>
        <v>0.4444444444444447</v>
      </c>
    </row>
    <row r="55" spans="1:11">
      <c r="A55">
        <v>47</v>
      </c>
      <c r="B55">
        <v>5252478.8269375945</v>
      </c>
      <c r="C55">
        <v>2855881.3964754469</v>
      </c>
      <c r="D55">
        <v>430918.07955693128</v>
      </c>
      <c r="E55">
        <v>142794.06982377236</v>
      </c>
      <c r="F55">
        <v>28124.00973315892</v>
      </c>
      <c r="J55">
        <f>SMALL(SimData!$F$9:$F$108,46)</f>
        <v>55446.723526135378</v>
      </c>
      <c r="K55">
        <f>1/(COUNT(SimData!$F$9:$F$108)-1)+$K$54</f>
        <v>0.45454545454545481</v>
      </c>
    </row>
    <row r="56" spans="1:11">
      <c r="A56">
        <v>48</v>
      </c>
      <c r="B56">
        <v>4973121.8973956499</v>
      </c>
      <c r="C56">
        <v>4178578.8169781943</v>
      </c>
      <c r="D56">
        <v>750083.95052664494</v>
      </c>
      <c r="E56">
        <v>208928.94084890973</v>
      </c>
      <c r="F56">
        <v>281155.00967773516</v>
      </c>
      <c r="J56">
        <f>SMALL(SimData!$F$9:$F$108,47)</f>
        <v>57388.910044998222</v>
      </c>
      <c r="K56">
        <f>1/(COUNT(SimData!$F$9:$F$108)-1)+$K$55</f>
        <v>0.46464646464646492</v>
      </c>
    </row>
    <row r="57" spans="1:11">
      <c r="A57">
        <v>49</v>
      </c>
      <c r="B57">
        <v>4376159.5671074297</v>
      </c>
      <c r="C57">
        <v>2532913.3767977697</v>
      </c>
      <c r="D57">
        <v>300356.02948743891</v>
      </c>
      <c r="E57">
        <v>126645.66883988849</v>
      </c>
      <c r="F57">
        <v>-86289.639352449565</v>
      </c>
      <c r="J57">
        <f>SMALL(SimData!$F$9:$F$108,48)</f>
        <v>57766.016742099135</v>
      </c>
      <c r="K57">
        <f>1/(COUNT(SimData!$F$9:$F$108)-1)+$K$56</f>
        <v>0.47474747474747503</v>
      </c>
    </row>
    <row r="58" spans="1:11">
      <c r="A58">
        <v>50</v>
      </c>
      <c r="B58">
        <v>5114751.5518150274</v>
      </c>
      <c r="C58">
        <v>3545177.5331683685</v>
      </c>
      <c r="D58">
        <v>454832.19162348023</v>
      </c>
      <c r="E58">
        <v>177258.87665841845</v>
      </c>
      <c r="F58">
        <v>17573.314965061785</v>
      </c>
      <c r="J58">
        <f>SMALL(SimData!$F$9:$F$108,49)</f>
        <v>59378.240091072745</v>
      </c>
      <c r="K58">
        <f>1/(COUNT(SimData!$F$9:$F$108)-1)+$K$57</f>
        <v>0.48484848484848514</v>
      </c>
    </row>
    <row r="59" spans="1:11">
      <c r="A59">
        <v>51</v>
      </c>
      <c r="B59">
        <v>5119574.0914514018</v>
      </c>
      <c r="C59">
        <v>3327402.1724377754</v>
      </c>
      <c r="D59">
        <v>550507.60303216346</v>
      </c>
      <c r="E59">
        <v>166370.10862188879</v>
      </c>
      <c r="F59">
        <v>124137.49441027467</v>
      </c>
      <c r="J59">
        <f>SMALL(SimData!$F$9:$F$108,50)</f>
        <v>67702.60384394601</v>
      </c>
      <c r="K59">
        <f>1/(COUNT(SimData!$F$9:$F$108)-1)+$K$58</f>
        <v>0.49494949494949525</v>
      </c>
    </row>
    <row r="60" spans="1:11">
      <c r="A60">
        <v>52</v>
      </c>
      <c r="B60">
        <v>5244563.2753943261</v>
      </c>
      <c r="C60">
        <v>3271243.9026737432</v>
      </c>
      <c r="D60">
        <v>335226.67824959155</v>
      </c>
      <c r="E60">
        <v>163562.19513368717</v>
      </c>
      <c r="F60">
        <v>-88335.516884095618</v>
      </c>
      <c r="J60">
        <f>SMALL(SimData!$F$9:$F$108,51)</f>
        <v>68000.902419035556</v>
      </c>
      <c r="K60">
        <f>1/(COUNT(SimData!$F$9:$F$108)-1)+$K$59</f>
        <v>0.50505050505050531</v>
      </c>
    </row>
    <row r="61" spans="1:11">
      <c r="A61">
        <v>53</v>
      </c>
      <c r="B61">
        <v>5456466.61750005</v>
      </c>
      <c r="C61">
        <v>4007164.6939717415</v>
      </c>
      <c r="D61">
        <v>725478.01287913881</v>
      </c>
      <c r="E61">
        <v>200358.2346985871</v>
      </c>
      <c r="F61">
        <v>265119.77818055172</v>
      </c>
      <c r="J61">
        <f>SMALL(SimData!$F$9:$F$108,52)</f>
        <v>68394.577875134768</v>
      </c>
      <c r="K61">
        <f>1/(COUNT(SimData!$F$9:$F$108)-1)+$K$60</f>
        <v>0.51515151515151536</v>
      </c>
    </row>
    <row r="62" spans="1:11">
      <c r="A62">
        <v>54</v>
      </c>
      <c r="B62">
        <v>4766030.5705469763</v>
      </c>
      <c r="C62">
        <v>3357757.9135834686</v>
      </c>
      <c r="D62">
        <v>461519.06417928037</v>
      </c>
      <c r="E62">
        <v>167887.89567917344</v>
      </c>
      <c r="F62">
        <v>33631.168500106898</v>
      </c>
      <c r="J62">
        <f>SMALL(SimData!$F$9:$F$108,53)</f>
        <v>70653.389232678514</v>
      </c>
      <c r="K62">
        <f>1/(COUNT(SimData!$F$9:$F$108)-1)+$K$61</f>
        <v>0.52525252525252542</v>
      </c>
    </row>
    <row r="63" spans="1:11">
      <c r="A63">
        <v>55</v>
      </c>
      <c r="B63">
        <v>4972380.6679830542</v>
      </c>
      <c r="C63">
        <v>3460870.4736278192</v>
      </c>
      <c r="D63">
        <v>461466.10125017044</v>
      </c>
      <c r="E63">
        <v>173043.52368139097</v>
      </c>
      <c r="F63">
        <v>28422.577568779467</v>
      </c>
      <c r="J63">
        <f>SMALL(SimData!$F$9:$F$108,54)</f>
        <v>73995.781542562996</v>
      </c>
      <c r="K63">
        <f>1/(COUNT(SimData!$F$9:$F$108)-1)+$K$62</f>
        <v>0.53535353535353547</v>
      </c>
    </row>
    <row r="64" spans="1:11">
      <c r="A64">
        <v>56</v>
      </c>
      <c r="B64">
        <v>4615640.8336017681</v>
      </c>
      <c r="C64">
        <v>3244509.4392265542</v>
      </c>
      <c r="D64">
        <v>542000.40702549624</v>
      </c>
      <c r="E64">
        <v>162225.47196132771</v>
      </c>
      <c r="F64">
        <v>119774.93506416853</v>
      </c>
      <c r="J64">
        <f>SMALL(SimData!$F$9:$F$108,55)</f>
        <v>76141.615700767259</v>
      </c>
      <c r="K64">
        <f>1/(COUNT(SimData!$F$9:$F$108)-1)+$K$63</f>
        <v>0.54545454545454553</v>
      </c>
    </row>
    <row r="65" spans="1:11">
      <c r="A65">
        <v>57</v>
      </c>
      <c r="B65">
        <v>5414240.5840190668</v>
      </c>
      <c r="C65">
        <v>3042024.2057017572</v>
      </c>
      <c r="D65">
        <v>463711.4516632689</v>
      </c>
      <c r="E65">
        <v>152101.21028508787</v>
      </c>
      <c r="F65">
        <v>51610.241378181032</v>
      </c>
      <c r="J65">
        <f>SMALL(SimData!$F$9:$F$108,56)</f>
        <v>81112.772263415856</v>
      </c>
      <c r="K65">
        <f>1/(COUNT(SimData!$F$9:$F$108)-1)+$K$64</f>
        <v>0.55555555555555558</v>
      </c>
    </row>
    <row r="66" spans="1:11">
      <c r="A66">
        <v>58</v>
      </c>
      <c r="B66">
        <v>4211553.016527338</v>
      </c>
      <c r="C66">
        <v>3174203.8451826456</v>
      </c>
      <c r="D66">
        <v>437821.30011190003</v>
      </c>
      <c r="E66">
        <v>158710.19225913228</v>
      </c>
      <c r="F66">
        <v>19111.107852767745</v>
      </c>
      <c r="J66">
        <f>SMALL(SimData!$F$9:$F$108,57)</f>
        <v>86023.74166857393</v>
      </c>
      <c r="K66">
        <f>1/(COUNT(SimData!$F$9:$F$108)-1)+$K$65</f>
        <v>0.56565656565656564</v>
      </c>
    </row>
    <row r="67" spans="1:11">
      <c r="A67">
        <v>59</v>
      </c>
      <c r="B67">
        <v>4742765.0116024185</v>
      </c>
      <c r="C67">
        <v>2203346.4431360997</v>
      </c>
      <c r="D67">
        <v>324476.92462041852</v>
      </c>
      <c r="E67">
        <v>110167.32215680499</v>
      </c>
      <c r="F67">
        <v>-45690.397536386474</v>
      </c>
      <c r="J67">
        <f>SMALL(SimData!$F$9:$F$108,58)</f>
        <v>88390.751532504451</v>
      </c>
      <c r="K67">
        <f>1/(COUNT(SimData!$F$9:$F$108)-1)+$K$66</f>
        <v>0.57575757575757569</v>
      </c>
    </row>
    <row r="68" spans="1:11">
      <c r="A68">
        <v>60</v>
      </c>
      <c r="B68">
        <v>5785476.6815404231</v>
      </c>
      <c r="C68">
        <v>3511256.436847074</v>
      </c>
      <c r="D68">
        <v>607303.472051422</v>
      </c>
      <c r="E68">
        <v>175562.8218423537</v>
      </c>
      <c r="F68">
        <v>171740.65020906832</v>
      </c>
      <c r="J68">
        <f>SMALL(SimData!$F$9:$F$108,59)</f>
        <v>92695.323363394942</v>
      </c>
      <c r="K68">
        <f>1/(COUNT(SimData!$F$9:$F$108)-1)+$K$67</f>
        <v>0.58585858585858575</v>
      </c>
    </row>
    <row r="69" spans="1:11">
      <c r="A69">
        <v>61</v>
      </c>
      <c r="B69">
        <v>4610018.1609169869</v>
      </c>
      <c r="C69">
        <v>2813115.4956910699</v>
      </c>
      <c r="D69">
        <v>381167.71297971695</v>
      </c>
      <c r="E69">
        <v>140655.77478455351</v>
      </c>
      <c r="F69">
        <v>-19488.061804836558</v>
      </c>
      <c r="J69">
        <f>SMALL(SimData!$F$9:$F$108,60)</f>
        <v>93460.580106308684</v>
      </c>
      <c r="K69">
        <f>1/(COUNT(SimData!$F$9:$F$108)-1)+$K$68</f>
        <v>0.5959595959595958</v>
      </c>
    </row>
    <row r="70" spans="1:11">
      <c r="A70">
        <v>62</v>
      </c>
      <c r="B70">
        <v>5104151.4256951939</v>
      </c>
      <c r="C70">
        <v>4223805.649190045</v>
      </c>
      <c r="D70">
        <v>661571.5662204565</v>
      </c>
      <c r="E70">
        <v>211190.28245950225</v>
      </c>
      <c r="F70">
        <v>190381.28376095428</v>
      </c>
      <c r="J70">
        <f>SMALL(SimData!$F$9:$F$108,61)</f>
        <v>96512.633429615002</v>
      </c>
      <c r="K70">
        <f>1/(COUNT(SimData!$F$9:$F$108)-1)+$K$69</f>
        <v>0.60606060606060586</v>
      </c>
    </row>
    <row r="71" spans="1:11">
      <c r="A71">
        <v>63</v>
      </c>
      <c r="B71">
        <v>5943065.7639322784</v>
      </c>
      <c r="C71">
        <v>4360047.3266186798</v>
      </c>
      <c r="D71">
        <v>887376.34203512094</v>
      </c>
      <c r="E71">
        <v>218002.36633093399</v>
      </c>
      <c r="F71">
        <v>409373.97570418695</v>
      </c>
      <c r="J71">
        <f>SMALL(SimData!$F$9:$F$108,62)</f>
        <v>101944.25440447882</v>
      </c>
      <c r="K71">
        <f>1/(COUNT(SimData!$F$9:$F$108)-1)+$K$70</f>
        <v>0.61616161616161591</v>
      </c>
    </row>
    <row r="72" spans="1:11">
      <c r="A72">
        <v>64</v>
      </c>
      <c r="B72">
        <v>5167104.7714346433</v>
      </c>
      <c r="C72">
        <v>3692377.7662586262</v>
      </c>
      <c r="D72">
        <v>350320.13966274145</v>
      </c>
      <c r="E72">
        <v>184618.88831293132</v>
      </c>
      <c r="F72">
        <v>-94298.748650189867</v>
      </c>
      <c r="J72">
        <f>SMALL(SimData!$F$9:$F$108,63)</f>
        <v>104374.9176006933</v>
      </c>
      <c r="K72">
        <f>1/(COUNT(SimData!$F$9:$F$108)-1)+$K$71</f>
        <v>0.62626262626262597</v>
      </c>
    </row>
    <row r="73" spans="1:11">
      <c r="A73">
        <v>65</v>
      </c>
      <c r="B73">
        <v>5246727.6774733132</v>
      </c>
      <c r="C73">
        <v>3779113.880783848</v>
      </c>
      <c r="D73">
        <v>441541.62359527504</v>
      </c>
      <c r="E73">
        <v>188955.6940391924</v>
      </c>
      <c r="F73">
        <v>-7414.0704439173569</v>
      </c>
      <c r="J73">
        <f>SMALL(SimData!$F$9:$F$108,64)</f>
        <v>112510.15999471926</v>
      </c>
      <c r="K73">
        <f>1/(COUNT(SimData!$F$9:$F$108)-1)+$K$72</f>
        <v>0.63636363636363602</v>
      </c>
    </row>
    <row r="74" spans="1:11">
      <c r="A74">
        <v>66</v>
      </c>
      <c r="B74">
        <v>4676060.0852101175</v>
      </c>
      <c r="C74">
        <v>2932011.4523875178</v>
      </c>
      <c r="D74">
        <v>399810.66948937991</v>
      </c>
      <c r="E74">
        <v>146600.57261937589</v>
      </c>
      <c r="F74">
        <v>-6789.9031299959752</v>
      </c>
      <c r="J74">
        <f>SMALL(SimData!$F$9:$F$108,65)</f>
        <v>119774.93506416853</v>
      </c>
      <c r="K74">
        <f>1/(COUNT(SimData!$F$9:$F$108)-1)+$K$73</f>
        <v>0.64646464646464608</v>
      </c>
    </row>
    <row r="75" spans="1:11">
      <c r="A75">
        <v>67</v>
      </c>
      <c r="B75">
        <v>6087839.3892983161</v>
      </c>
      <c r="C75">
        <v>3381126.1591196619</v>
      </c>
      <c r="D75">
        <v>653163.15626861912</v>
      </c>
      <c r="E75">
        <v>169056.30795598309</v>
      </c>
      <c r="F75">
        <v>224106.84831263602</v>
      </c>
      <c r="J75">
        <f>SMALL(SimData!$F$9:$F$108,66)</f>
        <v>124137.49441027467</v>
      </c>
      <c r="K75">
        <f>1/(COUNT(SimData!$F$9:$F$108)-1)+$K$74</f>
        <v>0.65656565656565613</v>
      </c>
    </row>
    <row r="76" spans="1:11">
      <c r="A76">
        <v>68</v>
      </c>
      <c r="B76">
        <v>4110143.6942920052</v>
      </c>
      <c r="C76">
        <v>2776061.0609932891</v>
      </c>
      <c r="D76">
        <v>290644.55867078318</v>
      </c>
      <c r="E76">
        <v>138803.05304966445</v>
      </c>
      <c r="F76">
        <v>-108158.49437888127</v>
      </c>
      <c r="J76">
        <f>SMALL(SimData!$F$9:$F$108,67)</f>
        <v>125589.3959294532</v>
      </c>
      <c r="K76">
        <f>1/(COUNT(SimData!$F$9:$F$108)-1)+$K$75</f>
        <v>0.66666666666666619</v>
      </c>
    </row>
    <row r="77" spans="1:11">
      <c r="A77">
        <v>69</v>
      </c>
      <c r="B77">
        <v>5709281.4683309589</v>
      </c>
      <c r="C77">
        <v>3732986.9744224115</v>
      </c>
      <c r="D77">
        <v>753831.80323051009</v>
      </c>
      <c r="E77">
        <v>186649.34872112059</v>
      </c>
      <c r="F77">
        <v>307182.45450938947</v>
      </c>
      <c r="J77">
        <f>SMALL(SimData!$F$9:$F$108,68)</f>
        <v>125961.40432425891</v>
      </c>
      <c r="K77">
        <f>1/(COUNT(SimData!$F$9:$F$108)-1)+$K$76</f>
        <v>0.67676767676767624</v>
      </c>
    </row>
    <row r="78" spans="1:11">
      <c r="A78">
        <v>70</v>
      </c>
      <c r="B78">
        <v>5530297.511434095</v>
      </c>
      <c r="C78">
        <v>3770073.5296435882</v>
      </c>
      <c r="D78">
        <v>372706.84690014226</v>
      </c>
      <c r="E78">
        <v>188503.67648217943</v>
      </c>
      <c r="F78">
        <v>-75796.829582037171</v>
      </c>
      <c r="J78">
        <f>SMALL(SimData!$F$9:$F$108,69)</f>
        <v>127925.88885389641</v>
      </c>
      <c r="K78">
        <f>1/(COUNT(SimData!$F$9:$F$108)-1)+$K$77</f>
        <v>0.6868686868686863</v>
      </c>
    </row>
    <row r="79" spans="1:11">
      <c r="A79">
        <v>71</v>
      </c>
      <c r="B79">
        <v>5579941.2369917277</v>
      </c>
      <c r="C79">
        <v>4592172.8812893815</v>
      </c>
      <c r="D79">
        <v>687095.53903034434</v>
      </c>
      <c r="E79">
        <v>229608.64406446909</v>
      </c>
      <c r="F79">
        <v>197486.89496587525</v>
      </c>
      <c r="J79">
        <f>SMALL(SimData!$F$9:$F$108,70)</f>
        <v>128369.81474048877</v>
      </c>
      <c r="K79">
        <f>1/(COUNT(SimData!$F$9:$F$108)-1)+$K$78</f>
        <v>0.69696969696969635</v>
      </c>
    </row>
    <row r="80" spans="1:11">
      <c r="A80">
        <v>72</v>
      </c>
      <c r="B80">
        <v>4995154.804328192</v>
      </c>
      <c r="C80">
        <v>3144469.2071019062</v>
      </c>
      <c r="D80">
        <v>346409.18335495889</v>
      </c>
      <c r="E80">
        <v>157223.4603550953</v>
      </c>
      <c r="F80">
        <v>-70814.277000136412</v>
      </c>
      <c r="J80">
        <f>SMALL(SimData!$F$9:$F$108,71)</f>
        <v>133810.0737388577</v>
      </c>
      <c r="K80">
        <f>1/(COUNT(SimData!$F$9:$F$108)-1)+$K$79</f>
        <v>0.70707070707070641</v>
      </c>
    </row>
    <row r="81" spans="1:11">
      <c r="A81">
        <v>73</v>
      </c>
      <c r="B81">
        <v>5414167.2949813548</v>
      </c>
      <c r="C81">
        <v>2912559.7417651336</v>
      </c>
      <c r="D81">
        <v>423646.29074918083</v>
      </c>
      <c r="E81">
        <v>145627.98708825669</v>
      </c>
      <c r="F81">
        <v>18018.303660924139</v>
      </c>
      <c r="J81">
        <f>SMALL(SimData!$F$9:$F$108,72)</f>
        <v>142187.41125293041</v>
      </c>
      <c r="K81">
        <f>1/(COUNT(SimData!$F$9:$F$108)-1)+$K$80</f>
        <v>0.71717171717171646</v>
      </c>
    </row>
    <row r="82" spans="1:11">
      <c r="A82">
        <v>74</v>
      </c>
      <c r="B82">
        <v>5473220.7861947091</v>
      </c>
      <c r="C82">
        <v>4228192.9842855493</v>
      </c>
      <c r="D82">
        <v>484315.87332793226</v>
      </c>
      <c r="E82">
        <v>211409.64921427748</v>
      </c>
      <c r="F82">
        <v>12906.224113654811</v>
      </c>
      <c r="J82">
        <f>SMALL(SimData!$F$9:$F$108,73)</f>
        <v>144012.34766758839</v>
      </c>
      <c r="K82">
        <f>1/(COUNT(SimData!$F$9:$F$108)-1)+$K$81</f>
        <v>0.72727272727272652</v>
      </c>
    </row>
    <row r="83" spans="1:11">
      <c r="A83">
        <v>75</v>
      </c>
      <c r="B83">
        <v>4473841.4931300981</v>
      </c>
      <c r="C83">
        <v>3384704.2523603262</v>
      </c>
      <c r="D83">
        <v>488613.45270908909</v>
      </c>
      <c r="E83">
        <v>169235.21261801632</v>
      </c>
      <c r="F83">
        <v>59378.240091072745</v>
      </c>
      <c r="J83">
        <f>SMALL(SimData!$F$9:$F$108,74)</f>
        <v>149249.0415235408</v>
      </c>
      <c r="K83">
        <f>1/(COUNT(SimData!$F$9:$F$108)-1)+$K$82</f>
        <v>0.73737373737373657</v>
      </c>
    </row>
    <row r="84" spans="1:11">
      <c r="A84">
        <v>76</v>
      </c>
      <c r="B84">
        <v>4766364.8748566564</v>
      </c>
      <c r="C84">
        <v>2631441.5255162823</v>
      </c>
      <c r="D84">
        <v>396377.95269225771</v>
      </c>
      <c r="E84">
        <v>131572.07627581412</v>
      </c>
      <c r="F84">
        <v>4805.8764164436143</v>
      </c>
      <c r="J84">
        <f>SMALL(SimData!$F$9:$F$108,75)</f>
        <v>153033.85544900852</v>
      </c>
      <c r="K84">
        <f>1/(COUNT(SimData!$F$9:$F$108)-1)+$K$83</f>
        <v>0.74747474747474663</v>
      </c>
    </row>
    <row r="85" spans="1:11">
      <c r="A85">
        <v>77</v>
      </c>
      <c r="B85">
        <v>5666415.229337831</v>
      </c>
      <c r="C85">
        <v>3968836.1873697173</v>
      </c>
      <c r="D85">
        <v>704824.32707530819</v>
      </c>
      <c r="E85">
        <v>198441.80936848588</v>
      </c>
      <c r="F85">
        <v>246382.51770682231</v>
      </c>
      <c r="J85">
        <f>SMALL(SimData!$F$9:$F$108,76)</f>
        <v>162849.07241476199</v>
      </c>
      <c r="K85">
        <f>1/(COUNT(SimData!$F$9:$F$108)-1)+$K$84</f>
        <v>0.75757575757575668</v>
      </c>
    </row>
    <row r="86" spans="1:11">
      <c r="A86">
        <v>78</v>
      </c>
      <c r="B86">
        <v>4636440.2062039627</v>
      </c>
      <c r="C86">
        <v>2765905.8704548245</v>
      </c>
      <c r="D86">
        <v>444246.81125338946</v>
      </c>
      <c r="E86">
        <v>138295.29352274124</v>
      </c>
      <c r="F86">
        <v>45951.517730648222</v>
      </c>
      <c r="J86">
        <f>SMALL(SimData!$F$9:$F$108,77)</f>
        <v>164883.72043549782</v>
      </c>
      <c r="K86">
        <f>1/(COUNT(SimData!$F$9:$F$108)-1)+$K$85</f>
        <v>0.76767676767676674</v>
      </c>
    </row>
    <row r="87" spans="1:11">
      <c r="A87">
        <v>79</v>
      </c>
      <c r="B87">
        <v>5047922.7920130799</v>
      </c>
      <c r="C87">
        <v>3200557.2625613827</v>
      </c>
      <c r="D87">
        <v>699247.71891795134</v>
      </c>
      <c r="E87">
        <v>160027.86312806915</v>
      </c>
      <c r="F87">
        <v>279219.85578988213</v>
      </c>
      <c r="J87">
        <f>SMALL(SimData!$F$9:$F$108,78)</f>
        <v>166689.4765059544</v>
      </c>
      <c r="K87">
        <f>1/(COUNT(SimData!$F$9:$F$108)-1)+$K$86</f>
        <v>0.77777777777777679</v>
      </c>
    </row>
    <row r="88" spans="1:11">
      <c r="A88">
        <v>80</v>
      </c>
      <c r="B88">
        <v>4734166.6245717574</v>
      </c>
      <c r="C88">
        <v>2944812.4671118748</v>
      </c>
      <c r="D88">
        <v>357689.72106610652</v>
      </c>
      <c r="E88">
        <v>147240.62335559374</v>
      </c>
      <c r="F88">
        <v>-49550.902289487218</v>
      </c>
      <c r="J88">
        <f>SMALL(SimData!$F$9:$F$108,79)</f>
        <v>171740.65020906832</v>
      </c>
      <c r="K88">
        <f>1/(COUNT(SimData!$F$9:$F$108)-1)+$K$87</f>
        <v>0.78787878787878685</v>
      </c>
    </row>
    <row r="89" spans="1:11">
      <c r="A89">
        <v>81</v>
      </c>
      <c r="B89">
        <v>4812747.3631804902</v>
      </c>
      <c r="C89">
        <v>4188865.0596300759</v>
      </c>
      <c r="D89">
        <v>543439.03452406684</v>
      </c>
      <c r="E89">
        <v>209443.25298150381</v>
      </c>
      <c r="F89">
        <v>73995.781542562996</v>
      </c>
      <c r="J89">
        <f>SMALL(SimData!$F$9:$F$108,80)</f>
        <v>179753.37145094096</v>
      </c>
      <c r="K89">
        <f>1/(COUNT(SimData!$F$9:$F$108)-1)+$K$88</f>
        <v>0.7979797979797969</v>
      </c>
    </row>
    <row r="90" spans="1:11">
      <c r="A90">
        <v>82</v>
      </c>
      <c r="B90">
        <v>4521794.9352507731</v>
      </c>
      <c r="C90">
        <v>2936535.0831452855</v>
      </c>
      <c r="D90">
        <v>411630.14147123159</v>
      </c>
      <c r="E90">
        <v>146826.75415726428</v>
      </c>
      <c r="F90">
        <v>4803.3873139673378</v>
      </c>
      <c r="J90">
        <f>SMALL(SimData!$F$9:$F$108,81)</f>
        <v>190381.28376095428</v>
      </c>
      <c r="K90">
        <f>1/(COUNT(SimData!$F$9:$F$108)-1)+$K$89</f>
        <v>0.80808080808080696</v>
      </c>
    </row>
    <row r="91" spans="1:11">
      <c r="A91">
        <v>83</v>
      </c>
      <c r="B91">
        <v>5491107.0229133107</v>
      </c>
      <c r="C91">
        <v>4356567.8995240713</v>
      </c>
      <c r="D91">
        <v>806630.43074386986</v>
      </c>
      <c r="E91">
        <v>217828.39497620356</v>
      </c>
      <c r="F91">
        <v>328802.0357676663</v>
      </c>
      <c r="J91">
        <f>SMALL(SimData!$F$9:$F$108,82)</f>
        <v>190860.1155345763</v>
      </c>
      <c r="K91">
        <f>1/(COUNT(SimData!$F$9:$F$108)-1)+$K$90</f>
        <v>0.81818181818181701</v>
      </c>
    </row>
    <row r="92" spans="1:11">
      <c r="A92">
        <v>84</v>
      </c>
      <c r="B92">
        <v>4820020.7809835942</v>
      </c>
      <c r="C92">
        <v>3099882.5832735328</v>
      </c>
      <c r="D92">
        <v>684480.9633100389</v>
      </c>
      <c r="E92">
        <v>154994.12916367664</v>
      </c>
      <c r="F92">
        <v>269486.83414636226</v>
      </c>
      <c r="J92">
        <f>SMALL(SimData!$F$9:$F$108,83)</f>
        <v>197486.89496587525</v>
      </c>
      <c r="K92">
        <f>1/(COUNT(SimData!$F$9:$F$108)-1)+$K$91</f>
        <v>0.82828282828282707</v>
      </c>
    </row>
    <row r="93" spans="1:11">
      <c r="A93">
        <v>85</v>
      </c>
      <c r="B93">
        <v>5026940.6724826405</v>
      </c>
      <c r="C93">
        <v>2945921.0341948434</v>
      </c>
      <c r="D93">
        <v>549483.46296267258</v>
      </c>
      <c r="E93">
        <v>147296.05170974217</v>
      </c>
      <c r="F93">
        <v>142187.41125293041</v>
      </c>
      <c r="J93">
        <f>SMALL(SimData!$F$9:$F$108,84)</f>
        <v>197810.53327038302</v>
      </c>
      <c r="K93">
        <f>1/(COUNT(SimData!$F$9:$F$108)-1)+$K$92</f>
        <v>0.83838383838383712</v>
      </c>
    </row>
    <row r="94" spans="1:11">
      <c r="A94">
        <v>86</v>
      </c>
      <c r="B94">
        <v>5350747.4952573786</v>
      </c>
      <c r="C94">
        <v>3901294.8824286172</v>
      </c>
      <c r="D94">
        <v>599077.09178901929</v>
      </c>
      <c r="E94">
        <v>195064.74412143088</v>
      </c>
      <c r="F94">
        <v>144012.34766758839</v>
      </c>
      <c r="J94">
        <f>SMALL(SimData!$F$9:$F$108,85)</f>
        <v>200901.74771817122</v>
      </c>
      <c r="K94">
        <f>1/(COUNT(SimData!$F$9:$F$108)-1)+$K$93</f>
        <v>0.84848484848484718</v>
      </c>
    </row>
    <row r="95" spans="1:11">
      <c r="A95">
        <v>87</v>
      </c>
      <c r="B95">
        <v>4992752.5395872993</v>
      </c>
      <c r="C95">
        <v>3896887.4941781438</v>
      </c>
      <c r="D95">
        <v>540868.11637748114</v>
      </c>
      <c r="E95">
        <v>194844.37470890721</v>
      </c>
      <c r="F95">
        <v>86023.74166857393</v>
      </c>
      <c r="J95">
        <f>SMALL(SimData!$F$9:$F$108,86)</f>
        <v>214443.06080953375</v>
      </c>
      <c r="K95">
        <f>1/(COUNT(SimData!$F$9:$F$108)-1)+$K$94</f>
        <v>0.85858585858585723</v>
      </c>
    </row>
    <row r="96" spans="1:11">
      <c r="A96">
        <v>88</v>
      </c>
      <c r="B96">
        <v>5231363.0753207617</v>
      </c>
      <c r="C96">
        <v>3443112.7357498892</v>
      </c>
      <c r="D96">
        <v>487602.36031362985</v>
      </c>
      <c r="E96">
        <v>172155.63678749447</v>
      </c>
      <c r="F96">
        <v>55446.723526135378</v>
      </c>
      <c r="J96">
        <f>SMALL(SimData!$F$9:$F$108,87)</f>
        <v>224106.84831263602</v>
      </c>
      <c r="K96">
        <f>1/(COUNT(SimData!$F$9:$F$108)-1)+$K$95</f>
        <v>0.86868686868686729</v>
      </c>
    </row>
    <row r="97" spans="1:11">
      <c r="A97">
        <v>89</v>
      </c>
      <c r="B97">
        <v>5408485.5136180343</v>
      </c>
      <c r="C97">
        <v>3618454.6782712992</v>
      </c>
      <c r="D97">
        <v>607612.21041951934</v>
      </c>
      <c r="E97">
        <v>180922.73391356497</v>
      </c>
      <c r="F97">
        <v>166689.4765059544</v>
      </c>
      <c r="J97">
        <f>SMALL(SimData!$F$9:$F$108,88)</f>
        <v>236744.42180408951</v>
      </c>
      <c r="K97">
        <f>1/(COUNT(SimData!$F$9:$F$108)-1)+$K$96</f>
        <v>0.87878787878787734</v>
      </c>
    </row>
    <row r="98" spans="1:11">
      <c r="A98">
        <v>90</v>
      </c>
      <c r="B98">
        <v>5599570.7245145757</v>
      </c>
      <c r="C98">
        <v>4141769.6365635791</v>
      </c>
      <c r="D98">
        <v>543230.09752894624</v>
      </c>
      <c r="E98">
        <v>207088.48182817898</v>
      </c>
      <c r="F98">
        <v>76141.615700767259</v>
      </c>
      <c r="J98">
        <f>SMALL(SimData!$F$9:$F$108,89)</f>
        <v>237136.5210258828</v>
      </c>
      <c r="K98">
        <f>1/(COUNT(SimData!$F$9:$F$108)-1)+$K$97</f>
        <v>0.8888888888888874</v>
      </c>
    </row>
    <row r="99" spans="1:11">
      <c r="A99">
        <v>91</v>
      </c>
      <c r="B99">
        <v>4459969.9810546888</v>
      </c>
      <c r="C99">
        <v>3795214.8995924243</v>
      </c>
      <c r="D99">
        <v>629514.11643056222</v>
      </c>
      <c r="E99">
        <v>189760.74497962123</v>
      </c>
      <c r="F99">
        <v>179753.37145094096</v>
      </c>
      <c r="J99">
        <f>SMALL(SimData!$F$9:$F$108,90)</f>
        <v>240374.02740135335</v>
      </c>
      <c r="K99">
        <f>1/(COUNT(SimData!$F$9:$F$108)-1)+$K$98</f>
        <v>0.89898989898989745</v>
      </c>
    </row>
    <row r="100" spans="1:11">
      <c r="A100">
        <v>92</v>
      </c>
      <c r="B100">
        <v>4867229.8079089699</v>
      </c>
      <c r="C100">
        <v>3107233.9231102588</v>
      </c>
      <c r="D100">
        <v>652498.21718139574</v>
      </c>
      <c r="E100">
        <v>155361.69615551294</v>
      </c>
      <c r="F100">
        <v>237136.5210258828</v>
      </c>
      <c r="J100">
        <f>SMALL(SimData!$F$9:$F$108,91)</f>
        <v>246382.51770682231</v>
      </c>
      <c r="K100">
        <f>1/(COUNT(SimData!$F$9:$F$108)-1)+$K$99</f>
        <v>0.90909090909090751</v>
      </c>
    </row>
    <row r="101" spans="1:11">
      <c r="A101">
        <v>93</v>
      </c>
      <c r="B101">
        <v>5191806.2824320644</v>
      </c>
      <c r="C101">
        <v>4649422.1482751155</v>
      </c>
      <c r="D101">
        <v>729215.52921784529</v>
      </c>
      <c r="E101">
        <v>232471.10741375579</v>
      </c>
      <c r="F101">
        <v>236744.42180408951</v>
      </c>
      <c r="J101">
        <f>SMALL(SimData!$F$9:$F$108,92)</f>
        <v>258467.37013351591</v>
      </c>
      <c r="K101">
        <f>1/(COUNT(SimData!$F$9:$F$108)-1)+$K$100</f>
        <v>0.91919191919191756</v>
      </c>
    </row>
    <row r="102" spans="1:11">
      <c r="A102">
        <v>94</v>
      </c>
      <c r="B102">
        <v>4762088.8573970962</v>
      </c>
      <c r="C102">
        <v>3280426.7418556861</v>
      </c>
      <c r="D102">
        <v>577055.19254179287</v>
      </c>
      <c r="E102">
        <v>164021.33709278432</v>
      </c>
      <c r="F102">
        <v>153033.85544900852</v>
      </c>
      <c r="J102">
        <f>SMALL(SimData!$F$9:$F$108,93)</f>
        <v>265119.77818055172</v>
      </c>
      <c r="K102">
        <f>1/(COUNT(SimData!$F$9:$F$108)-1)+$K$101</f>
        <v>0.92929292929292762</v>
      </c>
    </row>
    <row r="103" spans="1:11">
      <c r="A103">
        <v>95</v>
      </c>
      <c r="B103">
        <v>5369003.7482664343</v>
      </c>
      <c r="C103">
        <v>3599745.7356973998</v>
      </c>
      <c r="D103">
        <v>433202.65970420162</v>
      </c>
      <c r="E103">
        <v>179987.28678487</v>
      </c>
      <c r="F103">
        <v>-6784.6270806683751</v>
      </c>
      <c r="J103">
        <f>SMALL(SimData!$F$9:$F$108,94)</f>
        <v>269486.83414636226</v>
      </c>
      <c r="K103">
        <f>1/(COUNT(SimData!$F$9:$F$108)-1)+$K$102</f>
        <v>0.93939393939393767</v>
      </c>
    </row>
    <row r="104" spans="1:11">
      <c r="A104">
        <v>96</v>
      </c>
      <c r="B104">
        <v>5317629.7216450777</v>
      </c>
      <c r="C104">
        <v>3859057.4304251359</v>
      </c>
      <c r="D104">
        <v>586762.9452601145</v>
      </c>
      <c r="E104">
        <v>192952.87152125681</v>
      </c>
      <c r="F104">
        <v>133810.0737388577</v>
      </c>
      <c r="J104">
        <f>SMALL(SimData!$F$9:$F$108,95)</f>
        <v>279219.85578988213</v>
      </c>
      <c r="K104">
        <f>1/(COUNT(SimData!$F$9:$F$108)-1)+$K$103</f>
        <v>0.94949494949494773</v>
      </c>
    </row>
    <row r="105" spans="1:11">
      <c r="A105">
        <v>97</v>
      </c>
      <c r="B105">
        <v>3878329.1152677294</v>
      </c>
      <c r="C105">
        <v>2029119.8664810893</v>
      </c>
      <c r="D105">
        <v>288426.76370354882</v>
      </c>
      <c r="E105">
        <v>101455.99332405446</v>
      </c>
      <c r="F105">
        <v>-73029.229620505648</v>
      </c>
      <c r="J105">
        <f>SMALL(SimData!$F$9:$F$108,96)</f>
        <v>281155.00967773516</v>
      </c>
      <c r="K105">
        <f>1/(COUNT(SimData!$F$9:$F$108)-1)+$K$104</f>
        <v>0.95959595959595778</v>
      </c>
    </row>
    <row r="106" spans="1:11">
      <c r="A106">
        <v>98</v>
      </c>
      <c r="B106">
        <v>4307590.0985557241</v>
      </c>
      <c r="C106">
        <v>2599080.5279296497</v>
      </c>
      <c r="D106">
        <v>400114.52406647458</v>
      </c>
      <c r="E106">
        <v>129954.02639648248</v>
      </c>
      <c r="F106">
        <v>10160.497669992095</v>
      </c>
      <c r="J106">
        <f>SMALL(SimData!$F$9:$F$108,97)</f>
        <v>306325.65565371164</v>
      </c>
      <c r="K106">
        <f>1/(COUNT(SimData!$F$9:$F$108)-1)+$K$105</f>
        <v>0.96969696969696784</v>
      </c>
    </row>
    <row r="107" spans="1:11">
      <c r="A107">
        <v>99</v>
      </c>
      <c r="B107">
        <v>5829853.1782588046</v>
      </c>
      <c r="C107">
        <v>3928499.4402452158</v>
      </c>
      <c r="D107">
        <v>584794.78675274958</v>
      </c>
      <c r="E107">
        <v>196424.97201226081</v>
      </c>
      <c r="F107">
        <v>128369.81474048877</v>
      </c>
      <c r="J107">
        <f>SMALL(SimData!$F$9:$F$108,98)</f>
        <v>307182.45450938947</v>
      </c>
      <c r="K107">
        <f>1/(COUNT(SimData!$F$9:$F$108)-1)+$K$106</f>
        <v>0.97979797979797789</v>
      </c>
    </row>
    <row r="108" spans="1:11">
      <c r="A108">
        <v>100</v>
      </c>
      <c r="B108">
        <v>5813958.3879204132</v>
      </c>
      <c r="C108">
        <v>4566966.6659972286</v>
      </c>
      <c r="D108">
        <v>794673.98895357305</v>
      </c>
      <c r="E108">
        <v>228348.33329986144</v>
      </c>
      <c r="F108">
        <v>306325.65565371164</v>
      </c>
      <c r="J108">
        <f>SMALL(SimData!$F$9:$F$108,99)</f>
        <v>328802.0357676663</v>
      </c>
      <c r="K108">
        <f>1/(COUNT(SimData!$F$9:$F$108)-1)+$K$107</f>
        <v>0.98989898989898795</v>
      </c>
    </row>
    <row r="109" spans="1:11">
      <c r="J109">
        <f>SMALL(SimData!$F$9:$F$108,100)</f>
        <v>409373.97570418695</v>
      </c>
      <c r="K109">
        <f>1/(COUNT(SimData!$F$9:$F$108)-1)+$K$108</f>
        <v>0.999999999999998</v>
      </c>
    </row>
    <row r="110" spans="1:11">
      <c r="A110" t="s">
        <v>43</v>
      </c>
    </row>
    <row r="111" spans="1:11">
      <c r="A111" t="s">
        <v>44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</row>
    <row r="112" spans="1:11">
      <c r="A112" t="s">
        <v>45</v>
      </c>
    </row>
    <row r="113" spans="1:6">
      <c r="A113" t="s">
        <v>46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</row>
    <row r="114" spans="1:6">
      <c r="A114" t="s">
        <v>47</v>
      </c>
    </row>
    <row r="115" spans="1:6">
      <c r="A115" t="s">
        <v>48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</row>
    <row r="116" spans="1:6">
      <c r="A116" t="s">
        <v>49</v>
      </c>
    </row>
    <row r="117" spans="1:6">
      <c r="A117" t="s">
        <v>50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</row>
    <row r="118" spans="1:6">
      <c r="A118" t="s">
        <v>51</v>
      </c>
    </row>
    <row r="119" spans="1:6">
      <c r="A119" t="s">
        <v>52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</row>
  </sheetData>
  <sheetCalcPr fullCalcOnLoad="1"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SimData</vt:lpstr>
      <vt:lpstr>Sheet1!Print_Area</vt:lpstr>
    </vt:vector>
  </TitlesOfParts>
  <Company>Texas A&amp;M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2000-08-05T17:13:14Z</cp:lastPrinted>
  <dcterms:created xsi:type="dcterms:W3CDTF">1999-02-04T03:32:15Z</dcterms:created>
  <dcterms:modified xsi:type="dcterms:W3CDTF">2011-02-07T03:56:32Z</dcterms:modified>
</cp:coreProperties>
</file>