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6030"/>
  </bookViews>
  <sheets>
    <sheet name="Model" sheetId="1" r:id="rId1"/>
    <sheet name="SimData" sheetId="8" r:id="rId2"/>
    <sheet name="Stoch" sheetId="2" r:id="rId3"/>
    <sheet name="Sheet5" sheetId="5" r:id="rId4"/>
    <sheet name="Budgets" sheetId="6" r:id="rId5"/>
  </sheets>
  <definedNames>
    <definedName name="_xlnm.Print_Area" localSheetId="4">Budgets!$B$4:$G$31</definedName>
    <definedName name="_xlnm.Print_Area" localSheetId="0">Model!$A$1:$H$274</definedName>
    <definedName name="_xlnm.Print_Area" localSheetId="2">Stoch!$A$1:$T$319</definedName>
  </definedNames>
  <calcPr calcId="125725"/>
</workbook>
</file>

<file path=xl/calcChain.xml><?xml version="1.0" encoding="utf-8"?>
<calcChain xmlns="http://schemas.openxmlformats.org/spreadsheetml/2006/main">
  <c r="F119" i="8"/>
  <c r="F117"/>
  <c r="F115"/>
  <c r="F113"/>
  <c r="F111"/>
  <c r="F8"/>
  <c r="F7"/>
  <c r="F6"/>
  <c r="F4"/>
  <c r="F3"/>
  <c r="F5" s="1"/>
  <c r="E119"/>
  <c r="E117"/>
  <c r="E115"/>
  <c r="E113"/>
  <c r="E111"/>
  <c r="E8"/>
  <c r="E7"/>
  <c r="E6"/>
  <c r="E4"/>
  <c r="E3"/>
  <c r="E5" s="1"/>
  <c r="D119"/>
  <c r="D117"/>
  <c r="D115"/>
  <c r="D113"/>
  <c r="D111"/>
  <c r="D8"/>
  <c r="D7"/>
  <c r="D6"/>
  <c r="D4"/>
  <c r="D3"/>
  <c r="D5"/>
  <c r="C119"/>
  <c r="C117"/>
  <c r="C115"/>
  <c r="C113"/>
  <c r="C111"/>
  <c r="C8"/>
  <c r="C7"/>
  <c r="C6"/>
  <c r="C4"/>
  <c r="C3"/>
  <c r="C5" s="1"/>
  <c r="B119"/>
  <c r="B117"/>
  <c r="B115"/>
  <c r="B113"/>
  <c r="B111"/>
  <c r="B8"/>
  <c r="B7"/>
  <c r="B6"/>
  <c r="B4"/>
  <c r="B3"/>
  <c r="B5" s="1"/>
  <c r="G10" i="1"/>
  <c r="G9"/>
  <c r="D56" i="5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C307" i="2"/>
  <c r="C306"/>
  <c r="C305"/>
  <c r="C304"/>
  <c r="C303"/>
  <c r="A318"/>
  <c r="A317"/>
  <c r="A316"/>
  <c r="A315"/>
  <c r="C272"/>
  <c r="C271"/>
  <c r="C270"/>
  <c r="C269"/>
  <c r="C268"/>
  <c r="A314"/>
  <c r="C265"/>
  <c r="C264"/>
  <c r="C263"/>
  <c r="C262"/>
  <c r="C261"/>
  <c r="A313"/>
  <c r="C251"/>
  <c r="C250"/>
  <c r="C249"/>
  <c r="C256" s="1"/>
  <c r="C248"/>
  <c r="C255" s="1"/>
  <c r="C247"/>
  <c r="A312"/>
  <c r="A311"/>
  <c r="I307"/>
  <c r="F37"/>
  <c r="B28"/>
  <c r="C28"/>
  <c r="B29"/>
  <c r="C29"/>
  <c r="D29"/>
  <c r="E29" s="1"/>
  <c r="B30"/>
  <c r="C30"/>
  <c r="D30" s="1"/>
  <c r="E30" s="1"/>
  <c r="B31"/>
  <c r="C31"/>
  <c r="D31" s="1"/>
  <c r="E31" s="1"/>
  <c r="B32"/>
  <c r="C32"/>
  <c r="D32" s="1"/>
  <c r="E32" s="1"/>
  <c r="B33"/>
  <c r="C33"/>
  <c r="D33"/>
  <c r="E33" s="1"/>
  <c r="B34"/>
  <c r="C34"/>
  <c r="D34" s="1"/>
  <c r="E34" s="1"/>
  <c r="B35"/>
  <c r="C35"/>
  <c r="D35" s="1"/>
  <c r="E35" s="1"/>
  <c r="B36"/>
  <c r="C36"/>
  <c r="D36" s="1"/>
  <c r="E36" s="1"/>
  <c r="B37"/>
  <c r="C37"/>
  <c r="D37"/>
  <c r="E37" s="1"/>
  <c r="F28"/>
  <c r="I306"/>
  <c r="I305"/>
  <c r="J4"/>
  <c r="B202" s="1"/>
  <c r="A86"/>
  <c r="A100" s="1"/>
  <c r="J5"/>
  <c r="B203"/>
  <c r="A87"/>
  <c r="J6"/>
  <c r="B204"/>
  <c r="A88"/>
  <c r="A102" s="1"/>
  <c r="A116" s="1"/>
  <c r="J7"/>
  <c r="B205" s="1"/>
  <c r="A89"/>
  <c r="A103"/>
  <c r="A117"/>
  <c r="J8"/>
  <c r="B206" s="1"/>
  <c r="A90"/>
  <c r="A104" s="1"/>
  <c r="J9"/>
  <c r="B207"/>
  <c r="A91"/>
  <c r="J10"/>
  <c r="B208" s="1"/>
  <c r="A92"/>
  <c r="A106" s="1"/>
  <c r="A120"/>
  <c r="J11"/>
  <c r="B209" s="1"/>
  <c r="A93"/>
  <c r="A107"/>
  <c r="A121" s="1"/>
  <c r="J12"/>
  <c r="B210" s="1"/>
  <c r="A94"/>
  <c r="A108" s="1"/>
  <c r="J13"/>
  <c r="B211"/>
  <c r="A95"/>
  <c r="C300"/>
  <c r="G300"/>
  <c r="B286"/>
  <c r="B293" s="1"/>
  <c r="B300" s="1"/>
  <c r="C299"/>
  <c r="G299" s="1"/>
  <c r="B285"/>
  <c r="B292"/>
  <c r="B299"/>
  <c r="C298"/>
  <c r="G298"/>
  <c r="B284"/>
  <c r="B291" s="1"/>
  <c r="B298" s="1"/>
  <c r="C297"/>
  <c r="G297" s="1"/>
  <c r="B283"/>
  <c r="B290"/>
  <c r="B297"/>
  <c r="C296"/>
  <c r="G296"/>
  <c r="B282"/>
  <c r="B289" s="1"/>
  <c r="B296" s="1"/>
  <c r="B188"/>
  <c r="N190"/>
  <c r="N191"/>
  <c r="B189"/>
  <c r="B190"/>
  <c r="B191"/>
  <c r="B192"/>
  <c r="B193"/>
  <c r="B194"/>
  <c r="B195"/>
  <c r="B196"/>
  <c r="B197"/>
  <c r="C293"/>
  <c r="G293" s="1"/>
  <c r="C292"/>
  <c r="G292" s="1"/>
  <c r="C291"/>
  <c r="G291"/>
  <c r="C290"/>
  <c r="G290" s="1"/>
  <c r="C289"/>
  <c r="G289" s="1"/>
  <c r="B174"/>
  <c r="B175"/>
  <c r="B176"/>
  <c r="B177"/>
  <c r="B178"/>
  <c r="B179"/>
  <c r="B180"/>
  <c r="B181"/>
  <c r="B182"/>
  <c r="B183"/>
  <c r="C286"/>
  <c r="G286" s="1"/>
  <c r="C285"/>
  <c r="G285" s="1"/>
  <c r="C284"/>
  <c r="G284"/>
  <c r="C283"/>
  <c r="G283"/>
  <c r="C282"/>
  <c r="G282" s="1"/>
  <c r="B160"/>
  <c r="B161"/>
  <c r="B162"/>
  <c r="B163"/>
  <c r="B164"/>
  <c r="B165"/>
  <c r="B166"/>
  <c r="B167"/>
  <c r="B168"/>
  <c r="B169"/>
  <c r="C279"/>
  <c r="G279"/>
  <c r="C278"/>
  <c r="G278" s="1"/>
  <c r="C277"/>
  <c r="C276"/>
  <c r="G276" s="1"/>
  <c r="C275"/>
  <c r="G275"/>
  <c r="C258"/>
  <c r="C257"/>
  <c r="C254"/>
  <c r="D48" i="1" s="1"/>
  <c r="B242" i="2"/>
  <c r="A242"/>
  <c r="B239"/>
  <c r="A239"/>
  <c r="G225"/>
  <c r="G229"/>
  <c r="G233" s="1"/>
  <c r="G237" s="1"/>
  <c r="P224"/>
  <c r="T228" s="1"/>
  <c r="X232" s="1"/>
  <c r="AB236" s="1"/>
  <c r="G224"/>
  <c r="G228" s="1"/>
  <c r="G232"/>
  <c r="G236" s="1"/>
  <c r="B236"/>
  <c r="A236"/>
  <c r="G223"/>
  <c r="G227" s="1"/>
  <c r="G231" s="1"/>
  <c r="G235" s="1"/>
  <c r="G222"/>
  <c r="G226" s="1"/>
  <c r="G230" s="1"/>
  <c r="G234" s="1"/>
  <c r="B233"/>
  <c r="A233"/>
  <c r="A169"/>
  <c r="A183" s="1"/>
  <c r="A197" s="1"/>
  <c r="A211" s="1"/>
  <c r="A227" s="1"/>
  <c r="A168"/>
  <c r="A182"/>
  <c r="A196" s="1"/>
  <c r="A210" s="1"/>
  <c r="A226" s="1"/>
  <c r="A167"/>
  <c r="A181" s="1"/>
  <c r="A195" s="1"/>
  <c r="A209" s="1"/>
  <c r="A225" s="1"/>
  <c r="A166"/>
  <c r="A180"/>
  <c r="A194" s="1"/>
  <c r="A208" s="1"/>
  <c r="A224" s="1"/>
  <c r="A165"/>
  <c r="A179" s="1"/>
  <c r="A193" s="1"/>
  <c r="A207" s="1"/>
  <c r="A223" s="1"/>
  <c r="A164"/>
  <c r="A178"/>
  <c r="A192" s="1"/>
  <c r="A206" s="1"/>
  <c r="A222" s="1"/>
  <c r="A163"/>
  <c r="A177" s="1"/>
  <c r="A191" s="1"/>
  <c r="A205"/>
  <c r="A221" s="1"/>
  <c r="A162"/>
  <c r="A176"/>
  <c r="A190"/>
  <c r="A204" s="1"/>
  <c r="A220" s="1"/>
  <c r="A161"/>
  <c r="A175" s="1"/>
  <c r="A189" s="1"/>
  <c r="A203" s="1"/>
  <c r="A219" s="1"/>
  <c r="A160"/>
  <c r="A174"/>
  <c r="A188" s="1"/>
  <c r="A202" s="1"/>
  <c r="A218" s="1"/>
  <c r="L217"/>
  <c r="K217"/>
  <c r="J217"/>
  <c r="I217"/>
  <c r="D173"/>
  <c r="D187"/>
  <c r="D201"/>
  <c r="C173"/>
  <c r="C187"/>
  <c r="C201" s="1"/>
  <c r="B201"/>
  <c r="A159"/>
  <c r="A173" s="1"/>
  <c r="A187" s="1"/>
  <c r="A201" s="1"/>
  <c r="L194"/>
  <c r="K194"/>
  <c r="L193"/>
  <c r="K193"/>
  <c r="L192"/>
  <c r="K192"/>
  <c r="P191"/>
  <c r="O191"/>
  <c r="M191"/>
  <c r="L191"/>
  <c r="K191"/>
  <c r="P190"/>
  <c r="O190"/>
  <c r="M190"/>
  <c r="L190"/>
  <c r="K190"/>
  <c r="P189"/>
  <c r="O189"/>
  <c r="N189"/>
  <c r="K189"/>
  <c r="M187"/>
  <c r="K187"/>
  <c r="B187"/>
  <c r="B173"/>
  <c r="B159"/>
  <c r="K144"/>
  <c r="N147" s="1"/>
  <c r="Q150" s="1"/>
  <c r="T153" s="1"/>
  <c r="W156"/>
  <c r="F153"/>
  <c r="B114"/>
  <c r="B115"/>
  <c r="B116"/>
  <c r="B125" s="1"/>
  <c r="B117"/>
  <c r="B118"/>
  <c r="B119"/>
  <c r="B120"/>
  <c r="B121"/>
  <c r="B122"/>
  <c r="B123"/>
  <c r="B124"/>
  <c r="C114" s="1"/>
  <c r="C118"/>
  <c r="D118" s="1"/>
  <c r="C119"/>
  <c r="D119" s="1"/>
  <c r="B100"/>
  <c r="B101"/>
  <c r="B102"/>
  <c r="B103"/>
  <c r="B104"/>
  <c r="B105"/>
  <c r="B106"/>
  <c r="B107"/>
  <c r="B108"/>
  <c r="B109"/>
  <c r="B110"/>
  <c r="C102" s="1"/>
  <c r="D102" s="1"/>
  <c r="B86"/>
  <c r="B87"/>
  <c r="B88"/>
  <c r="B89"/>
  <c r="B90"/>
  <c r="B91"/>
  <c r="B92"/>
  <c r="B93"/>
  <c r="B94"/>
  <c r="B95"/>
  <c r="A153"/>
  <c r="H120"/>
  <c r="A149" s="1"/>
  <c r="H116"/>
  <c r="A145" s="1"/>
  <c r="F143"/>
  <c r="F142"/>
  <c r="A142"/>
  <c r="K141"/>
  <c r="J141"/>
  <c r="I141"/>
  <c r="I140"/>
  <c r="M133"/>
  <c r="L133"/>
  <c r="K133"/>
  <c r="F99"/>
  <c r="F113" s="1"/>
  <c r="E113"/>
  <c r="D113"/>
  <c r="C113"/>
  <c r="B113"/>
  <c r="H107"/>
  <c r="H106"/>
  <c r="H103"/>
  <c r="B99"/>
  <c r="H94"/>
  <c r="H93"/>
  <c r="H92"/>
  <c r="H91"/>
  <c r="H90"/>
  <c r="H89"/>
  <c r="H88"/>
  <c r="H86"/>
  <c r="B85"/>
  <c r="B39"/>
  <c r="B38"/>
  <c r="H29"/>
  <c r="H30" s="1"/>
  <c r="H31" s="1"/>
  <c r="H32" s="1"/>
  <c r="H33"/>
  <c r="H34"/>
  <c r="H35" s="1"/>
  <c r="H36" s="1"/>
  <c r="H37" s="1"/>
  <c r="F36"/>
  <c r="F35"/>
  <c r="F34"/>
  <c r="F33"/>
  <c r="F32"/>
  <c r="F31"/>
  <c r="F30"/>
  <c r="F29"/>
  <c r="D251" i="1"/>
  <c r="E251" s="1"/>
  <c r="F251" s="1"/>
  <c r="G251"/>
  <c r="O186"/>
  <c r="O252" s="1"/>
  <c r="O270" s="1"/>
  <c r="N186"/>
  <c r="N252" s="1"/>
  <c r="M186"/>
  <c r="M252" s="1"/>
  <c r="L186"/>
  <c r="K186"/>
  <c r="K252" s="1"/>
  <c r="K270" s="1"/>
  <c r="D270" s="1"/>
  <c r="D252"/>
  <c r="D253"/>
  <c r="E253" s="1"/>
  <c r="F253" s="1"/>
  <c r="G253" s="1"/>
  <c r="H253" s="1"/>
  <c r="D254"/>
  <c r="E254" s="1"/>
  <c r="F254"/>
  <c r="G254" s="1"/>
  <c r="H254" s="1"/>
  <c r="H255"/>
  <c r="D256"/>
  <c r="E256"/>
  <c r="F256" s="1"/>
  <c r="G256" s="1"/>
  <c r="H256" s="1"/>
  <c r="D257"/>
  <c r="E257" s="1"/>
  <c r="F257" s="1"/>
  <c r="G257" s="1"/>
  <c r="H257"/>
  <c r="D258"/>
  <c r="E258" s="1"/>
  <c r="F258" s="1"/>
  <c r="G258" s="1"/>
  <c r="H258" s="1"/>
  <c r="O259"/>
  <c r="N259"/>
  <c r="M259"/>
  <c r="L259"/>
  <c r="K259"/>
  <c r="D259"/>
  <c r="G255"/>
  <c r="F255"/>
  <c r="E255"/>
  <c r="D255"/>
  <c r="C266"/>
  <c r="O219"/>
  <c r="O237" s="1"/>
  <c r="M219"/>
  <c r="K219"/>
  <c r="K237" s="1"/>
  <c r="D237" s="1"/>
  <c r="K218"/>
  <c r="D218"/>
  <c r="E218"/>
  <c r="D219"/>
  <c r="O220"/>
  <c r="N220"/>
  <c r="M220"/>
  <c r="L220"/>
  <c r="K220"/>
  <c r="D220" s="1"/>
  <c r="D221"/>
  <c r="E221" s="1"/>
  <c r="F221" s="1"/>
  <c r="G221" s="1"/>
  <c r="H221" s="1"/>
  <c r="D222"/>
  <c r="E222" s="1"/>
  <c r="F222" s="1"/>
  <c r="G222"/>
  <c r="H222"/>
  <c r="D223"/>
  <c r="E223" s="1"/>
  <c r="F223" s="1"/>
  <c r="G223" s="1"/>
  <c r="H223" s="1"/>
  <c r="D224"/>
  <c r="E224"/>
  <c r="F224" s="1"/>
  <c r="G224" s="1"/>
  <c r="H224" s="1"/>
  <c r="D225"/>
  <c r="E225" s="1"/>
  <c r="F225" s="1"/>
  <c r="G225" s="1"/>
  <c r="H225" s="1"/>
  <c r="O226"/>
  <c r="N226"/>
  <c r="M226"/>
  <c r="L226"/>
  <c r="E226" s="1"/>
  <c r="K226"/>
  <c r="D226" s="1"/>
  <c r="F226"/>
  <c r="G226" s="1"/>
  <c r="C233"/>
  <c r="D185"/>
  <c r="E185"/>
  <c r="D186"/>
  <c r="D187"/>
  <c r="E187" s="1"/>
  <c r="F187" s="1"/>
  <c r="G187" s="1"/>
  <c r="H187" s="1"/>
  <c r="D188"/>
  <c r="E188"/>
  <c r="F188" s="1"/>
  <c r="G188" s="1"/>
  <c r="H188" s="1"/>
  <c r="H189"/>
  <c r="D190"/>
  <c r="E190" s="1"/>
  <c r="F190" s="1"/>
  <c r="G190" s="1"/>
  <c r="H190" s="1"/>
  <c r="D191"/>
  <c r="E191" s="1"/>
  <c r="F191"/>
  <c r="G191"/>
  <c r="H191" s="1"/>
  <c r="D192"/>
  <c r="E192"/>
  <c r="F192"/>
  <c r="G192" s="1"/>
  <c r="H192" s="1"/>
  <c r="O193"/>
  <c r="N193"/>
  <c r="M193"/>
  <c r="L193"/>
  <c r="K193"/>
  <c r="D193" s="1"/>
  <c r="E193" s="1"/>
  <c r="G189"/>
  <c r="F189"/>
  <c r="E189"/>
  <c r="D189"/>
  <c r="M204"/>
  <c r="L204"/>
  <c r="K204"/>
  <c r="D204" s="1"/>
  <c r="C200"/>
  <c r="D154"/>
  <c r="D148"/>
  <c r="C154"/>
  <c r="C155"/>
  <c r="C166" s="1"/>
  <c r="H150"/>
  <c r="H163" s="1"/>
  <c r="G150"/>
  <c r="G163"/>
  <c r="F150"/>
  <c r="F163" s="1"/>
  <c r="E150"/>
  <c r="E163"/>
  <c r="D150"/>
  <c r="D163" s="1"/>
  <c r="H159"/>
  <c r="G159"/>
  <c r="F159"/>
  <c r="E159"/>
  <c r="D159"/>
  <c r="H144"/>
  <c r="G144"/>
  <c r="F144"/>
  <c r="E144"/>
  <c r="D144"/>
  <c r="H143"/>
  <c r="G143"/>
  <c r="F143"/>
  <c r="E143"/>
  <c r="D143"/>
  <c r="D88"/>
  <c r="E35"/>
  <c r="E36"/>
  <c r="E37"/>
  <c r="E38"/>
  <c r="E39"/>
  <c r="H85"/>
  <c r="G85"/>
  <c r="F85"/>
  <c r="E85"/>
  <c r="D85"/>
  <c r="D127"/>
  <c r="A101"/>
  <c r="A134" s="1"/>
  <c r="A100"/>
  <c r="A133"/>
  <c r="A99"/>
  <c r="A132" s="1"/>
  <c r="A98"/>
  <c r="A131"/>
  <c r="H128"/>
  <c r="G128"/>
  <c r="F128"/>
  <c r="E128"/>
  <c r="D128"/>
  <c r="H127"/>
  <c r="G127"/>
  <c r="F127"/>
  <c r="E127"/>
  <c r="C119"/>
  <c r="C118"/>
  <c r="C117"/>
  <c r="A94"/>
  <c r="A93"/>
  <c r="A92"/>
  <c r="A91"/>
  <c r="H70"/>
  <c r="G70"/>
  <c r="F70"/>
  <c r="E70"/>
  <c r="D70"/>
  <c r="F68"/>
  <c r="E68"/>
  <c r="D68"/>
  <c r="F67"/>
  <c r="E67"/>
  <c r="D67"/>
  <c r="F66"/>
  <c r="E66"/>
  <c r="F65"/>
  <c r="E65"/>
  <c r="D65"/>
  <c r="F64"/>
  <c r="E64"/>
  <c r="D64"/>
  <c r="F60"/>
  <c r="F62" s="1"/>
  <c r="E60"/>
  <c r="E62"/>
  <c r="D60"/>
  <c r="D62" s="1"/>
  <c r="E41"/>
  <c r="D41"/>
  <c r="C41"/>
  <c r="B41"/>
  <c r="E28"/>
  <c r="D28"/>
  <c r="E27"/>
  <c r="D27"/>
  <c r="E8"/>
  <c r="F2" i="8"/>
  <c r="E2"/>
  <c r="D2"/>
  <c r="C2"/>
  <c r="B2"/>
  <c r="AC237" i="2"/>
  <c r="AC229"/>
  <c r="AC226"/>
  <c r="AC224"/>
  <c r="AC222"/>
  <c r="AC220"/>
  <c r="AC218"/>
  <c r="X155"/>
  <c r="D42" i="1"/>
  <c r="E42"/>
  <c r="A1"/>
  <c r="AC232" i="2"/>
  <c r="AC228"/>
  <c r="X154"/>
  <c r="X152"/>
  <c r="X150"/>
  <c r="X148"/>
  <c r="X146"/>
  <c r="X144"/>
  <c r="X142"/>
  <c r="C42" i="1"/>
  <c r="AC231" i="2"/>
  <c r="AC223"/>
  <c r="AC236"/>
  <c r="AC219"/>
  <c r="X153"/>
  <c r="AC234"/>
  <c r="AC230"/>
  <c r="AC221"/>
  <c r="X149"/>
  <c r="X145"/>
  <c r="B42" i="1"/>
  <c r="AC227" i="2"/>
  <c r="X156"/>
  <c r="AC225"/>
  <c r="AC233"/>
  <c r="AC235"/>
  <c r="X151"/>
  <c r="X143"/>
  <c r="X147"/>
  <c r="B44" i="1"/>
  <c r="E204" l="1"/>
  <c r="F204" s="1"/>
  <c r="O204"/>
  <c r="C91"/>
  <c r="D91" s="1"/>
  <c r="C92"/>
  <c r="D92" s="1"/>
  <c r="C94"/>
  <c r="D94" s="1"/>
  <c r="D101" s="1"/>
  <c r="C93"/>
  <c r="D93" s="1"/>
  <c r="E102" i="2"/>
  <c r="C131"/>
  <c r="E154" i="1"/>
  <c r="F185"/>
  <c r="D114" i="2"/>
  <c r="N113"/>
  <c r="B198"/>
  <c r="B199"/>
  <c r="A136"/>
  <c r="H121"/>
  <c r="A150" s="1"/>
  <c r="A114"/>
  <c r="H100"/>
  <c r="C38"/>
  <c r="C39"/>
  <c r="D28"/>
  <c r="E259" i="1"/>
  <c r="E118" i="2"/>
  <c r="D133"/>
  <c r="A118"/>
  <c r="H104"/>
  <c r="B212"/>
  <c r="C105"/>
  <c r="D105" s="1"/>
  <c r="M237" i="1"/>
  <c r="E220"/>
  <c r="F220" s="1"/>
  <c r="G220" s="1"/>
  <c r="B185" i="2"/>
  <c r="N270" i="1"/>
  <c r="C100" i="2"/>
  <c r="C104"/>
  <c r="D104" s="1"/>
  <c r="C108"/>
  <c r="D108" s="1"/>
  <c r="C103"/>
  <c r="D103" s="1"/>
  <c r="C107"/>
  <c r="D107" s="1"/>
  <c r="C101"/>
  <c r="C109"/>
  <c r="C106"/>
  <c r="D106" s="1"/>
  <c r="A132"/>
  <c r="H117"/>
  <c r="A146" s="1"/>
  <c r="A101"/>
  <c r="H87"/>
  <c r="I304"/>
  <c r="M270" i="1"/>
  <c r="A135" i="2"/>
  <c r="F218" i="1"/>
  <c r="E119" i="2"/>
  <c r="D134"/>
  <c r="G277"/>
  <c r="D66" i="1"/>
  <c r="A109" i="2"/>
  <c r="H95"/>
  <c r="A122"/>
  <c r="H108"/>
  <c r="A131"/>
  <c r="G193" i="1"/>
  <c r="H251"/>
  <c r="H220"/>
  <c r="B111" i="2"/>
  <c r="D109"/>
  <c r="D101"/>
  <c r="I303"/>
  <c r="L219" i="1"/>
  <c r="E186"/>
  <c r="F186" s="1"/>
  <c r="G186" s="1"/>
  <c r="H186" s="1"/>
  <c r="B96" i="2"/>
  <c r="B97"/>
  <c r="B170"/>
  <c r="B171"/>
  <c r="A105"/>
  <c r="B213"/>
  <c r="F259" i="1"/>
  <c r="C122" i="2"/>
  <c r="D122" s="1"/>
  <c r="B184"/>
  <c r="C117"/>
  <c r="D117" s="1"/>
  <c r="C121"/>
  <c r="D121" s="1"/>
  <c r="C116"/>
  <c r="D116" s="1"/>
  <c r="C120"/>
  <c r="D120" s="1"/>
  <c r="C190"/>
  <c r="D190" s="1"/>
  <c r="D220" s="1"/>
  <c r="C194"/>
  <c r="D194" s="1"/>
  <c r="D224" s="1"/>
  <c r="N219" i="1"/>
  <c r="N204"/>
  <c r="F193"/>
  <c r="H226"/>
  <c r="L252"/>
  <c r="H102" i="2"/>
  <c r="C123"/>
  <c r="D123" s="1"/>
  <c r="C115"/>
  <c r="D115" s="1"/>
  <c r="G204" i="1" l="1"/>
  <c r="H204" s="1"/>
  <c r="D135" i="2"/>
  <c r="E120"/>
  <c r="D132"/>
  <c r="E117"/>
  <c r="E106"/>
  <c r="C135"/>
  <c r="C134"/>
  <c r="E105"/>
  <c r="D136"/>
  <c r="E121"/>
  <c r="H109"/>
  <c r="A123"/>
  <c r="N237" i="1"/>
  <c r="E116" i="2"/>
  <c r="D131"/>
  <c r="E122"/>
  <c r="D137"/>
  <c r="C205"/>
  <c r="D205" s="1"/>
  <c r="E221" s="1"/>
  <c r="C177"/>
  <c r="D177" s="1"/>
  <c r="C221" s="1"/>
  <c r="C163"/>
  <c r="D163" s="1"/>
  <c r="B221" s="1"/>
  <c r="A133"/>
  <c r="H118"/>
  <c r="A147" s="1"/>
  <c r="G185" i="1"/>
  <c r="E252"/>
  <c r="L270"/>
  <c r="E270" s="1"/>
  <c r="F270" s="1"/>
  <c r="G270" s="1"/>
  <c r="H270" s="1"/>
  <c r="C204" i="2"/>
  <c r="D204" s="1"/>
  <c r="E220" s="1"/>
  <c r="C176"/>
  <c r="D176" s="1"/>
  <c r="C220" s="1"/>
  <c r="C162"/>
  <c r="D162" s="1"/>
  <c r="B220" s="1"/>
  <c r="A137"/>
  <c r="H122"/>
  <c r="A151" s="1"/>
  <c r="A115"/>
  <c r="H101"/>
  <c r="C137"/>
  <c r="E108"/>
  <c r="A129"/>
  <c r="H114"/>
  <c r="A143" s="1"/>
  <c r="E114"/>
  <c r="D129"/>
  <c r="D125"/>
  <c r="D124"/>
  <c r="F154" i="1"/>
  <c r="C124" i="2"/>
  <c r="C125"/>
  <c r="D95" i="1"/>
  <c r="E219"/>
  <c r="L237"/>
  <c r="E237" s="1"/>
  <c r="F237" s="1"/>
  <c r="E101" i="2"/>
  <c r="C130"/>
  <c r="C132"/>
  <c r="E103"/>
  <c r="E28"/>
  <c r="D39"/>
  <c r="D38"/>
  <c r="E123"/>
  <c r="D138"/>
  <c r="C208"/>
  <c r="D208" s="1"/>
  <c r="E224" s="1"/>
  <c r="C180"/>
  <c r="D180" s="1"/>
  <c r="C224" s="1"/>
  <c r="C166"/>
  <c r="D166" s="1"/>
  <c r="B224" s="1"/>
  <c r="E107"/>
  <c r="C136"/>
  <c r="D111"/>
  <c r="N99"/>
  <c r="D100"/>
  <c r="C111"/>
  <c r="D110"/>
  <c r="C110"/>
  <c r="C209"/>
  <c r="D209" s="1"/>
  <c r="E225" s="1"/>
  <c r="C181"/>
  <c r="D181" s="1"/>
  <c r="C225" s="1"/>
  <c r="C167"/>
  <c r="D167" s="1"/>
  <c r="B225" s="1"/>
  <c r="E115"/>
  <c r="F122" s="1"/>
  <c r="I122" s="1"/>
  <c r="E151" s="1"/>
  <c r="D130"/>
  <c r="H105"/>
  <c r="A119"/>
  <c r="C87"/>
  <c r="D87" s="1"/>
  <c r="C91"/>
  <c r="D91" s="1"/>
  <c r="C95"/>
  <c r="D95" s="1"/>
  <c r="C86"/>
  <c r="C90"/>
  <c r="D90" s="1"/>
  <c r="C94"/>
  <c r="D94" s="1"/>
  <c r="C88"/>
  <c r="D88" s="1"/>
  <c r="C93"/>
  <c r="D93" s="1"/>
  <c r="C92"/>
  <c r="D92" s="1"/>
  <c r="C89"/>
  <c r="D89" s="1"/>
  <c r="C138"/>
  <c r="E109"/>
  <c r="J102"/>
  <c r="J103" s="1"/>
  <c r="J104" s="1"/>
  <c r="J105" s="1"/>
  <c r="J106" s="1"/>
  <c r="J107" s="1"/>
  <c r="J108" s="1"/>
  <c r="J109" s="1"/>
  <c r="J101"/>
  <c r="J87"/>
  <c r="J88" s="1"/>
  <c r="J89" s="1"/>
  <c r="J90" s="1"/>
  <c r="J91" s="1"/>
  <c r="J92" s="1"/>
  <c r="J93" s="1"/>
  <c r="J94" s="1"/>
  <c r="J95" s="1"/>
  <c r="J115"/>
  <c r="F144" s="1"/>
  <c r="G218" i="1"/>
  <c r="C133" i="2"/>
  <c r="E104"/>
  <c r="C195"/>
  <c r="D195" s="1"/>
  <c r="D225" s="1"/>
  <c r="C191"/>
  <c r="D191" s="1"/>
  <c r="D221" s="1"/>
  <c r="G259" i="1"/>
  <c r="H193"/>
  <c r="G237" l="1"/>
  <c r="E88" i="2"/>
  <c r="B131"/>
  <c r="H119"/>
  <c r="A148" s="1"/>
  <c r="A134"/>
  <c r="F119"/>
  <c r="I119" s="1"/>
  <c r="E148" s="1"/>
  <c r="G31"/>
  <c r="G29"/>
  <c r="G35"/>
  <c r="G33"/>
  <c r="G37"/>
  <c r="G38" s="1"/>
  <c r="G34"/>
  <c r="G36"/>
  <c r="G32"/>
  <c r="G28"/>
  <c r="G27" s="1"/>
  <c r="G30"/>
  <c r="C174"/>
  <c r="C160"/>
  <c r="C202"/>
  <c r="C188"/>
  <c r="E93"/>
  <c r="B136"/>
  <c r="F219" i="1"/>
  <c r="E89" i="2"/>
  <c r="B132"/>
  <c r="B137"/>
  <c r="E94"/>
  <c r="B134"/>
  <c r="E91"/>
  <c r="G154" i="1"/>
  <c r="E125" i="2"/>
  <c r="F117"/>
  <c r="I117" s="1"/>
  <c r="E146" s="1"/>
  <c r="E124"/>
  <c r="F116"/>
  <c r="I116" s="1"/>
  <c r="E145" s="1"/>
  <c r="F121"/>
  <c r="I121" s="1"/>
  <c r="E150" s="1"/>
  <c r="F120"/>
  <c r="I120" s="1"/>
  <c r="E149" s="1"/>
  <c r="H115"/>
  <c r="A144" s="1"/>
  <c r="A130"/>
  <c r="F115"/>
  <c r="I115" s="1"/>
  <c r="E144" s="1"/>
  <c r="F252" i="1"/>
  <c r="F123" i="2"/>
  <c r="I123" s="1"/>
  <c r="H123"/>
  <c r="A152" s="1"/>
  <c r="A138"/>
  <c r="M136"/>
  <c r="F118"/>
  <c r="I118" s="1"/>
  <c r="E147" s="1"/>
  <c r="B138"/>
  <c r="E95"/>
  <c r="E100"/>
  <c r="C129"/>
  <c r="C182"/>
  <c r="D182" s="1"/>
  <c r="C226" s="1"/>
  <c r="C168"/>
  <c r="D168" s="1"/>
  <c r="B226" s="1"/>
  <c r="C210"/>
  <c r="D210" s="1"/>
  <c r="E226" s="1"/>
  <c r="C196"/>
  <c r="D196" s="1"/>
  <c r="D226" s="1"/>
  <c r="H259" i="1"/>
  <c r="H218"/>
  <c r="C97" i="2"/>
  <c r="C96"/>
  <c r="N85"/>
  <c r="D86"/>
  <c r="H185" i="1"/>
  <c r="H237"/>
  <c r="E92" i="2"/>
  <c r="B135"/>
  <c r="E90"/>
  <c r="B133"/>
  <c r="B130"/>
  <c r="E87"/>
  <c r="C178"/>
  <c r="D178" s="1"/>
  <c r="C222" s="1"/>
  <c r="C206"/>
  <c r="D206" s="1"/>
  <c r="E222" s="1"/>
  <c r="C164"/>
  <c r="D164" s="1"/>
  <c r="B222" s="1"/>
  <c r="C192"/>
  <c r="D192" s="1"/>
  <c r="D222" s="1"/>
  <c r="F114"/>
  <c r="J116"/>
  <c r="F145" l="1"/>
  <c r="J117"/>
  <c r="N144"/>
  <c r="Q147"/>
  <c r="T150"/>
  <c r="W153"/>
  <c r="G305"/>
  <c r="G306"/>
  <c r="G307"/>
  <c r="G303"/>
  <c r="G304"/>
  <c r="E110"/>
  <c r="E111"/>
  <c r="F107"/>
  <c r="I107" s="1"/>
  <c r="D150" s="1"/>
  <c r="F103"/>
  <c r="I103" s="1"/>
  <c r="D146" s="1"/>
  <c r="F104"/>
  <c r="I104" s="1"/>
  <c r="D147" s="1"/>
  <c r="F106"/>
  <c r="I106" s="1"/>
  <c r="D149" s="1"/>
  <c r="F102"/>
  <c r="I102" s="1"/>
  <c r="D145" s="1"/>
  <c r="F100"/>
  <c r="F108"/>
  <c r="I108" s="1"/>
  <c r="D151" s="1"/>
  <c r="F109"/>
  <c r="I109" s="1"/>
  <c r="F101"/>
  <c r="I101" s="1"/>
  <c r="D144" s="1"/>
  <c r="F105"/>
  <c r="I105" s="1"/>
  <c r="D148" s="1"/>
  <c r="C183"/>
  <c r="D183" s="1"/>
  <c r="C227" s="1"/>
  <c r="C169"/>
  <c r="D169" s="1"/>
  <c r="B227" s="1"/>
  <c r="C211"/>
  <c r="D211" s="1"/>
  <c r="E227" s="1"/>
  <c r="C197"/>
  <c r="D197" s="1"/>
  <c r="D227" s="1"/>
  <c r="D188"/>
  <c r="E152"/>
  <c r="I124"/>
  <c r="C175"/>
  <c r="D175" s="1"/>
  <c r="C219" s="1"/>
  <c r="C161"/>
  <c r="D161" s="1"/>
  <c r="B219" s="1"/>
  <c r="C203"/>
  <c r="D203" s="1"/>
  <c r="E219" s="1"/>
  <c r="C189"/>
  <c r="D189" s="1"/>
  <c r="D219" s="1"/>
  <c r="D160"/>
  <c r="C171"/>
  <c r="G219" i="1"/>
  <c r="D202" i="2"/>
  <c r="H305"/>
  <c r="H307"/>
  <c r="H306"/>
  <c r="H303"/>
  <c r="H304"/>
  <c r="F125"/>
  <c r="F124"/>
  <c r="I114"/>
  <c r="D96"/>
  <c r="B129"/>
  <c r="D97"/>
  <c r="E86"/>
  <c r="I135"/>
  <c r="J143" s="1"/>
  <c r="M146" s="1"/>
  <c r="P149" s="1"/>
  <c r="S152" s="1"/>
  <c r="V155" s="1"/>
  <c r="J135"/>
  <c r="K143" s="1"/>
  <c r="N146" s="1"/>
  <c r="Q149" s="1"/>
  <c r="T152" s="1"/>
  <c r="W155" s="1"/>
  <c r="G252" i="1"/>
  <c r="H154"/>
  <c r="C185" i="2"/>
  <c r="D174"/>
  <c r="C179"/>
  <c r="D179" s="1"/>
  <c r="C223" s="1"/>
  <c r="C165"/>
  <c r="D165" s="1"/>
  <c r="B223" s="1"/>
  <c r="C207"/>
  <c r="D207" s="1"/>
  <c r="E223" s="1"/>
  <c r="C193"/>
  <c r="D193" s="1"/>
  <c r="D223" s="1"/>
  <c r="K134"/>
  <c r="L135"/>
  <c r="H252" i="1" l="1"/>
  <c r="E143" i="2"/>
  <c r="I113"/>
  <c r="D198"/>
  <c r="D218"/>
  <c r="D199"/>
  <c r="P146"/>
  <c r="S149"/>
  <c r="V152"/>
  <c r="M143"/>
  <c r="B218"/>
  <c r="D171"/>
  <c r="D170"/>
  <c r="I110"/>
  <c r="D152"/>
  <c r="C184"/>
  <c r="C198"/>
  <c r="F93"/>
  <c r="I93" s="1"/>
  <c r="B150" s="1"/>
  <c r="C150" s="1"/>
  <c r="F89"/>
  <c r="I89" s="1"/>
  <c r="B146" s="1"/>
  <c r="C146" s="1"/>
  <c r="E97"/>
  <c r="F92"/>
  <c r="I92" s="1"/>
  <c r="B149" s="1"/>
  <c r="C149" s="1"/>
  <c r="F88"/>
  <c r="I88" s="1"/>
  <c r="B145" s="1"/>
  <c r="C145" s="1"/>
  <c r="E96"/>
  <c r="F86"/>
  <c r="F90"/>
  <c r="I90" s="1"/>
  <c r="B147" s="1"/>
  <c r="C147" s="1"/>
  <c r="F94"/>
  <c r="I94" s="1"/>
  <c r="B151" s="1"/>
  <c r="C151" s="1"/>
  <c r="F87"/>
  <c r="I87" s="1"/>
  <c r="B144" s="1"/>
  <c r="C144" s="1"/>
  <c r="F95"/>
  <c r="I95" s="1"/>
  <c r="F91"/>
  <c r="I91" s="1"/>
  <c r="B148" s="1"/>
  <c r="C148" s="1"/>
  <c r="E218"/>
  <c r="D213"/>
  <c r="D212"/>
  <c r="F146"/>
  <c r="J118"/>
  <c r="C218"/>
  <c r="D185"/>
  <c r="D184"/>
  <c r="I100"/>
  <c r="F111"/>
  <c r="F110"/>
  <c r="L142"/>
  <c r="O145"/>
  <c r="R148"/>
  <c r="U151"/>
  <c r="H134"/>
  <c r="I142" s="1"/>
  <c r="J134"/>
  <c r="K142" s="1"/>
  <c r="N145" s="1"/>
  <c r="Q148" s="1"/>
  <c r="T151" s="1"/>
  <c r="W154" s="1"/>
  <c r="I134"/>
  <c r="J142" s="1"/>
  <c r="M145" s="1"/>
  <c r="P148" s="1"/>
  <c r="S151" s="1"/>
  <c r="V154" s="1"/>
  <c r="H219" i="1"/>
  <c r="E153" i="2"/>
  <c r="N115"/>
  <c r="C213"/>
  <c r="C170"/>
  <c r="C212"/>
  <c r="C199"/>
  <c r="P221" l="1"/>
  <c r="T225" s="1"/>
  <c r="X229" s="1"/>
  <c r="AB233" s="1"/>
  <c r="K219"/>
  <c r="O223" s="1"/>
  <c r="S227" s="1"/>
  <c r="W231" s="1"/>
  <c r="AA235" s="1"/>
  <c r="C228"/>
  <c r="D236" s="1"/>
  <c r="J219"/>
  <c r="N223" s="1"/>
  <c r="R227" s="1"/>
  <c r="V231" s="1"/>
  <c r="Z235" s="1"/>
  <c r="L219"/>
  <c r="P223" s="1"/>
  <c r="T227" s="1"/>
  <c r="X231" s="1"/>
  <c r="AB235" s="1"/>
  <c r="L145"/>
  <c r="I99"/>
  <c r="D143"/>
  <c r="F147"/>
  <c r="J119"/>
  <c r="L221"/>
  <c r="P225" s="1"/>
  <c r="T229" s="1"/>
  <c r="X233" s="1"/>
  <c r="AB237" s="1"/>
  <c r="E228"/>
  <c r="D242" s="1"/>
  <c r="D228"/>
  <c r="D239" s="1"/>
  <c r="K220"/>
  <c r="O224" s="1"/>
  <c r="S228" s="1"/>
  <c r="W232" s="1"/>
  <c r="AA236" s="1"/>
  <c r="D153"/>
  <c r="N101"/>
  <c r="I96"/>
  <c r="B152"/>
  <c r="C152" s="1"/>
  <c r="I86"/>
  <c r="F96"/>
  <c r="K218"/>
  <c r="O222" s="1"/>
  <c r="S226" s="1"/>
  <c r="W230" s="1"/>
  <c r="AA234" s="1"/>
  <c r="J218"/>
  <c r="N222" s="1"/>
  <c r="R226" s="1"/>
  <c r="V230" s="1"/>
  <c r="Z234" s="1"/>
  <c r="L218"/>
  <c r="P222" s="1"/>
  <c r="T226" s="1"/>
  <c r="X230" s="1"/>
  <c r="AB234" s="1"/>
  <c r="B228"/>
  <c r="I218"/>
  <c r="E142"/>
  <c r="N114"/>
  <c r="O220"/>
  <c r="S224" s="1"/>
  <c r="W228" s="1"/>
  <c r="AA232" s="1"/>
  <c r="N219"/>
  <c r="R223" s="1"/>
  <c r="V227" s="1"/>
  <c r="Z231" s="1"/>
  <c r="M222" l="1"/>
  <c r="Q226" s="1"/>
  <c r="U230" s="1"/>
  <c r="Y234" s="1"/>
  <c r="H291"/>
  <c r="H292"/>
  <c r="H290"/>
  <c r="H289"/>
  <c r="H293"/>
  <c r="F148"/>
  <c r="J120"/>
  <c r="O148"/>
  <c r="D142"/>
  <c r="N100"/>
  <c r="H283"/>
  <c r="H284"/>
  <c r="H286"/>
  <c r="H282"/>
  <c r="H285"/>
  <c r="B153"/>
  <c r="C153" s="1"/>
  <c r="N87"/>
  <c r="B143"/>
  <c r="C143" s="1"/>
  <c r="I85"/>
  <c r="D233"/>
  <c r="M218"/>
  <c r="H300"/>
  <c r="H298"/>
  <c r="H296"/>
  <c r="H299"/>
  <c r="H297"/>
  <c r="Q222" l="1"/>
  <c r="B142"/>
  <c r="C142" s="1"/>
  <c r="N86"/>
  <c r="F149"/>
  <c r="J121"/>
  <c r="H279"/>
  <c r="H275"/>
  <c r="H276"/>
  <c r="H277"/>
  <c r="H278"/>
  <c r="R151"/>
  <c r="U154" l="1"/>
  <c r="F150"/>
  <c r="J122"/>
  <c r="U226"/>
  <c r="F151" l="1"/>
  <c r="J123"/>
  <c r="F152" s="1"/>
  <c r="Y230"/>
  <c r="E250"/>
  <c r="E271"/>
  <c r="E247"/>
  <c r="E262"/>
  <c r="E268"/>
  <c r="E251"/>
  <c r="E269"/>
  <c r="E264"/>
  <c r="E272"/>
  <c r="E263"/>
  <c r="E270"/>
  <c r="E265"/>
  <c r="E261"/>
  <c r="E249"/>
  <c r="E248"/>
  <c r="E300"/>
  <c r="E292"/>
  <c r="E279"/>
  <c r="E298"/>
  <c r="E283"/>
  <c r="E296"/>
  <c r="E275"/>
  <c r="E285"/>
  <c r="E277"/>
  <c r="E290"/>
  <c r="E282"/>
  <c r="E286"/>
  <c r="E299"/>
  <c r="E278"/>
  <c r="E284"/>
  <c r="E297"/>
  <c r="E276"/>
  <c r="E289"/>
  <c r="E293"/>
  <c r="E291"/>
  <c r="D317" l="1"/>
  <c r="F213" i="1" s="1"/>
  <c r="F317" i="2"/>
  <c r="H213" i="1" s="1"/>
  <c r="B317" i="2"/>
  <c r="D213" i="1" s="1"/>
  <c r="C315" i="2"/>
  <c r="E178" i="1" s="1"/>
  <c r="C318" i="2"/>
  <c r="E246" i="1" s="1"/>
  <c r="D316" i="2"/>
  <c r="F179" i="1" s="1"/>
  <c r="E315" i="2"/>
  <c r="G178" i="1" s="1"/>
  <c r="E318" i="2"/>
  <c r="G246" i="1" s="1"/>
  <c r="F316" i="2"/>
  <c r="H179" i="1" s="1"/>
  <c r="B316" i="2"/>
  <c r="D179" i="1" s="1"/>
  <c r="C317" i="2"/>
  <c r="E213" i="1" s="1"/>
  <c r="D315" i="2"/>
  <c r="F178" i="1" s="1"/>
  <c r="E316" i="2"/>
  <c r="G179" i="1" s="1"/>
  <c r="B315" i="2"/>
  <c r="D178" i="1" s="1"/>
  <c r="B318" i="2"/>
  <c r="D246" i="1" s="1"/>
  <c r="C316" i="2"/>
  <c r="E179" i="1" s="1"/>
  <c r="D318" i="2"/>
  <c r="F246" i="1" s="1"/>
  <c r="F315" i="2"/>
  <c r="H178" i="1" s="1"/>
  <c r="E317" i="2"/>
  <c r="G213" i="1" s="1"/>
  <c r="F318" i="2"/>
  <c r="H246" i="1" s="1"/>
  <c r="E255" i="2"/>
  <c r="C312" s="1"/>
  <c r="E177" i="1" s="1"/>
  <c r="C311" i="2"/>
  <c r="E176" i="1" s="1"/>
  <c r="E256" i="2"/>
  <c r="D312" s="1"/>
  <c r="F177" i="1" s="1"/>
  <c r="D311" i="2"/>
  <c r="F176" i="1" s="1"/>
  <c r="B313" i="2"/>
  <c r="D212" i="1" s="1"/>
  <c r="F313" i="2"/>
  <c r="H212" i="1" s="1"/>
  <c r="D314" i="2"/>
  <c r="F245" i="1" s="1"/>
  <c r="D313" i="2"/>
  <c r="F212" i="1" s="1"/>
  <c r="F314" i="2"/>
  <c r="H245" i="1" s="1"/>
  <c r="E313" i="2"/>
  <c r="G212" i="1" s="1"/>
  <c r="C314" i="2"/>
  <c r="E245" i="1" s="1"/>
  <c r="E258" i="2"/>
  <c r="F312" s="1"/>
  <c r="H177" i="1" s="1"/>
  <c r="F311" i="2"/>
  <c r="H176" i="1" s="1"/>
  <c r="B314" i="2"/>
  <c r="D245" i="1" s="1"/>
  <c r="C313" i="2"/>
  <c r="E212" i="1" s="1"/>
  <c r="E254" i="2"/>
  <c r="B312" s="1"/>
  <c r="D177" i="1" s="1"/>
  <c r="B311" i="2"/>
  <c r="D176" i="1" s="1"/>
  <c r="E314" i="2"/>
  <c r="G245" i="1" s="1"/>
  <c r="E257" i="2"/>
  <c r="E312" s="1"/>
  <c r="G177" i="1" s="1"/>
  <c r="E311" i="2"/>
  <c r="G176" i="1" s="1"/>
  <c r="D247" l="1"/>
  <c r="D248"/>
  <c r="D260"/>
  <c r="D261" s="1"/>
  <c r="H215"/>
  <c r="H214"/>
  <c r="H227"/>
  <c r="H228" s="1"/>
  <c r="E248"/>
  <c r="E247"/>
  <c r="E260"/>
  <c r="E261" s="1"/>
  <c r="F247"/>
  <c r="F249" s="1"/>
  <c r="F248"/>
  <c r="F260"/>
  <c r="F261" s="1"/>
  <c r="F215"/>
  <c r="F214"/>
  <c r="F227"/>
  <c r="F228" s="1"/>
  <c r="D182"/>
  <c r="D181"/>
  <c r="D180"/>
  <c r="D194"/>
  <c r="D195" s="1"/>
  <c r="H182"/>
  <c r="H181"/>
  <c r="H194"/>
  <c r="H195" s="1"/>
  <c r="H247"/>
  <c r="H249" s="1"/>
  <c r="H248"/>
  <c r="H260"/>
  <c r="H261" s="1"/>
  <c r="D227"/>
  <c r="D228" s="1"/>
  <c r="D215"/>
  <c r="D214"/>
  <c r="G248"/>
  <c r="G247"/>
  <c r="G260"/>
  <c r="G261" s="1"/>
  <c r="G215"/>
  <c r="G214"/>
  <c r="G227"/>
  <c r="G228" s="1"/>
  <c r="E181"/>
  <c r="E183" s="1"/>
  <c r="E182"/>
  <c r="E194"/>
  <c r="E195" s="1"/>
  <c r="E215"/>
  <c r="E214"/>
  <c r="E227"/>
  <c r="E228" s="1"/>
  <c r="G181"/>
  <c r="G182"/>
  <c r="G194"/>
  <c r="G195" s="1"/>
  <c r="F182"/>
  <c r="F181"/>
  <c r="F194"/>
  <c r="F195" s="1"/>
  <c r="G249" l="1"/>
  <c r="F216"/>
  <c r="F77"/>
  <c r="F82" s="1"/>
  <c r="D78"/>
  <c r="D83" s="1"/>
  <c r="D99" s="1"/>
  <c r="G79"/>
  <c r="G84" s="1"/>
  <c r="D77"/>
  <c r="D82" s="1"/>
  <c r="D79"/>
  <c r="D84" s="1"/>
  <c r="D100" s="1"/>
  <c r="E77"/>
  <c r="E82" s="1"/>
  <c r="H79"/>
  <c r="H84" s="1"/>
  <c r="E79"/>
  <c r="E84" s="1"/>
  <c r="E216"/>
  <c r="F183"/>
  <c r="G183"/>
  <c r="G216"/>
  <c r="H183"/>
  <c r="D183"/>
  <c r="H216"/>
  <c r="D249"/>
  <c r="G78"/>
  <c r="G83" s="1"/>
  <c r="H77"/>
  <c r="H82" s="1"/>
  <c r="H78"/>
  <c r="H83" s="1"/>
  <c r="G77"/>
  <c r="G82" s="1"/>
  <c r="F78"/>
  <c r="F83" s="1"/>
  <c r="E78"/>
  <c r="E83" s="1"/>
  <c r="F79"/>
  <c r="F84" s="1"/>
  <c r="D216"/>
  <c r="E249"/>
  <c r="H86" l="1"/>
  <c r="G86"/>
  <c r="F86"/>
  <c r="D86"/>
  <c r="D98"/>
  <c r="E86"/>
  <c r="D102" l="1"/>
  <c r="D105" l="1"/>
  <c r="D106" s="1"/>
  <c r="E306" i="2"/>
  <c r="E319"/>
  <c r="G231" i="1" s="1"/>
  <c r="G232" s="1"/>
  <c r="E307" i="2"/>
  <c r="G264" i="1" l="1"/>
  <c r="G198"/>
  <c r="G199" s="1"/>
  <c r="F319" i="2"/>
  <c r="H231" i="1" s="1"/>
  <c r="H232" s="1"/>
  <c r="H198"/>
  <c r="H199" s="1"/>
  <c r="E305" i="2"/>
  <c r="G114" i="1" l="1"/>
  <c r="G265"/>
  <c r="H264"/>
  <c r="D319" i="2"/>
  <c r="F264" i="1" s="1"/>
  <c r="F231"/>
  <c r="F232" s="1"/>
  <c r="F198"/>
  <c r="F199" s="1"/>
  <c r="E303" i="2"/>
  <c r="F265" i="1" l="1"/>
  <c r="F114"/>
  <c r="G118"/>
  <c r="G119"/>
  <c r="G120"/>
  <c r="G117"/>
  <c r="G121"/>
  <c r="H114"/>
  <c r="H265"/>
  <c r="B319" i="2"/>
  <c r="D198" i="1" s="1"/>
  <c r="D199" s="1"/>
  <c r="E304" i="2"/>
  <c r="D231" i="1" l="1"/>
  <c r="D232" s="1"/>
  <c r="D233" s="1"/>
  <c r="D235" s="1"/>
  <c r="D264"/>
  <c r="D265" s="1"/>
  <c r="F120"/>
  <c r="F119"/>
  <c r="F121"/>
  <c r="F118"/>
  <c r="F117"/>
  <c r="H121"/>
  <c r="H119"/>
  <c r="H120"/>
  <c r="H118"/>
  <c r="H117"/>
  <c r="C319" i="2"/>
  <c r="E198" i="1" s="1"/>
  <c r="E199" s="1"/>
  <c r="E200" s="1"/>
  <c r="F200"/>
  <c r="F202" s="1"/>
  <c r="F207" s="1"/>
  <c r="F72" s="1"/>
  <c r="F124" s="1"/>
  <c r="D266"/>
  <c r="D271" s="1"/>
  <c r="D274" s="1"/>
  <c r="H266"/>
  <c r="H268" s="1"/>
  <c r="H273" s="1"/>
  <c r="H74" s="1"/>
  <c r="H126" s="1"/>
  <c r="H233"/>
  <c r="H235" s="1"/>
  <c r="H271"/>
  <c r="H274" s="1"/>
  <c r="G233"/>
  <c r="G235" s="1"/>
  <c r="G238" s="1"/>
  <c r="G241" s="1"/>
  <c r="F266"/>
  <c r="F271" s="1"/>
  <c r="F274" s="1"/>
  <c r="D200"/>
  <c r="D205" s="1"/>
  <c r="D208" s="1"/>
  <c r="F233"/>
  <c r="F235" s="1"/>
  <c r="G266"/>
  <c r="G271" s="1"/>
  <c r="G274" s="1"/>
  <c r="G200"/>
  <c r="G205" s="1"/>
  <c r="G208" s="1"/>
  <c r="H200"/>
  <c r="H202" s="1"/>
  <c r="H207" s="1"/>
  <c r="H72" s="1"/>
  <c r="H124" s="1"/>
  <c r="E231" l="1"/>
  <c r="E232" s="1"/>
  <c r="E233" s="1"/>
  <c r="E235" s="1"/>
  <c r="E240" s="1"/>
  <c r="E73" s="1"/>
  <c r="E125" s="1"/>
  <c r="F268"/>
  <c r="F273" s="1"/>
  <c r="F74" s="1"/>
  <c r="F126" s="1"/>
  <c r="E264"/>
  <c r="E114" s="1"/>
  <c r="D114"/>
  <c r="F238"/>
  <c r="F241" s="1"/>
  <c r="F240"/>
  <c r="F73" s="1"/>
  <c r="F125" s="1"/>
  <c r="E202"/>
  <c r="E207" s="1"/>
  <c r="E72" s="1"/>
  <c r="E124" s="1"/>
  <c r="E205"/>
  <c r="E208" s="1"/>
  <c r="H238"/>
  <c r="H241" s="1"/>
  <c r="H240"/>
  <c r="H73" s="1"/>
  <c r="H125" s="1"/>
  <c r="E119"/>
  <c r="E120"/>
  <c r="E121"/>
  <c r="E118"/>
  <c r="D120"/>
  <c r="D134" s="1"/>
  <c r="D117"/>
  <c r="F205"/>
  <c r="F208" s="1"/>
  <c r="G268"/>
  <c r="G273" s="1"/>
  <c r="G74" s="1"/>
  <c r="G126" s="1"/>
  <c r="E265"/>
  <c r="E266" s="1"/>
  <c r="D238"/>
  <c r="D241" s="1"/>
  <c r="D240"/>
  <c r="D73" s="1"/>
  <c r="D125" s="1"/>
  <c r="G240"/>
  <c r="G73" s="1"/>
  <c r="G125" s="1"/>
  <c r="H205"/>
  <c r="H208" s="1"/>
  <c r="G202"/>
  <c r="G207" s="1"/>
  <c r="G72" s="1"/>
  <c r="G124" s="1"/>
  <c r="D202"/>
  <c r="D207" s="1"/>
  <c r="D72" s="1"/>
  <c r="D124" s="1"/>
  <c r="E117"/>
  <c r="D268"/>
  <c r="D273" s="1"/>
  <c r="D74" s="1"/>
  <c r="D126" s="1"/>
  <c r="E238" l="1"/>
  <c r="E241" s="1"/>
  <c r="D119"/>
  <c r="D133" s="1"/>
  <c r="D118"/>
  <c r="D121"/>
  <c r="D135" s="1"/>
  <c r="E271"/>
  <c r="E274" s="1"/>
  <c r="E268"/>
  <c r="E273" s="1"/>
  <c r="E74" s="1"/>
  <c r="E126" s="1"/>
  <c r="D111"/>
  <c r="D110"/>
  <c r="D132"/>
  <c r="D131"/>
  <c r="D109"/>
  <c r="D112" l="1"/>
  <c r="D136" s="1"/>
  <c r="D137" s="1"/>
  <c r="D140" s="1"/>
  <c r="D145" s="1"/>
  <c r="D149" s="1"/>
  <c r="D151" s="1"/>
  <c r="D155" l="1"/>
  <c r="E148"/>
  <c r="D156" l="1"/>
  <c r="D158"/>
  <c r="D160" s="1"/>
  <c r="E88" s="1"/>
  <c r="E91" l="1"/>
  <c r="E92"/>
  <c r="E99" s="1"/>
  <c r="E94"/>
  <c r="E101" s="1"/>
  <c r="E134" s="1"/>
  <c r="E93"/>
  <c r="E100" s="1"/>
  <c r="E95" l="1"/>
  <c r="E98"/>
  <c r="E132"/>
  <c r="E110"/>
  <c r="E133"/>
  <c r="E111"/>
  <c r="E109" l="1"/>
  <c r="E112" s="1"/>
  <c r="E136" s="1"/>
  <c r="E102"/>
  <c r="E105" s="1"/>
  <c r="E135" s="1"/>
  <c r="E131"/>
  <c r="E106" l="1"/>
  <c r="E137"/>
  <c r="E140" s="1"/>
  <c r="E145" s="1"/>
  <c r="E149" s="1"/>
  <c r="E151" s="1"/>
  <c r="F148" l="1"/>
  <c r="E155"/>
  <c r="E158" l="1"/>
  <c r="E160" s="1"/>
  <c r="F88" s="1"/>
  <c r="E156"/>
  <c r="F92" l="1"/>
  <c r="F99" s="1"/>
  <c r="F91"/>
  <c r="F94"/>
  <c r="F101" s="1"/>
  <c r="F134" s="1"/>
  <c r="F93"/>
  <c r="F100" s="1"/>
  <c r="F132" l="1"/>
  <c r="F110"/>
  <c r="F98"/>
  <c r="F95"/>
  <c r="F111"/>
  <c r="F133"/>
  <c r="F109" l="1"/>
  <c r="F112" s="1"/>
  <c r="F136" s="1"/>
  <c r="F102"/>
  <c r="F105" s="1"/>
  <c r="F135" s="1"/>
  <c r="F131"/>
  <c r="F106" l="1"/>
  <c r="F137"/>
  <c r="F140" s="1"/>
  <c r="F145" s="1"/>
  <c r="F149" s="1"/>
  <c r="F151" s="1"/>
  <c r="F155" l="1"/>
  <c r="G148"/>
  <c r="F156" l="1"/>
  <c r="F158"/>
  <c r="F160" s="1"/>
  <c r="G88" s="1"/>
  <c r="G91" l="1"/>
  <c r="G92"/>
  <c r="G99" s="1"/>
  <c r="G94"/>
  <c r="G101" s="1"/>
  <c r="G134" s="1"/>
  <c r="G93"/>
  <c r="G100" s="1"/>
  <c r="G95" l="1"/>
  <c r="G98"/>
  <c r="G110"/>
  <c r="G132"/>
  <c r="G111"/>
  <c r="G133"/>
  <c r="G131" l="1"/>
  <c r="G109"/>
  <c r="G112" s="1"/>
  <c r="G136" s="1"/>
  <c r="G102"/>
  <c r="G105" l="1"/>
  <c r="G135" s="1"/>
  <c r="G137" s="1"/>
  <c r="G140" s="1"/>
  <c r="G145" s="1"/>
  <c r="G149" s="1"/>
  <c r="G151" s="1"/>
  <c r="G106" l="1"/>
  <c r="H148"/>
  <c r="G155"/>
  <c r="G158" l="1"/>
  <c r="G160" s="1"/>
  <c r="H88" s="1"/>
  <c r="G156"/>
  <c r="H92" l="1"/>
  <c r="H99" s="1"/>
  <c r="H93"/>
  <c r="H100" s="1"/>
  <c r="H94"/>
  <c r="H101" s="1"/>
  <c r="H134" s="1"/>
  <c r="H91"/>
  <c r="H111" l="1"/>
  <c r="H133"/>
  <c r="H132"/>
  <c r="H110"/>
  <c r="H98"/>
  <c r="H95"/>
  <c r="H131" l="1"/>
  <c r="H102"/>
  <c r="H105" s="1"/>
  <c r="H135" s="1"/>
  <c r="H109"/>
  <c r="H112" s="1"/>
  <c r="H136" s="1"/>
  <c r="H137" l="1"/>
  <c r="H140" s="1"/>
  <c r="H145" s="1"/>
  <c r="H149" s="1"/>
  <c r="H151" s="1"/>
  <c r="H155" s="1"/>
  <c r="H106"/>
  <c r="H156" l="1"/>
  <c r="D167" s="1"/>
  <c r="H158"/>
  <c r="H160" s="1"/>
  <c r="D170" l="1"/>
  <c r="D168"/>
  <c r="H8"/>
  <c r="D169" l="1"/>
  <c r="H10" s="1"/>
  <c r="H9"/>
  <c r="D171"/>
  <c r="H12" s="1"/>
  <c r="H11"/>
</calcChain>
</file>

<file path=xl/sharedStrings.xml><?xml version="1.0" encoding="utf-8"?>
<sst xmlns="http://schemas.openxmlformats.org/spreadsheetml/2006/main" count="837" uniqueCount="302">
  <si>
    <t>Historical Crop Yields</t>
  </si>
  <si>
    <t>Historical Crop Prices</t>
  </si>
  <si>
    <t>Historical</t>
  </si>
  <si>
    <t>cotton</t>
  </si>
  <si>
    <t>wheat</t>
  </si>
  <si>
    <t>sorghum</t>
  </si>
  <si>
    <t>Years</t>
  </si>
  <si>
    <t>cottonseed</t>
  </si>
  <si>
    <t>Interest Rate</t>
  </si>
  <si>
    <t>Projected Crop Prices and Interest Rates from FAPRI and WEFA</t>
  </si>
  <si>
    <t>Annual Change In the Cost of Production for Inputs</t>
  </si>
  <si>
    <t>Seed</t>
  </si>
  <si>
    <t>Fertilizer</t>
  </si>
  <si>
    <t>Chemicals</t>
  </si>
  <si>
    <t>Machinery</t>
  </si>
  <si>
    <t>Fuel</t>
  </si>
  <si>
    <t>Labor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</si>
  <si>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</si>
  <si>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</si>
  <si>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</si>
  <si>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</si>
  <si>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</si>
  <si>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</si>
  <si>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</si>
  <si>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</si>
  <si>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</si>
  <si>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</si>
  <si>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X Variable 1</t>
  </si>
  <si>
    <t>Cotton Yield</t>
  </si>
  <si>
    <t>Sorghum Yield</t>
  </si>
  <si>
    <t>Cotton Lint Price</t>
  </si>
  <si>
    <t>Cotton Seed Price</t>
  </si>
  <si>
    <t>Wheat Price</t>
  </si>
  <si>
    <t>Sorghum Price</t>
  </si>
  <si>
    <t>Interest Rates</t>
  </si>
  <si>
    <t>Wheat Yield</t>
  </si>
  <si>
    <t>Estimate Parameters for PDF on Yields</t>
  </si>
  <si>
    <t>Y Hats</t>
  </si>
  <si>
    <t>Residuals</t>
  </si>
  <si>
    <t xml:space="preserve">Mean </t>
  </si>
  <si>
    <t>Std Dev</t>
  </si>
  <si>
    <t>Res/Yhat</t>
  </si>
  <si>
    <t>S(Res/Yhat)</t>
  </si>
  <si>
    <t xml:space="preserve">Parameters for Empirical Pdf </t>
  </si>
  <si>
    <t>Pmin</t>
  </si>
  <si>
    <t>Pmax</t>
  </si>
  <si>
    <t>COTTON</t>
  </si>
  <si>
    <t>WHEAT</t>
  </si>
  <si>
    <t>SORGHUM</t>
  </si>
  <si>
    <t>Estimate the Correlation Matrix for Yields</t>
  </si>
  <si>
    <t>Obs</t>
  </si>
  <si>
    <t>Cotton</t>
  </si>
  <si>
    <t>Wheat</t>
  </si>
  <si>
    <t>Sorghum</t>
  </si>
  <si>
    <t>Correlation Matrix</t>
  </si>
  <si>
    <t>Estimate Parameters for MVN of Prices</t>
  </si>
  <si>
    <t>Predicted</t>
  </si>
  <si>
    <t>Develop the Correlation Matrix for Prices</t>
  </si>
  <si>
    <t>Cott Lint</t>
  </si>
  <si>
    <t>Cott Seed</t>
  </si>
  <si>
    <t>Year</t>
  </si>
  <si>
    <t>Slope</t>
  </si>
  <si>
    <t>Residuals for Prices</t>
  </si>
  <si>
    <t>Assemble the Parameters for the MV Empirical Distribution of Yields</t>
  </si>
  <si>
    <t>CottSeed</t>
  </si>
  <si>
    <t>Prob(x)</t>
  </si>
  <si>
    <t>Generate Stochastic Yields</t>
  </si>
  <si>
    <t>Cotton Lint</t>
  </si>
  <si>
    <t>Observation</t>
  </si>
  <si>
    <t>Mean</t>
  </si>
  <si>
    <t>CottonSeed</t>
  </si>
  <si>
    <t>Cotton Seed Prices</t>
  </si>
  <si>
    <t>Wheat Prices</t>
  </si>
  <si>
    <t>Sorghum Prices</t>
  </si>
  <si>
    <t>Tons</t>
  </si>
  <si>
    <t>Ylint</t>
  </si>
  <si>
    <t>Yseed</t>
  </si>
  <si>
    <t>Ywheat</t>
  </si>
  <si>
    <t>Ysorghum</t>
  </si>
  <si>
    <t>Plint</t>
  </si>
  <si>
    <t>Pseed</t>
  </si>
  <si>
    <t>Pwheat</t>
  </si>
  <si>
    <t>Psorghum</t>
  </si>
  <si>
    <t>Stoch</t>
  </si>
  <si>
    <t>Consolidate Stochastic Values for Ease of Use</t>
  </si>
  <si>
    <t>Y99</t>
  </si>
  <si>
    <t>Y00</t>
  </si>
  <si>
    <t>Y01</t>
  </si>
  <si>
    <t>Y02</t>
  </si>
  <si>
    <t>Y03</t>
  </si>
  <si>
    <t>Average</t>
  </si>
  <si>
    <t>Std dev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</si>
  <si>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</si>
  <si>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</si>
  <si>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</si>
  <si>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</si>
  <si>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</si>
  <si>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</si>
  <si>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</si>
  <si>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</si>
  <si>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</si>
  <si>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</si>
  <si>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</si>
  <si>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</si>
  <si>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</si>
  <si>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</si>
  <si>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Observ</t>
  </si>
  <si>
    <t>Interest rate parameter estimation</t>
  </si>
  <si>
    <t>Interest rates</t>
  </si>
  <si>
    <t>Normal</t>
  </si>
  <si>
    <t>Empirical</t>
  </si>
  <si>
    <t>Einter</t>
  </si>
  <si>
    <t>James W. Richardson</t>
  </si>
  <si>
    <t>Average Yield</t>
  </si>
  <si>
    <t>Lint</t>
  </si>
  <si>
    <t>Herbicide</t>
  </si>
  <si>
    <t>Insecticide</t>
  </si>
  <si>
    <t>Insecticide Application</t>
  </si>
  <si>
    <t>Crop Insurance</t>
  </si>
  <si>
    <t>Fuel and Lube</t>
  </si>
  <si>
    <t>Repairs</t>
  </si>
  <si>
    <t>labor</t>
  </si>
  <si>
    <t>Harvesting Costs</t>
  </si>
  <si>
    <t>($/lb lint)</t>
  </si>
  <si>
    <t>($/acre)</t>
  </si>
  <si>
    <t>Simulate Cotton Budget for 5 Years</t>
  </si>
  <si>
    <t>($/lb)</t>
  </si>
  <si>
    <t>($/ton)</t>
  </si>
  <si>
    <t>Yield Coverage Fraction</t>
  </si>
  <si>
    <t>MPCI-APH Yield</t>
  </si>
  <si>
    <t>Price Election Fraction</t>
  </si>
  <si>
    <t>MPCI Indemnity</t>
  </si>
  <si>
    <t>Guaranteed Yield</t>
  </si>
  <si>
    <t>Total Receipts</t>
  </si>
  <si>
    <t>Receipts for Seed and Lint</t>
  </si>
  <si>
    <t>Stochastic Yield</t>
  </si>
  <si>
    <t>Stochastic Seed Yld</t>
  </si>
  <si>
    <t>Stochastic Slint Price</t>
  </si>
  <si>
    <t>Stochastic Seed Prc</t>
  </si>
  <si>
    <t>Total Costs</t>
  </si>
  <si>
    <t>Variable Costs</t>
  </si>
  <si>
    <t xml:space="preserve">Fixed Costs </t>
  </si>
  <si>
    <t>Fixed Costs</t>
  </si>
  <si>
    <t>Interest Costs</t>
  </si>
  <si>
    <t>Stochastic Interest rate</t>
  </si>
  <si>
    <t>Fraction of Year Interest Paid VC</t>
  </si>
  <si>
    <t>Interest Cost  per acre</t>
  </si>
  <si>
    <t>Net return above VC</t>
  </si>
  <si>
    <t>Net Returns above TC</t>
  </si>
  <si>
    <t>Pre and Post Harvest Costs</t>
  </si>
  <si>
    <t>None</t>
  </si>
  <si>
    <t xml:space="preserve">Write out the Deterministic portion of the Random Variables </t>
  </si>
  <si>
    <t>and the Stochastic Portion for Crop Prices</t>
  </si>
  <si>
    <t>This is the location of</t>
  </si>
  <si>
    <t>Values to Check</t>
  </si>
  <si>
    <t>Min</t>
  </si>
  <si>
    <t>Max</t>
  </si>
  <si>
    <t>Row in Rho</t>
  </si>
  <si>
    <t>Irate</t>
  </si>
  <si>
    <t>Simulate Wheat Budget for 5 Years</t>
  </si>
  <si>
    <t>Stochastic Price</t>
  </si>
  <si>
    <t>($/bu)</t>
  </si>
  <si>
    <t xml:space="preserve">Receipts </t>
  </si>
  <si>
    <t>bu/acre</t>
  </si>
  <si>
    <t>cwt/acre</t>
  </si>
  <si>
    <t>($/cwt</t>
  </si>
  <si>
    <t>Simulate Sorghum Budget for 5 Years</t>
  </si>
  <si>
    <t>Bank Input Information</t>
  </si>
  <si>
    <t>Initial Capital Assets Available for Loans</t>
  </si>
  <si>
    <t>Annual Payment to Stock Holders (fraction Net return)</t>
  </si>
  <si>
    <t>Portfolios to Analyze (fraction of loanable funds to each loan type)</t>
  </si>
  <si>
    <t>Scenario</t>
  </si>
  <si>
    <t>A</t>
  </si>
  <si>
    <t>B</t>
  </si>
  <si>
    <t>C</t>
  </si>
  <si>
    <t>D</t>
  </si>
  <si>
    <t>E</t>
  </si>
  <si>
    <t>Return from Crops Equations</t>
  </si>
  <si>
    <t>Inflection</t>
  </si>
  <si>
    <t>Sum</t>
  </si>
  <si>
    <t>Min NR/Acre</t>
  </si>
  <si>
    <t>NR at Inflection Pt.</t>
  </si>
  <si>
    <t>Max NR/Acre</t>
  </si>
  <si>
    <t xml:space="preserve">Cotton Interest rate </t>
  </si>
  <si>
    <t xml:space="preserve">Wheat Interest rate </t>
  </si>
  <si>
    <t xml:space="preserve">Sorghum Interest rate </t>
  </si>
  <si>
    <t>Risk Premium</t>
  </si>
  <si>
    <t>NR</t>
  </si>
  <si>
    <t>Ratio</t>
  </si>
  <si>
    <t>Net returns &lt; 0</t>
  </si>
  <si>
    <t>Net return &gt; 0</t>
  </si>
  <si>
    <t>Crops</t>
  </si>
  <si>
    <t>Fraction</t>
  </si>
  <si>
    <t>Bank Income Statement</t>
  </si>
  <si>
    <t>Receipts</t>
  </si>
  <si>
    <t>Expenses</t>
  </si>
  <si>
    <t>Fixed</t>
  </si>
  <si>
    <t xml:space="preserve">Net Return </t>
  </si>
  <si>
    <t>Cash Flow For Bank</t>
  </si>
  <si>
    <t xml:space="preserve">Beginning Cash </t>
  </si>
  <si>
    <t>Net Returns</t>
  </si>
  <si>
    <t>Dividends</t>
  </si>
  <si>
    <t>Ending Cash Reserves</t>
  </si>
  <si>
    <t>Balance Sheet</t>
  </si>
  <si>
    <t>Assets</t>
  </si>
  <si>
    <t>Cash Reserves</t>
  </si>
  <si>
    <t>Net Worth</t>
  </si>
  <si>
    <t>Present value Ending Net Worth</t>
  </si>
  <si>
    <t>Beginning Net Worth</t>
  </si>
  <si>
    <t>NPV</t>
  </si>
  <si>
    <t>P(NPV&gt;0)</t>
  </si>
  <si>
    <t>PV Dividends</t>
  </si>
  <si>
    <t>Percentage Change Real NW</t>
  </si>
  <si>
    <t>P(Increase RNW)</t>
  </si>
  <si>
    <t>Output Variables</t>
  </si>
  <si>
    <t>Portfolio Being Simulated with Sim Table</t>
  </si>
  <si>
    <t>Cotton NR Over VC</t>
  </si>
  <si>
    <t>Wheat NR Over VC</t>
  </si>
  <si>
    <t>Sorghum NR Over VC</t>
  </si>
  <si>
    <t>Discount Rate to Calculate NPV</t>
  </si>
  <si>
    <t>Annual appreciation of fixed Assets</t>
  </si>
  <si>
    <t>Consumer Loans</t>
  </si>
  <si>
    <t>Net Returns From Ag and Consumer Loans as a Fraction of the Interest Rate</t>
  </si>
  <si>
    <t xml:space="preserve">Acres of Crops in Market Area </t>
  </si>
  <si>
    <t xml:space="preserve">Consumer </t>
  </si>
  <si>
    <t>Loan Type</t>
  </si>
  <si>
    <t>Potential Amount</t>
  </si>
  <si>
    <t>of Loans</t>
  </si>
  <si>
    <t>Added to Interest Rate</t>
  </si>
  <si>
    <t>Consumer</t>
  </si>
  <si>
    <t>Potential Market Area for Ag Loans and Potential Consumer Loans</t>
  </si>
  <si>
    <t>($/yield unit)</t>
  </si>
  <si>
    <t>Yield Unit</t>
  </si>
  <si>
    <t>National Price for MPCI</t>
  </si>
  <si>
    <t>Crop Budgets</t>
  </si>
  <si>
    <t>Capital Available for Loans</t>
  </si>
  <si>
    <t xml:space="preserve">Check the Sum </t>
  </si>
  <si>
    <t>Remaining Funds for Money Mkt</t>
  </si>
  <si>
    <t>Money Market Rate</t>
  </si>
  <si>
    <t xml:space="preserve">Money Market Rate </t>
  </si>
  <si>
    <t>Money Market Loans</t>
  </si>
  <si>
    <t>Cost of Capital</t>
  </si>
  <si>
    <t>Interest Rate paid for Pass Book Savings Accounts</t>
  </si>
  <si>
    <t>Pass Book Savings Account Balance</t>
  </si>
  <si>
    <t>Capital Invested by Stock Holders</t>
  </si>
  <si>
    <t>Loanable Funds</t>
  </si>
  <si>
    <t>Pass Book Savings</t>
  </si>
  <si>
    <t xml:space="preserve">Total </t>
  </si>
  <si>
    <t>Fixed Bank Assets in Buildings, Furniture, etc.</t>
  </si>
  <si>
    <t>Annual Fixed Costs for Operating the Bank</t>
  </si>
  <si>
    <t>Fraction of Year Interest Paid on VC</t>
  </si>
  <si>
    <t>Variable Costs (VC)</t>
  </si>
  <si>
    <t>Cotton Loans returned inside 12 mo.</t>
  </si>
  <si>
    <t>Wheat Loans returned inside 12 mo.</t>
  </si>
  <si>
    <t>Sorghum Loans returned inside 12 mo.</t>
  </si>
  <si>
    <t>Money Mkt Loans Crop Loans</t>
  </si>
  <si>
    <t>Rec Lint only</t>
  </si>
  <si>
    <t>Interest Rate Paid</t>
  </si>
  <si>
    <t>Interest rate paid</t>
  </si>
  <si>
    <t>Stochastic Interest Rate</t>
  </si>
  <si>
    <t>Loan Requirements for Crops on $/acre Basis = VC/acre prior to interest</t>
  </si>
  <si>
    <t>Partial Year Loanable Funds from Crop Loans = Loan * (1-fraction of year loan is used)*effective fraction of laon returned on time</t>
  </si>
  <si>
    <t xml:space="preserve">Wheat </t>
  </si>
  <si>
    <t>Summarize Net Returns Over VC per Acre for Crops = Total Revenue - Variable Costs</t>
  </si>
  <si>
    <t>Potential Demand for Operating Loans by Type of Loan = VC/acre * Acres in Market Area</t>
  </si>
  <si>
    <t>Maximum Allowable Loans to Each Type of Loan Based on the Portfolio Fractions</t>
  </si>
  <si>
    <t>Unused Loanable Funds are Placed in Money Market Loan Market = Capital Available to Lend - Sum of Loans</t>
  </si>
  <si>
    <t xml:space="preserve">Check the Loans + Money Market </t>
  </si>
  <si>
    <t>Effective Interest Rates Charged for Each Loan Type and Earned for Money Market Loans Adjusted fof Fract. Year Interest is Paid &amp; Risk Premium</t>
  </si>
  <si>
    <t>Effective Fraction Of Loan Return Received After Collections = NIR</t>
  </si>
  <si>
    <t>Effective Net Returns by Loan Type = Effective Interest Rate * Effective Fraction of Loan Received After Collection * Loan Amounts</t>
  </si>
  <si>
    <t>Dollar Amount of Loans Made to Each Type of Loan = Min (Potential Demand or Max Allowable Loan to Each Loan Type)</t>
  </si>
  <si>
    <t>PENW</t>
  </si>
  <si>
    <t>%CRNW</t>
  </si>
  <si>
    <t>P(&gt;RNW)</t>
  </si>
  <si>
    <t>Historical input data came from Cotton_Wheat_Sorghum.xls</t>
  </si>
  <si>
    <t xml:space="preserve">Formula for the first Scenario function is </t>
  </si>
  <si>
    <t>Key Output Variable Summary Table</t>
  </si>
  <si>
    <t>Simtar Equations</t>
  </si>
  <si>
    <t>ISNDs</t>
  </si>
  <si>
    <t>PDF for Interest Rates</t>
  </si>
  <si>
    <t>StDev</t>
  </si>
  <si>
    <t>CV</t>
  </si>
  <si>
    <t>Iteration</t>
  </si>
  <si>
    <t>Appendix D</t>
  </si>
  <si>
    <t>Variable</t>
  </si>
  <si>
    <t>The matrix ONLY factors correctly if the correlation between wheat and sorghum prices</t>
  </si>
  <si>
    <t>is set to 0.0!   This negates the benefit of MVN.  See Chapter 8 for the correct method</t>
  </si>
  <si>
    <t>to do inter-temporal correlation!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</si>
  <si>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</si>
  <si>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</si>
  <si>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</si>
  <si>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</si>
  <si>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</si>
  <si>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</si>
  <si>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</si>
  <si>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</si>
  <si>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</si>
  <si>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</si>
  <si>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9:57:02 PM 11/7/2005 (2.09 sec.).  © 2005.</t>
  </si>
  <si>
    <t>KOVs</t>
  </si>
  <si>
    <t>© 2011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</si>
</sst>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9" formatCode="_(* #,##0_);_(* \(#,##0\);_(* &quot;-&quot;??_);_(@_)"/>
    <numFmt numFmtId="171" formatCode="0.000000"/>
    <numFmt numFmtId="172" formatCode="0.00000000"/>
    <numFmt numFmtId="177" formatCode="_(* #,##0.0000_);_(* \(#,##0.0000\);_(* &quot;-&quot;??_);_(@_)"/>
    <numFmt numFmtId="178" formatCode="_(* #,##0.00000_);_(* \(#,##0.00000\);_(* &quot;-&quot;??_);_(@_)"/>
  </numFmts>
  <fonts count="4">
    <font>
      <sz val="10"/>
      <name val="Arial"/>
    </font>
    <font>
      <sz val="10"/>
      <name val="Arial"/>
    </font>
    <font>
      <i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5" fontId="0" fillId="0" borderId="0" xfId="0" applyNumberFormat="1"/>
    <xf numFmtId="0" fontId="0" fillId="0" borderId="0" xfId="0" applyFill="1" applyBorder="1" applyAlignment="1"/>
    <xf numFmtId="0" fontId="0" fillId="0" borderId="7" xfId="0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0" fontId="3" fillId="0" borderId="7" xfId="0" applyFont="1" applyFill="1" applyBorder="1" applyAlignment="1"/>
    <xf numFmtId="0" fontId="3" fillId="0" borderId="0" xfId="0" applyFont="1"/>
    <xf numFmtId="2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0" fillId="0" borderId="8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7" xfId="0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0" xfId="0" applyNumberFormat="1" applyBorder="1"/>
    <xf numFmtId="0" fontId="0" fillId="0" borderId="0" xfId="0" applyNumberFormat="1"/>
    <xf numFmtId="0" fontId="3" fillId="0" borderId="0" xfId="0" applyNumberFormat="1" applyFont="1"/>
    <xf numFmtId="0" fontId="0" fillId="0" borderId="16" xfId="0" applyNumberFormat="1" applyBorder="1"/>
    <xf numFmtId="0" fontId="0" fillId="0" borderId="0" xfId="0" applyNumberFormat="1" applyBorder="1"/>
    <xf numFmtId="0" fontId="3" fillId="0" borderId="4" xfId="0" applyFont="1" applyBorder="1"/>
    <xf numFmtId="0" fontId="3" fillId="0" borderId="22" xfId="0" applyFont="1" applyBorder="1"/>
    <xf numFmtId="0" fontId="3" fillId="0" borderId="1" xfId="0" applyNumberFormat="1" applyFont="1" applyBorder="1"/>
    <xf numFmtId="0" fontId="0" fillId="0" borderId="2" xfId="0" applyNumberFormat="1" applyBorder="1"/>
    <xf numFmtId="0" fontId="0" fillId="0" borderId="4" xfId="0" applyNumberFormat="1" applyBorder="1"/>
    <xf numFmtId="0" fontId="3" fillId="0" borderId="0" xfId="0" applyNumberFormat="1" applyFont="1" applyBorder="1"/>
    <xf numFmtId="164" fontId="3" fillId="0" borderId="5" xfId="0" applyNumberFormat="1" applyFont="1" applyBorder="1"/>
    <xf numFmtId="0" fontId="0" fillId="0" borderId="6" xfId="0" applyNumberFormat="1" applyBorder="1"/>
    <xf numFmtId="0" fontId="0" fillId="0" borderId="7" xfId="0" applyNumberForma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3" fillId="0" borderId="3" xfId="0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164" fontId="3" fillId="0" borderId="0" xfId="0" applyNumberFormat="1" applyFont="1" applyBorder="1"/>
    <xf numFmtId="0" fontId="3" fillId="0" borderId="6" xfId="0" applyFont="1" applyBorder="1"/>
    <xf numFmtId="0" fontId="3" fillId="0" borderId="16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2" xfId="0" applyNumberFormat="1" applyBorder="1" applyAlignment="1">
      <alignment horizontal="center"/>
    </xf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67" fontId="0" fillId="0" borderId="0" xfId="0" applyNumberFormat="1"/>
    <xf numFmtId="0" fontId="0" fillId="0" borderId="0" xfId="0" applyNumberFormat="1" applyBorder="1" applyAlignment="1">
      <alignment horizontal="center"/>
    </xf>
    <xf numFmtId="0" fontId="0" fillId="0" borderId="3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0" fillId="0" borderId="0" xfId="0" applyNumberFormat="1" applyAlignment="1">
      <alignment horizontal="left" indent="1"/>
    </xf>
    <xf numFmtId="171" fontId="0" fillId="0" borderId="0" xfId="0" applyNumberFormat="1" applyBorder="1"/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 indent="1"/>
    </xf>
    <xf numFmtId="169" fontId="0" fillId="0" borderId="2" xfId="0" applyNumberFormat="1" applyBorder="1"/>
    <xf numFmtId="169" fontId="0" fillId="0" borderId="3" xfId="0" applyNumberFormat="1" applyBorder="1"/>
    <xf numFmtId="169" fontId="0" fillId="0" borderId="0" xfId="0" applyNumberFormat="1" applyBorder="1"/>
    <xf numFmtId="169" fontId="0" fillId="0" borderId="5" xfId="0" applyNumberFormat="1" applyBorder="1"/>
    <xf numFmtId="0" fontId="0" fillId="0" borderId="4" xfId="0" applyNumberFormat="1" applyBorder="1" applyAlignment="1">
      <alignment horizontal="left" indent="1"/>
    </xf>
    <xf numFmtId="0" fontId="0" fillId="0" borderId="4" xfId="0" applyNumberFormat="1" applyBorder="1" applyAlignment="1">
      <alignment horizontal="left" indent="2"/>
    </xf>
    <xf numFmtId="0" fontId="3" fillId="0" borderId="4" xfId="0" applyNumberFormat="1" applyFont="1" applyBorder="1"/>
    <xf numFmtId="43" fontId="0" fillId="0" borderId="0" xfId="0" applyNumberFormat="1" applyBorder="1"/>
    <xf numFmtId="43" fontId="0" fillId="0" borderId="5" xfId="0" applyNumberFormat="1" applyBorder="1"/>
    <xf numFmtId="0" fontId="0" fillId="0" borderId="6" xfId="0" applyNumberFormat="1" applyBorder="1" applyAlignment="1">
      <alignment horizontal="left" indent="1"/>
    </xf>
    <xf numFmtId="169" fontId="0" fillId="0" borderId="7" xfId="0" applyNumberFormat="1" applyBorder="1"/>
    <xf numFmtId="169" fontId="0" fillId="0" borderId="8" xfId="0" applyNumberFormat="1" applyBorder="1"/>
    <xf numFmtId="0" fontId="0" fillId="0" borderId="0" xfId="0" applyNumberFormat="1" applyBorder="1" applyAlignment="1">
      <alignment horizontal="left" indent="1"/>
    </xf>
    <xf numFmtId="0" fontId="0" fillId="0" borderId="23" xfId="0" applyNumberFormat="1" applyBorder="1"/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4" xfId="0" applyNumberFormat="1" applyBorder="1" applyAlignment="1"/>
    <xf numFmtId="0" fontId="3" fillId="0" borderId="6" xfId="0" applyNumberFormat="1" applyFont="1" applyBorder="1"/>
    <xf numFmtId="0" fontId="3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right"/>
    </xf>
    <xf numFmtId="169" fontId="0" fillId="0" borderId="0" xfId="1" applyNumberFormat="1" applyFont="1" applyBorder="1" applyAlignment="1">
      <alignment horizontal="center"/>
    </xf>
    <xf numFmtId="172" fontId="0" fillId="0" borderId="5" xfId="0" applyNumberFormat="1" applyBorder="1"/>
    <xf numFmtId="0" fontId="3" fillId="0" borderId="0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4" xfId="0" applyNumberFormat="1" applyFont="1" applyBorder="1"/>
    <xf numFmtId="0" fontId="0" fillId="0" borderId="9" xfId="0" applyNumberFormat="1" applyBorder="1"/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9" xfId="0" applyNumberFormat="1" applyFont="1" applyBorder="1"/>
    <xf numFmtId="0" fontId="3" fillId="0" borderId="16" xfId="0" applyNumberFormat="1" applyFont="1" applyBorder="1" applyAlignment="1">
      <alignment horizontal="left"/>
    </xf>
    <xf numFmtId="0" fontId="0" fillId="0" borderId="26" xfId="0" applyNumberFormat="1" applyBorder="1"/>
    <xf numFmtId="164" fontId="0" fillId="0" borderId="7" xfId="0" applyNumberFormat="1" applyBorder="1"/>
    <xf numFmtId="178" fontId="0" fillId="0" borderId="0" xfId="0" applyNumberFormat="1" applyBorder="1"/>
    <xf numFmtId="169" fontId="3" fillId="0" borderId="25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3" fillId="0" borderId="24" xfId="0" applyNumberFormat="1" applyFont="1" applyFill="1" applyBorder="1"/>
    <xf numFmtId="0" fontId="0" fillId="0" borderId="9" xfId="0" applyNumberFormat="1" applyFill="1" applyBorder="1"/>
    <xf numFmtId="0" fontId="3" fillId="0" borderId="9" xfId="0" applyNumberFormat="1" applyFont="1" applyFill="1" applyBorder="1"/>
    <xf numFmtId="0" fontId="3" fillId="0" borderId="25" xfId="0" applyNumberFormat="1" applyFont="1" applyFill="1" applyBorder="1"/>
    <xf numFmtId="0" fontId="0" fillId="0" borderId="4" xfId="0" applyNumberFormat="1" applyFill="1" applyBorder="1"/>
    <xf numFmtId="0" fontId="0" fillId="0" borderId="0" xfId="0" applyNumberFormat="1" applyFill="1" applyBorder="1"/>
    <xf numFmtId="0" fontId="3" fillId="0" borderId="0" xfId="0" applyNumberFormat="1" applyFont="1" applyFill="1" applyBorder="1"/>
    <xf numFmtId="0" fontId="3" fillId="0" borderId="5" xfId="0" applyNumberFormat="1" applyFont="1" applyFill="1" applyBorder="1"/>
    <xf numFmtId="167" fontId="3" fillId="0" borderId="0" xfId="0" applyNumberFormat="1" applyFont="1" applyFill="1" applyBorder="1"/>
    <xf numFmtId="165" fontId="0" fillId="0" borderId="0" xfId="0" applyNumberFormat="1" applyFill="1" applyBorder="1"/>
    <xf numFmtId="165" fontId="0" fillId="0" borderId="5" xfId="0" applyNumberFormat="1" applyFill="1" applyBorder="1"/>
    <xf numFmtId="164" fontId="3" fillId="0" borderId="5" xfId="0" applyNumberFormat="1" applyFont="1" applyFill="1" applyBorder="1"/>
    <xf numFmtId="0" fontId="0" fillId="0" borderId="6" xfId="0" applyNumberFormat="1" applyFill="1" applyBorder="1"/>
    <xf numFmtId="0" fontId="0" fillId="0" borderId="7" xfId="0" applyNumberFormat="1" applyFill="1" applyBorder="1"/>
    <xf numFmtId="164" fontId="3" fillId="0" borderId="7" xfId="0" applyNumberFormat="1" applyFont="1" applyFill="1" applyBorder="1"/>
    <xf numFmtId="0" fontId="3" fillId="0" borderId="7" xfId="0" applyNumberFormat="1" applyFont="1" applyFill="1" applyBorder="1"/>
    <xf numFmtId="164" fontId="3" fillId="0" borderId="8" xfId="0" applyNumberFormat="1" applyFont="1" applyFill="1" applyBorder="1"/>
    <xf numFmtId="0" fontId="3" fillId="0" borderId="9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0" fillId="0" borderId="4" xfId="0" applyNumberFormat="1" applyFill="1" applyBorder="1" applyAlignment="1">
      <alignment horizontal="left" indent="1"/>
    </xf>
    <xf numFmtId="0" fontId="0" fillId="0" borderId="0" xfId="0" applyNumberFormat="1" applyFill="1" applyBorder="1" applyAlignment="1">
      <alignment horizontal="left" indent="1"/>
    </xf>
    <xf numFmtId="177" fontId="0" fillId="0" borderId="0" xfId="0" applyNumberFormat="1"/>
    <xf numFmtId="166" fontId="0" fillId="0" borderId="0" xfId="0" applyNumberFormat="1"/>
    <xf numFmtId="0" fontId="0" fillId="0" borderId="0" xfId="0" applyNumberFormat="1" applyAlignment="1">
      <alignment horizontal="right"/>
    </xf>
    <xf numFmtId="0" fontId="0" fillId="0" borderId="23" xfId="0" applyNumberFormat="1" applyBorder="1" applyAlignment="1">
      <alignment horizontal="right"/>
    </xf>
    <xf numFmtId="169" fontId="3" fillId="0" borderId="0" xfId="1" applyNumberFormat="1" applyFont="1" applyBorder="1"/>
    <xf numFmtId="0" fontId="0" fillId="2" borderId="0" xfId="0" applyFill="1"/>
    <xf numFmtId="2" fontId="0" fillId="2" borderId="0" xfId="0" applyNumberFormat="1" applyFill="1"/>
    <xf numFmtId="169" fontId="3" fillId="0" borderId="3" xfId="1" applyNumberFormat="1" applyFont="1" applyFill="1" applyBorder="1"/>
    <xf numFmtId="169" fontId="3" fillId="0" borderId="5" xfId="1" applyNumberFormat="1" applyFont="1" applyFill="1" applyBorder="1"/>
    <xf numFmtId="166" fontId="3" fillId="0" borderId="5" xfId="0" applyNumberFormat="1" applyFont="1" applyFill="1" applyBorder="1"/>
    <xf numFmtId="0" fontId="3" fillId="0" borderId="8" xfId="0" applyNumberFormat="1" applyFont="1" applyFill="1" applyBorder="1"/>
    <xf numFmtId="2" fontId="3" fillId="0" borderId="6" xfId="0" applyNumberFormat="1" applyFont="1" applyFill="1" applyBorder="1" applyAlignment="1">
      <alignment horizontal="center"/>
    </xf>
    <xf numFmtId="169" fontId="3" fillId="0" borderId="5" xfId="0" applyNumberFormat="1" applyFont="1" applyFill="1" applyBorder="1"/>
    <xf numFmtId="39" fontId="3" fillId="0" borderId="5" xfId="0" applyNumberFormat="1" applyFont="1" applyFill="1" applyBorder="1"/>
    <xf numFmtId="4" fontId="3" fillId="0" borderId="5" xfId="0" applyNumberFormat="1" applyFont="1" applyFill="1" applyBorder="1"/>
    <xf numFmtId="2" fontId="3" fillId="0" borderId="0" xfId="0" applyNumberFormat="1" applyFont="1" applyFill="1"/>
    <xf numFmtId="2" fontId="3" fillId="0" borderId="27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69" fontId="0" fillId="0" borderId="3" xfId="1" applyNumberFormat="1" applyFont="1" applyBorder="1"/>
    <xf numFmtId="169" fontId="0" fillId="0" borderId="5" xfId="1" applyNumberFormat="1" applyFont="1" applyBorder="1"/>
    <xf numFmtId="0" fontId="0" fillId="0" borderId="26" xfId="0" applyBorder="1"/>
    <xf numFmtId="0" fontId="3" fillId="0" borderId="26" xfId="0" applyFont="1" applyBorder="1"/>
    <xf numFmtId="167" fontId="0" fillId="0" borderId="0" xfId="0" applyNumberFormat="1" applyBorder="1"/>
    <xf numFmtId="167" fontId="0" fillId="0" borderId="7" xfId="0" applyNumberFormat="1" applyBorder="1"/>
    <xf numFmtId="167" fontId="3" fillId="0" borderId="0" xfId="0" applyNumberFormat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4"/>
  <sheetViews>
    <sheetView tabSelected="1" zoomScaleNormal="100" workbookViewId="0">
      <selection activeCell="A3" sqref="A3"/>
    </sheetView>
  </sheetViews>
  <sheetFormatPr defaultRowHeight="12.75"/>
  <cols>
    <col min="1" max="2" width="9.140625" style="49" customWidth="1"/>
    <col min="3" max="3" width="12.7109375" style="49" customWidth="1"/>
    <col min="4" max="9" width="16.5703125" style="49" customWidth="1"/>
    <col min="10" max="10" width="16.5703125" style="166" customWidth="1"/>
    <col min="11" max="17" width="8.7109375" style="49" customWidth="1"/>
    <col min="18" max="16384" width="9.140625" style="49"/>
  </cols>
  <sheetData>
    <row r="1" spans="1:21">
      <c r="A1" s="50" t="str">
        <f ca="1">_xll.WBNAME()</f>
        <v>Bank Demo.xlsx</v>
      </c>
      <c r="I1" s="168"/>
      <c r="L1"/>
      <c r="M1"/>
      <c r="N1"/>
      <c r="O1"/>
      <c r="P1"/>
      <c r="Q1"/>
      <c r="R1"/>
      <c r="S1"/>
      <c r="T1"/>
      <c r="U1"/>
    </row>
    <row r="2" spans="1:21">
      <c r="A2" s="49" t="s">
        <v>112</v>
      </c>
      <c r="I2" s="168"/>
      <c r="L2"/>
      <c r="M2"/>
      <c r="N2"/>
      <c r="O2"/>
      <c r="P2"/>
      <c r="Q2"/>
      <c r="R2"/>
      <c r="S2"/>
      <c r="T2"/>
      <c r="U2"/>
    </row>
    <row r="3" spans="1:21">
      <c r="A3" t="s">
        <v>301</v>
      </c>
      <c r="I3" s="58"/>
      <c r="L3"/>
      <c r="M3"/>
      <c r="N3"/>
      <c r="O3"/>
      <c r="P3"/>
      <c r="Q3"/>
      <c r="R3"/>
      <c r="S3"/>
      <c r="T3"/>
      <c r="U3"/>
    </row>
    <row r="4" spans="1:21">
      <c r="A4" s="49" t="s">
        <v>284</v>
      </c>
      <c r="I4" s="58"/>
      <c r="L4"/>
      <c r="M4"/>
      <c r="N4"/>
      <c r="O4"/>
      <c r="P4"/>
      <c r="Q4"/>
      <c r="R4"/>
      <c r="S4"/>
      <c r="T4"/>
      <c r="U4"/>
    </row>
    <row r="5" spans="1:21" ht="13.5" thickBot="1">
      <c r="A5" s="50" t="s">
        <v>167</v>
      </c>
      <c r="L5"/>
      <c r="M5"/>
      <c r="N5"/>
      <c r="O5"/>
      <c r="P5"/>
      <c r="Q5"/>
      <c r="R5"/>
      <c r="S5"/>
      <c r="T5"/>
      <c r="U5"/>
    </row>
    <row r="6" spans="1:21">
      <c r="A6" s="130" t="s">
        <v>243</v>
      </c>
      <c r="B6" s="56"/>
      <c r="C6" s="56"/>
      <c r="D6" s="56"/>
      <c r="E6" s="182">
        <v>50000000</v>
      </c>
      <c r="M6"/>
      <c r="N6"/>
      <c r="O6"/>
      <c r="P6"/>
      <c r="Q6"/>
      <c r="R6"/>
      <c r="S6"/>
      <c r="T6"/>
      <c r="U6"/>
    </row>
    <row r="7" spans="1:21" ht="13.5" thickBot="1">
      <c r="A7" s="108" t="s">
        <v>244</v>
      </c>
      <c r="B7" s="52"/>
      <c r="C7" s="52"/>
      <c r="D7" s="52"/>
      <c r="E7" s="183">
        <v>40000000</v>
      </c>
      <c r="G7" s="50" t="s">
        <v>277</v>
      </c>
      <c r="M7"/>
      <c r="N7"/>
      <c r="O7"/>
      <c r="P7"/>
      <c r="Q7"/>
      <c r="R7"/>
      <c r="S7"/>
      <c r="T7"/>
      <c r="U7"/>
    </row>
    <row r="8" spans="1:21">
      <c r="A8" s="97" t="s">
        <v>168</v>
      </c>
      <c r="B8" s="52"/>
      <c r="C8" s="52"/>
      <c r="D8" s="52"/>
      <c r="E8" s="183">
        <f>E6+E7</f>
        <v>90000000</v>
      </c>
      <c r="G8" s="55" t="s">
        <v>272</v>
      </c>
      <c r="H8" s="171">
        <f ca="1">D167</f>
        <v>32257229.397978142</v>
      </c>
      <c r="M8"/>
      <c r="N8"/>
      <c r="O8"/>
      <c r="P8"/>
      <c r="Q8"/>
      <c r="R8"/>
      <c r="S8"/>
      <c r="T8"/>
      <c r="U8"/>
    </row>
    <row r="9" spans="1:21">
      <c r="A9" s="57" t="s">
        <v>242</v>
      </c>
      <c r="B9" s="52"/>
      <c r="C9" s="52"/>
      <c r="D9" s="52"/>
      <c r="E9" s="83">
        <v>0.03</v>
      </c>
      <c r="G9" s="99" t="str">
        <f>A168</f>
        <v>NPV</v>
      </c>
      <c r="H9" s="172">
        <f ca="1">D168</f>
        <v>-4872617.7596631423</v>
      </c>
      <c r="M9"/>
      <c r="N9"/>
      <c r="O9"/>
      <c r="P9"/>
      <c r="Q9"/>
      <c r="R9"/>
      <c r="S9"/>
      <c r="T9"/>
      <c r="U9"/>
    </row>
    <row r="10" spans="1:21">
      <c r="A10" s="57" t="s">
        <v>169</v>
      </c>
      <c r="B10" s="52"/>
      <c r="C10" s="52"/>
      <c r="D10" s="52"/>
      <c r="E10" s="83">
        <v>0.06</v>
      </c>
      <c r="G10" s="99" t="str">
        <f>A169</f>
        <v>P(NPV&gt;0)</v>
      </c>
      <c r="H10" s="177">
        <f ca="1">D169</f>
        <v>0</v>
      </c>
      <c r="M10"/>
      <c r="N10"/>
      <c r="O10"/>
      <c r="P10"/>
      <c r="Q10"/>
      <c r="R10"/>
      <c r="S10"/>
      <c r="T10"/>
      <c r="U10"/>
    </row>
    <row r="11" spans="1:21">
      <c r="A11" s="57" t="s">
        <v>248</v>
      </c>
      <c r="B11" s="52"/>
      <c r="C11" s="52"/>
      <c r="D11" s="52"/>
      <c r="E11" s="183">
        <v>6000000</v>
      </c>
      <c r="G11" s="99" t="s">
        <v>273</v>
      </c>
      <c r="H11" s="173">
        <f ca="1">D170</f>
        <v>-0.29875588265264907</v>
      </c>
      <c r="M11"/>
      <c r="N11"/>
      <c r="O11"/>
      <c r="P11"/>
      <c r="Q11"/>
      <c r="R11"/>
      <c r="S11"/>
      <c r="T11"/>
      <c r="U11"/>
    </row>
    <row r="12" spans="1:21" ht="13.5" thickBot="1">
      <c r="A12" s="57" t="s">
        <v>220</v>
      </c>
      <c r="B12" s="52"/>
      <c r="C12" s="52"/>
      <c r="D12" s="52"/>
      <c r="E12" s="83">
        <v>7.4999999999999997E-2</v>
      </c>
      <c r="G12" s="110" t="s">
        <v>274</v>
      </c>
      <c r="H12" s="174">
        <f ca="1">D171</f>
        <v>0</v>
      </c>
      <c r="M12"/>
      <c r="N12"/>
      <c r="O12"/>
      <c r="P12"/>
      <c r="Q12"/>
      <c r="R12"/>
      <c r="S12"/>
      <c r="T12"/>
      <c r="U12"/>
    </row>
    <row r="13" spans="1:21">
      <c r="A13" s="57" t="s">
        <v>249</v>
      </c>
      <c r="B13" s="52"/>
      <c r="C13" s="52"/>
      <c r="D13" s="52"/>
      <c r="E13" s="183">
        <v>2000000</v>
      </c>
      <c r="G13" s="52"/>
      <c r="M13"/>
      <c r="N13"/>
      <c r="O13"/>
      <c r="P13"/>
      <c r="Q13"/>
      <c r="R13"/>
      <c r="S13"/>
      <c r="T13"/>
      <c r="U13"/>
    </row>
    <row r="14" spans="1:21" ht="13.5" thickBot="1">
      <c r="A14" s="60" t="s">
        <v>219</v>
      </c>
      <c r="B14" s="61"/>
      <c r="C14" s="61"/>
      <c r="D14" s="61"/>
      <c r="E14" s="84">
        <v>0.11</v>
      </c>
      <c r="G14" s="52"/>
      <c r="L14"/>
      <c r="M14"/>
      <c r="N14"/>
      <c r="O14"/>
      <c r="P14"/>
      <c r="Q14"/>
      <c r="R14"/>
      <c r="S14"/>
      <c r="T14"/>
      <c r="U14"/>
    </row>
    <row r="15" spans="1:21">
      <c r="A15" s="57"/>
      <c r="B15" s="52"/>
      <c r="C15" s="52"/>
      <c r="D15" s="52"/>
      <c r="E15" s="52"/>
      <c r="F15" s="52"/>
      <c r="G15" s="52"/>
      <c r="L15"/>
      <c r="M15"/>
      <c r="N15"/>
      <c r="O15"/>
      <c r="P15"/>
      <c r="Q15"/>
      <c r="R15"/>
      <c r="S15"/>
      <c r="T15"/>
      <c r="U15"/>
    </row>
    <row r="16" spans="1:21" ht="13.5" thickBot="1">
      <c r="A16" s="99" t="s">
        <v>230</v>
      </c>
      <c r="B16" s="52"/>
      <c r="C16" s="52"/>
      <c r="D16" s="52"/>
      <c r="E16" s="52"/>
      <c r="F16" s="52"/>
      <c r="G16" s="52"/>
      <c r="H16" s="9"/>
      <c r="I16"/>
      <c r="L16"/>
      <c r="M16"/>
      <c r="N16"/>
      <c r="O16"/>
      <c r="P16"/>
      <c r="Q16"/>
      <c r="R16"/>
      <c r="S16"/>
      <c r="T16"/>
      <c r="U16"/>
    </row>
    <row r="17" spans="1:21">
      <c r="A17" s="55"/>
      <c r="B17" s="56"/>
      <c r="C17" s="56"/>
      <c r="D17" s="56"/>
      <c r="E17" s="71" t="s">
        <v>226</v>
      </c>
      <c r="F17" s="112" t="s">
        <v>186</v>
      </c>
      <c r="G17" s="82"/>
      <c r="H17"/>
      <c r="I17"/>
      <c r="L17"/>
      <c r="M17"/>
      <c r="N17"/>
      <c r="O17"/>
      <c r="P17"/>
      <c r="Q17"/>
      <c r="R17"/>
      <c r="S17"/>
      <c r="T17"/>
      <c r="U17"/>
    </row>
    <row r="18" spans="1:21">
      <c r="A18" s="124" t="s">
        <v>225</v>
      </c>
      <c r="B18" s="51"/>
      <c r="C18" s="125" t="s">
        <v>223</v>
      </c>
      <c r="D18" s="51"/>
      <c r="E18" s="69" t="s">
        <v>227</v>
      </c>
      <c r="F18" s="125" t="s">
        <v>228</v>
      </c>
      <c r="G18" s="126"/>
      <c r="H18"/>
      <c r="I18"/>
      <c r="L18"/>
      <c r="M18"/>
      <c r="N18"/>
      <c r="O18"/>
      <c r="P18"/>
      <c r="Q18"/>
      <c r="R18"/>
      <c r="S18"/>
      <c r="T18"/>
      <c r="U18"/>
    </row>
    <row r="19" spans="1:21">
      <c r="A19" s="57" t="s">
        <v>51</v>
      </c>
      <c r="B19" s="52"/>
      <c r="C19" s="113">
        <v>500000</v>
      </c>
      <c r="D19" s="52"/>
      <c r="E19" s="52"/>
      <c r="F19" s="81">
        <v>0.02</v>
      </c>
      <c r="G19" s="83"/>
      <c r="H19"/>
      <c r="I19"/>
      <c r="L19"/>
      <c r="M19"/>
      <c r="N19"/>
      <c r="O19"/>
      <c r="P19"/>
      <c r="Q19"/>
      <c r="R19"/>
      <c r="S19"/>
      <c r="T19"/>
      <c r="U19"/>
    </row>
    <row r="20" spans="1:21">
      <c r="A20" s="57" t="s">
        <v>52</v>
      </c>
      <c r="B20" s="52"/>
      <c r="C20" s="113">
        <v>400000</v>
      </c>
      <c r="D20" s="52"/>
      <c r="E20" s="52"/>
      <c r="F20" s="81">
        <v>0.03</v>
      </c>
      <c r="G20" s="83"/>
      <c r="H20"/>
      <c r="I20"/>
      <c r="L20"/>
      <c r="M20"/>
      <c r="N20"/>
      <c r="O20"/>
      <c r="P20"/>
      <c r="Q20"/>
      <c r="R20"/>
      <c r="S20"/>
      <c r="T20"/>
      <c r="U20"/>
    </row>
    <row r="21" spans="1:21">
      <c r="A21" s="57" t="s">
        <v>53</v>
      </c>
      <c r="B21" s="52"/>
      <c r="C21" s="113">
        <v>300000</v>
      </c>
      <c r="D21" s="52"/>
      <c r="E21" s="52"/>
      <c r="F21" s="81">
        <v>0.03</v>
      </c>
      <c r="G21" s="83"/>
      <c r="H21"/>
      <c r="I21"/>
      <c r="L21"/>
      <c r="M21"/>
      <c r="N21"/>
      <c r="O21"/>
      <c r="P21"/>
      <c r="Q21"/>
      <c r="R21"/>
      <c r="S21"/>
      <c r="T21"/>
      <c r="U21"/>
    </row>
    <row r="22" spans="1:21">
      <c r="A22" s="8" t="s">
        <v>224</v>
      </c>
      <c r="B22" s="9"/>
      <c r="C22" s="9"/>
      <c r="D22" s="9"/>
      <c r="E22" s="113">
        <v>100000000</v>
      </c>
      <c r="F22" s="123">
        <v>0.01</v>
      </c>
      <c r="G22" s="12"/>
      <c r="H22"/>
      <c r="I22"/>
      <c r="L22"/>
      <c r="M22"/>
      <c r="N22"/>
      <c r="O22"/>
      <c r="P22"/>
      <c r="Q22"/>
      <c r="R22"/>
      <c r="S22"/>
      <c r="T22"/>
      <c r="U22"/>
    </row>
    <row r="23" spans="1:21" ht="13.5" thickBot="1">
      <c r="A23" s="14" t="s">
        <v>239</v>
      </c>
      <c r="B23" s="15"/>
      <c r="C23" s="15"/>
      <c r="D23" s="15"/>
      <c r="E23" s="15"/>
      <c r="F23" s="122">
        <v>-0.04</v>
      </c>
      <c r="G23" s="27"/>
      <c r="H23"/>
      <c r="I23"/>
      <c r="L23"/>
      <c r="M23"/>
      <c r="N23"/>
      <c r="O23"/>
      <c r="P23"/>
      <c r="Q23"/>
      <c r="R23"/>
      <c r="S23"/>
      <c r="T23"/>
      <c r="U23"/>
    </row>
    <row r="24" spans="1:21" ht="13.5" thickBot="1">
      <c r="A24" s="99" t="s">
        <v>222</v>
      </c>
      <c r="B24" s="52"/>
      <c r="C24" s="52"/>
      <c r="D24" s="52"/>
      <c r="E24" s="9"/>
      <c r="F24" s="9"/>
      <c r="G24" s="12"/>
      <c r="L24"/>
      <c r="M24"/>
      <c r="N24"/>
      <c r="O24"/>
      <c r="P24"/>
      <c r="Q24"/>
      <c r="R24"/>
      <c r="S24"/>
      <c r="T24"/>
      <c r="U24"/>
    </row>
    <row r="25" spans="1:21">
      <c r="A25" s="57"/>
      <c r="B25" s="74"/>
      <c r="C25" s="56"/>
      <c r="D25" s="71" t="s">
        <v>24</v>
      </c>
      <c r="E25" s="72" t="s">
        <v>61</v>
      </c>
      <c r="F25" s="9"/>
      <c r="G25" s="12"/>
      <c r="L25"/>
      <c r="M25"/>
      <c r="N25"/>
      <c r="O25"/>
      <c r="P25"/>
      <c r="Q25"/>
      <c r="R25"/>
      <c r="S25"/>
      <c r="T25"/>
      <c r="U25"/>
    </row>
    <row r="26" spans="1:21">
      <c r="A26" s="57"/>
      <c r="B26" s="99" t="s">
        <v>191</v>
      </c>
      <c r="C26" s="52"/>
      <c r="D26" s="52"/>
      <c r="E26" s="107"/>
      <c r="F26" s="9"/>
      <c r="G26" s="12"/>
      <c r="L26"/>
      <c r="M26"/>
      <c r="N26"/>
      <c r="O26"/>
      <c r="P26"/>
      <c r="Q26"/>
      <c r="R26"/>
      <c r="S26"/>
      <c r="T26"/>
      <c r="U26"/>
    </row>
    <row r="27" spans="1:21">
      <c r="A27" s="57"/>
      <c r="B27" s="109" t="s">
        <v>189</v>
      </c>
      <c r="C27" s="52"/>
      <c r="D27" s="90">
        <f>Sheet5!H22</f>
        <v>0.97</v>
      </c>
      <c r="E27" s="114">
        <f>Sheet5!H23</f>
        <v>6.7499999999999895E-3</v>
      </c>
      <c r="F27" s="9"/>
      <c r="G27" s="12"/>
      <c r="L27"/>
      <c r="M27"/>
      <c r="N27"/>
      <c r="O27"/>
      <c r="P27"/>
      <c r="Q27"/>
      <c r="R27"/>
      <c r="S27"/>
      <c r="T27"/>
      <c r="U27"/>
    </row>
    <row r="28" spans="1:21">
      <c r="A28" s="57"/>
      <c r="B28" s="109" t="s">
        <v>190</v>
      </c>
      <c r="C28" s="90"/>
      <c r="D28" s="90">
        <f>Sheet5!H44</f>
        <v>0.97</v>
      </c>
      <c r="E28" s="114">
        <f>Sheet5!H45</f>
        <v>2.6315789473684411E-4</v>
      </c>
      <c r="F28" s="9"/>
      <c r="G28" s="12"/>
      <c r="L28"/>
      <c r="M28"/>
      <c r="N28"/>
      <c r="O28"/>
      <c r="P28"/>
      <c r="Q28"/>
      <c r="R28"/>
      <c r="S28"/>
      <c r="T28"/>
      <c r="U28"/>
    </row>
    <row r="29" spans="1:21">
      <c r="A29" s="57"/>
      <c r="B29" s="57"/>
      <c r="C29" s="76"/>
      <c r="D29" s="115" t="s">
        <v>192</v>
      </c>
      <c r="E29" s="77"/>
      <c r="F29" s="9"/>
      <c r="G29" s="12"/>
      <c r="L29"/>
      <c r="M29"/>
      <c r="N29"/>
      <c r="O29"/>
      <c r="P29"/>
      <c r="Q29"/>
      <c r="R29"/>
      <c r="S29"/>
      <c r="T29"/>
      <c r="U29"/>
    </row>
    <row r="30" spans="1:21">
      <c r="A30" s="57"/>
      <c r="B30" s="99" t="s">
        <v>221</v>
      </c>
      <c r="C30" s="76"/>
      <c r="D30" s="48">
        <v>0.98</v>
      </c>
      <c r="E30" s="77"/>
      <c r="F30" s="9"/>
      <c r="G30" s="12"/>
      <c r="L30"/>
      <c r="M30"/>
      <c r="N30"/>
      <c r="O30"/>
      <c r="P30"/>
      <c r="Q30"/>
      <c r="R30"/>
      <c r="S30"/>
      <c r="T30"/>
      <c r="U30"/>
    </row>
    <row r="31" spans="1:21" ht="13.5" thickBot="1">
      <c r="A31" s="57"/>
      <c r="B31" s="110" t="s">
        <v>240</v>
      </c>
      <c r="C31" s="78"/>
      <c r="D31" s="127">
        <v>1</v>
      </c>
      <c r="E31" s="79"/>
      <c r="F31" s="9"/>
      <c r="G31" s="12"/>
      <c r="L31"/>
      <c r="M31"/>
      <c r="N31"/>
      <c r="O31"/>
      <c r="P31"/>
      <c r="Q31"/>
      <c r="R31"/>
      <c r="S31"/>
      <c r="T31"/>
      <c r="U31"/>
    </row>
    <row r="32" spans="1:21">
      <c r="A32" s="57"/>
      <c r="B32" s="52"/>
      <c r="C32" s="52"/>
      <c r="D32" s="52"/>
      <c r="E32" s="52"/>
      <c r="F32" s="52"/>
      <c r="G32" s="83"/>
      <c r="L32"/>
      <c r="M32"/>
      <c r="N32"/>
      <c r="O32"/>
      <c r="P32"/>
      <c r="Q32"/>
      <c r="R32"/>
      <c r="S32"/>
      <c r="T32"/>
      <c r="U32"/>
    </row>
    <row r="33" spans="1:21" ht="13.5" thickBot="1">
      <c r="A33" s="99" t="s">
        <v>170</v>
      </c>
      <c r="B33" s="52"/>
      <c r="C33" s="52"/>
      <c r="D33" s="52"/>
      <c r="E33" s="52"/>
      <c r="F33" s="52"/>
      <c r="G33" s="83"/>
      <c r="M33"/>
      <c r="N33"/>
      <c r="O33"/>
      <c r="P33"/>
      <c r="Q33"/>
      <c r="R33"/>
      <c r="S33"/>
      <c r="T33"/>
      <c r="U33"/>
    </row>
    <row r="34" spans="1:21">
      <c r="A34" s="116" t="s">
        <v>171</v>
      </c>
      <c r="B34" s="117" t="s">
        <v>51</v>
      </c>
      <c r="C34" s="117" t="s">
        <v>52</v>
      </c>
      <c r="D34" s="117" t="s">
        <v>53</v>
      </c>
      <c r="E34" s="118" t="s">
        <v>229</v>
      </c>
      <c r="F34" s="52"/>
      <c r="G34" s="83"/>
      <c r="M34"/>
      <c r="N34"/>
      <c r="O34"/>
      <c r="P34"/>
      <c r="Q34"/>
      <c r="R34"/>
      <c r="S34"/>
      <c r="T34"/>
      <c r="U34"/>
    </row>
    <row r="35" spans="1:21">
      <c r="A35" s="119" t="s">
        <v>172</v>
      </c>
      <c r="B35" s="76">
        <v>0.34</v>
      </c>
      <c r="C35" s="76">
        <v>0.33</v>
      </c>
      <c r="D35" s="76">
        <v>0.33</v>
      </c>
      <c r="E35" s="77">
        <f>1-SUM(B35:D35)</f>
        <v>0</v>
      </c>
      <c r="F35" s="52"/>
      <c r="G35" s="83"/>
      <c r="M35"/>
      <c r="N35"/>
      <c r="O35"/>
      <c r="P35"/>
      <c r="Q35"/>
      <c r="R35"/>
      <c r="S35"/>
      <c r="T35"/>
      <c r="U35"/>
    </row>
    <row r="36" spans="1:21">
      <c r="A36" s="119" t="s">
        <v>173</v>
      </c>
      <c r="B36" s="76">
        <v>0.4</v>
      </c>
      <c r="C36" s="76">
        <v>0.2</v>
      </c>
      <c r="D36" s="76">
        <v>0.2</v>
      </c>
      <c r="E36" s="77">
        <f>1-SUM(B36:D36)</f>
        <v>0.19999999999999996</v>
      </c>
      <c r="F36" s="52"/>
      <c r="G36" s="83"/>
      <c r="M36"/>
      <c r="N36"/>
      <c r="O36"/>
      <c r="P36"/>
      <c r="Q36"/>
      <c r="R36"/>
      <c r="S36"/>
      <c r="T36"/>
      <c r="U36"/>
    </row>
    <row r="37" spans="1:21">
      <c r="A37" s="119" t="s">
        <v>174</v>
      </c>
      <c r="B37" s="76">
        <v>0.5</v>
      </c>
      <c r="C37" s="76">
        <v>0.25</v>
      </c>
      <c r="D37" s="76">
        <v>0.25</v>
      </c>
      <c r="E37" s="77">
        <f>1-SUM(B37:D37)</f>
        <v>0</v>
      </c>
      <c r="F37" s="52"/>
      <c r="G37" s="83"/>
      <c r="L37"/>
      <c r="M37"/>
      <c r="N37"/>
      <c r="O37"/>
      <c r="P37"/>
      <c r="Q37"/>
      <c r="R37"/>
      <c r="S37"/>
      <c r="T37"/>
      <c r="U37"/>
    </row>
    <row r="38" spans="1:21">
      <c r="A38" s="119" t="s">
        <v>175</v>
      </c>
      <c r="B38" s="76">
        <v>0.5</v>
      </c>
      <c r="C38" s="76">
        <v>0</v>
      </c>
      <c r="D38" s="76">
        <v>0</v>
      </c>
      <c r="E38" s="77">
        <f>1-SUM(B38:D38)</f>
        <v>0.5</v>
      </c>
      <c r="F38" s="52"/>
      <c r="G38" s="83"/>
      <c r="L38"/>
      <c r="M38"/>
      <c r="N38"/>
      <c r="O38"/>
      <c r="P38"/>
      <c r="Q38"/>
      <c r="R38"/>
      <c r="S38"/>
      <c r="T38"/>
      <c r="U38"/>
    </row>
    <row r="39" spans="1:21" ht="13.5" thickBot="1">
      <c r="A39" s="73" t="s">
        <v>176</v>
      </c>
      <c r="B39" s="78">
        <v>0</v>
      </c>
      <c r="C39" s="78">
        <v>0</v>
      </c>
      <c r="D39" s="78">
        <v>0</v>
      </c>
      <c r="E39" s="79">
        <f>1-SUM(B39:D39)</f>
        <v>1</v>
      </c>
      <c r="F39" s="52"/>
      <c r="G39" s="83"/>
      <c r="L39"/>
      <c r="M39"/>
      <c r="N39"/>
      <c r="O39"/>
      <c r="P39"/>
      <c r="Q39"/>
      <c r="R39"/>
      <c r="S39"/>
      <c r="T39"/>
      <c r="U39"/>
    </row>
    <row r="40" spans="1:21" ht="13.5" thickBot="1">
      <c r="A40" s="119"/>
      <c r="B40" s="52"/>
      <c r="C40" s="58" t="s">
        <v>215</v>
      </c>
      <c r="D40" s="52"/>
      <c r="E40" s="9"/>
      <c r="F40" s="52"/>
      <c r="G40" s="83"/>
      <c r="L40"/>
      <c r="M40"/>
      <c r="N40"/>
      <c r="O40"/>
      <c r="P40"/>
      <c r="Q40"/>
      <c r="R40"/>
      <c r="S40"/>
      <c r="T40"/>
      <c r="U40"/>
    </row>
    <row r="41" spans="1:21">
      <c r="A41" s="119"/>
      <c r="B41" s="70" t="str">
        <f>B34</f>
        <v>Cotton</v>
      </c>
      <c r="C41" s="71" t="str">
        <f>C34</f>
        <v>Wheat</v>
      </c>
      <c r="D41" s="71" t="str">
        <f>D34</f>
        <v>Sorghum</v>
      </c>
      <c r="E41" s="72" t="str">
        <f>E34</f>
        <v>Consumer</v>
      </c>
      <c r="F41" s="52"/>
      <c r="G41" s="83"/>
      <c r="L41"/>
      <c r="M41"/>
      <c r="N41"/>
      <c r="O41"/>
      <c r="P41"/>
      <c r="Q41"/>
      <c r="R41"/>
      <c r="S41"/>
      <c r="T41"/>
      <c r="U41"/>
    </row>
    <row r="42" spans="1:21" ht="13.5" thickBot="1">
      <c r="A42" s="119"/>
      <c r="B42" s="175">
        <f ca="1">_xll.SCENARIO(B35,B36,B37,B38,B39)</f>
        <v>0.34</v>
      </c>
      <c r="C42" s="175">
        <f ca="1">_xll.SCENARIO(C35,C36,C37,C38,C39)</f>
        <v>0.33</v>
      </c>
      <c r="D42" s="175">
        <f ca="1">_xll.SCENARIO(D35,D36,D37,D38,D39)</f>
        <v>0.33</v>
      </c>
      <c r="E42" s="180">
        <f ca="1">_xll.SCENARIO(E35,E36,E37,E38,E39)</f>
        <v>0</v>
      </c>
      <c r="F42" s="52"/>
      <c r="G42" s="83"/>
      <c r="L42"/>
      <c r="M42"/>
      <c r="N42"/>
      <c r="O42"/>
      <c r="P42"/>
      <c r="Q42"/>
      <c r="R42"/>
      <c r="S42"/>
      <c r="T42"/>
      <c r="U42"/>
    </row>
    <row r="43" spans="1:21">
      <c r="A43" s="57"/>
      <c r="B43" s="52" t="s">
        <v>276</v>
      </c>
      <c r="C43" s="52"/>
      <c r="D43" s="52"/>
      <c r="E43" s="9"/>
      <c r="F43" s="52"/>
      <c r="G43" s="83"/>
      <c r="L43"/>
      <c r="M43"/>
      <c r="N43"/>
      <c r="O43"/>
      <c r="P43"/>
      <c r="Q43"/>
      <c r="R43"/>
      <c r="S43"/>
      <c r="T43"/>
      <c r="U43"/>
    </row>
    <row r="44" spans="1:21" ht="13.5" thickBot="1">
      <c r="A44" s="60"/>
      <c r="B44" s="61" t="str">
        <f ca="1">_xll.VFORMULA(B42)</f>
        <v>=SCENARIO(B35,B36,B37,B38,B39)</v>
      </c>
      <c r="C44" s="61"/>
      <c r="D44" s="61"/>
      <c r="E44" s="15"/>
      <c r="F44" s="61"/>
      <c r="G44" s="84"/>
      <c r="H44" s="106"/>
      <c r="I44" s="106"/>
      <c r="J44" s="167"/>
      <c r="K44" s="106"/>
      <c r="L44"/>
      <c r="M44"/>
      <c r="N44"/>
      <c r="O44"/>
      <c r="P44"/>
      <c r="Q44"/>
      <c r="R44"/>
      <c r="S44"/>
      <c r="T44"/>
      <c r="U44"/>
    </row>
    <row r="45" spans="1:21" ht="13.5" thickBot="1">
      <c r="L45"/>
      <c r="M45"/>
      <c r="N45"/>
      <c r="O45"/>
      <c r="P45"/>
      <c r="Q45"/>
      <c r="R45"/>
      <c r="S45"/>
      <c r="T45"/>
      <c r="U45"/>
    </row>
    <row r="46" spans="1:21">
      <c r="A46" s="131" t="s">
        <v>234</v>
      </c>
      <c r="B46" s="132"/>
      <c r="C46" s="132"/>
      <c r="D46" s="133" t="s">
        <v>51</v>
      </c>
      <c r="E46" s="133" t="s">
        <v>52</v>
      </c>
      <c r="F46" s="134" t="s">
        <v>53</v>
      </c>
    </row>
    <row r="47" spans="1:21">
      <c r="A47" s="135" t="s">
        <v>113</v>
      </c>
      <c r="B47" s="136"/>
      <c r="C47" s="136" t="s">
        <v>232</v>
      </c>
      <c r="D47" s="137">
        <v>160</v>
      </c>
      <c r="E47" s="137">
        <v>25</v>
      </c>
      <c r="F47" s="138">
        <v>35.700000000000003</v>
      </c>
    </row>
    <row r="48" spans="1:21">
      <c r="A48" s="135" t="s">
        <v>113</v>
      </c>
      <c r="B48" s="136"/>
      <c r="C48" s="136" t="s">
        <v>11</v>
      </c>
      <c r="D48" s="139">
        <f>Stoch!C254</f>
        <v>0.13241379310344828</v>
      </c>
      <c r="E48" s="137"/>
      <c r="F48" s="138"/>
    </row>
    <row r="49" spans="1:6">
      <c r="A49" s="135" t="s">
        <v>115</v>
      </c>
      <c r="B49" s="136"/>
      <c r="C49" s="136" t="s">
        <v>124</v>
      </c>
      <c r="D49" s="137">
        <v>3.6</v>
      </c>
      <c r="E49" s="137">
        <v>1</v>
      </c>
      <c r="F49" s="138">
        <v>2</v>
      </c>
    </row>
    <row r="50" spans="1:6">
      <c r="A50" s="135" t="s">
        <v>11</v>
      </c>
      <c r="B50" s="136"/>
      <c r="C50" s="136" t="s">
        <v>124</v>
      </c>
      <c r="D50" s="137">
        <v>8.4</v>
      </c>
      <c r="E50" s="137">
        <v>13.2</v>
      </c>
      <c r="F50" s="138">
        <v>15</v>
      </c>
    </row>
    <row r="51" spans="1:6">
      <c r="A51" s="135" t="s">
        <v>116</v>
      </c>
      <c r="B51" s="136"/>
      <c r="C51" s="136" t="s">
        <v>124</v>
      </c>
      <c r="D51" s="137">
        <v>6.25</v>
      </c>
      <c r="E51" s="137">
        <v>10.5</v>
      </c>
      <c r="F51" s="138">
        <v>10</v>
      </c>
    </row>
    <row r="52" spans="1:6">
      <c r="A52" s="135" t="s">
        <v>117</v>
      </c>
      <c r="B52" s="136"/>
      <c r="C52" s="136" t="s">
        <v>124</v>
      </c>
      <c r="D52" s="137">
        <v>3.5</v>
      </c>
      <c r="E52" s="137">
        <v>0</v>
      </c>
      <c r="F52" s="138">
        <v>0</v>
      </c>
    </row>
    <row r="53" spans="1:6">
      <c r="A53" s="135" t="s">
        <v>118</v>
      </c>
      <c r="B53" s="136"/>
      <c r="C53" s="136" t="s">
        <v>124</v>
      </c>
      <c r="D53" s="137">
        <v>10</v>
      </c>
      <c r="E53" s="137">
        <v>3.5</v>
      </c>
      <c r="F53" s="138">
        <v>4</v>
      </c>
    </row>
    <row r="54" spans="1:6">
      <c r="A54" s="135" t="s">
        <v>119</v>
      </c>
      <c r="B54" s="136"/>
      <c r="C54" s="136" t="s">
        <v>124</v>
      </c>
      <c r="D54" s="137">
        <v>5.16</v>
      </c>
      <c r="E54" s="137">
        <v>4.63</v>
      </c>
      <c r="F54" s="138">
        <v>5</v>
      </c>
    </row>
    <row r="55" spans="1:6">
      <c r="A55" s="135" t="s">
        <v>120</v>
      </c>
      <c r="B55" s="136"/>
      <c r="C55" s="136" t="s">
        <v>124</v>
      </c>
      <c r="D55" s="137">
        <v>2.85</v>
      </c>
      <c r="E55" s="137">
        <v>2.86</v>
      </c>
      <c r="F55" s="138">
        <v>3</v>
      </c>
    </row>
    <row r="56" spans="1:6">
      <c r="A56" s="135" t="s">
        <v>121</v>
      </c>
      <c r="B56" s="136"/>
      <c r="C56" s="136" t="s">
        <v>124</v>
      </c>
      <c r="D56" s="137">
        <v>8.09</v>
      </c>
      <c r="E56" s="137">
        <v>8.6199999999999992</v>
      </c>
      <c r="F56" s="138">
        <v>9</v>
      </c>
    </row>
    <row r="57" spans="1:6">
      <c r="A57" s="135" t="s">
        <v>122</v>
      </c>
      <c r="B57" s="136"/>
      <c r="C57" s="136" t="s">
        <v>231</v>
      </c>
      <c r="D57" s="137">
        <v>0.19</v>
      </c>
      <c r="E57" s="137">
        <v>0.68</v>
      </c>
      <c r="F57" s="138">
        <v>1.2</v>
      </c>
    </row>
    <row r="58" spans="1:6">
      <c r="A58" s="135" t="s">
        <v>145</v>
      </c>
      <c r="B58" s="136"/>
      <c r="C58" s="136"/>
      <c r="D58" s="137">
        <v>0.9</v>
      </c>
      <c r="E58" s="137">
        <v>0.7</v>
      </c>
      <c r="F58" s="138">
        <v>0.6</v>
      </c>
    </row>
    <row r="59" spans="1:6">
      <c r="A59" s="135" t="s">
        <v>141</v>
      </c>
      <c r="B59" s="136"/>
      <c r="C59" s="136" t="s">
        <v>124</v>
      </c>
      <c r="D59" s="137">
        <v>51.43</v>
      </c>
      <c r="E59" s="137">
        <v>50.82</v>
      </c>
      <c r="F59" s="138">
        <v>51</v>
      </c>
    </row>
    <row r="60" spans="1:6">
      <c r="A60" s="135" t="s">
        <v>129</v>
      </c>
      <c r="B60" s="136"/>
      <c r="C60" s="136"/>
      <c r="D60" s="137">
        <f>D47</f>
        <v>160</v>
      </c>
      <c r="E60" s="137">
        <f>E47</f>
        <v>25</v>
      </c>
      <c r="F60" s="138">
        <f>F47</f>
        <v>35.700000000000003</v>
      </c>
    </row>
    <row r="61" spans="1:6">
      <c r="A61" s="135" t="s">
        <v>128</v>
      </c>
      <c r="B61" s="136"/>
      <c r="C61" s="136"/>
      <c r="D61" s="137">
        <v>0.65</v>
      </c>
      <c r="E61" s="137">
        <v>0.65</v>
      </c>
      <c r="F61" s="138">
        <v>0.65</v>
      </c>
    </row>
    <row r="62" spans="1:6">
      <c r="A62" s="135" t="s">
        <v>132</v>
      </c>
      <c r="B62" s="136"/>
      <c r="C62" s="136"/>
      <c r="D62" s="136">
        <f>D60*D61</f>
        <v>104</v>
      </c>
      <c r="E62" s="140">
        <f>E60*E61</f>
        <v>16.25</v>
      </c>
      <c r="F62" s="141">
        <f>F60*F61</f>
        <v>23.205000000000002</v>
      </c>
    </row>
    <row r="63" spans="1:6">
      <c r="A63" s="135" t="s">
        <v>130</v>
      </c>
      <c r="B63" s="136"/>
      <c r="C63" s="136"/>
      <c r="D63" s="137">
        <v>1</v>
      </c>
      <c r="E63" s="137">
        <v>1</v>
      </c>
      <c r="F63" s="138">
        <v>1</v>
      </c>
    </row>
    <row r="64" spans="1:6">
      <c r="A64" s="135" t="s">
        <v>233</v>
      </c>
      <c r="B64" s="136"/>
      <c r="C64" s="136">
        <v>1999</v>
      </c>
      <c r="D64" s="137">
        <f>Stoch!C275</f>
        <v>0.625</v>
      </c>
      <c r="E64" s="137">
        <f>Stoch!L17</f>
        <v>2.98</v>
      </c>
      <c r="F64" s="142">
        <f>Stoch!M17</f>
        <v>3.0357142857142851</v>
      </c>
    </row>
    <row r="65" spans="1:11">
      <c r="A65" s="135" t="s">
        <v>233</v>
      </c>
      <c r="B65" s="136"/>
      <c r="C65" s="136">
        <v>2000</v>
      </c>
      <c r="D65" s="137">
        <f>Stoch!C276</f>
        <v>0.54500000000000004</v>
      </c>
      <c r="E65" s="137">
        <f>Stoch!L18</f>
        <v>3.15</v>
      </c>
      <c r="F65" s="142">
        <f>Stoch!M18</f>
        <v>3.3214285714285712</v>
      </c>
    </row>
    <row r="66" spans="1:11">
      <c r="A66" s="135" t="s">
        <v>233</v>
      </c>
      <c r="B66" s="136"/>
      <c r="C66" s="136">
        <v>2001</v>
      </c>
      <c r="D66" s="137">
        <f>Stoch!C277</f>
        <v>0.53100000000000003</v>
      </c>
      <c r="E66" s="137">
        <f>Stoch!L19</f>
        <v>3.25</v>
      </c>
      <c r="F66" s="142">
        <f>Stoch!M19</f>
        <v>3.4285714285714279</v>
      </c>
    </row>
    <row r="67" spans="1:11">
      <c r="A67" s="135" t="s">
        <v>233</v>
      </c>
      <c r="B67" s="136"/>
      <c r="C67" s="136">
        <v>2002</v>
      </c>
      <c r="D67" s="137">
        <f>Stoch!C278</f>
        <v>0.55300000000000005</v>
      </c>
      <c r="E67" s="137">
        <f>Stoch!L20</f>
        <v>3.34</v>
      </c>
      <c r="F67" s="142">
        <f>Stoch!M20</f>
        <v>3.5357142857142851</v>
      </c>
    </row>
    <row r="68" spans="1:11" ht="13.5" thickBot="1">
      <c r="A68" s="143" t="s">
        <v>233</v>
      </c>
      <c r="B68" s="144"/>
      <c r="C68" s="144">
        <v>2003</v>
      </c>
      <c r="D68" s="145">
        <f>Stoch!C279</f>
        <v>0.57999999999999996</v>
      </c>
      <c r="E68" s="146">
        <f>Stoch!L21</f>
        <v>3.46</v>
      </c>
      <c r="F68" s="147">
        <f>Stoch!M21</f>
        <v>3.6607142857142851</v>
      </c>
    </row>
    <row r="69" spans="1:11" ht="13.5" thickBot="1">
      <c r="A69" s="106"/>
      <c r="B69" s="106"/>
      <c r="C69" s="106"/>
      <c r="D69" s="106"/>
      <c r="E69" s="106"/>
      <c r="F69" s="106"/>
      <c r="G69" s="106"/>
      <c r="H69" s="106"/>
      <c r="I69" s="106"/>
      <c r="J69" s="167"/>
      <c r="K69" s="106"/>
    </row>
    <row r="70" spans="1:11" ht="13.5" thickTop="1">
      <c r="D70" s="85">
        <f>D175</f>
        <v>1999</v>
      </c>
      <c r="E70" s="85">
        <f>E175</f>
        <v>2000</v>
      </c>
      <c r="F70" s="85">
        <f>F175</f>
        <v>2001</v>
      </c>
      <c r="G70" s="85">
        <f>G175</f>
        <v>2002</v>
      </c>
      <c r="H70" s="85">
        <f>H175</f>
        <v>2003</v>
      </c>
      <c r="I70" s="85"/>
    </row>
    <row r="71" spans="1:11">
      <c r="A71" s="50" t="s">
        <v>263</v>
      </c>
    </row>
    <row r="72" spans="1:11">
      <c r="A72" s="91" t="s">
        <v>216</v>
      </c>
      <c r="D72" s="86">
        <f ca="1">D207</f>
        <v>143.25550275985688</v>
      </c>
      <c r="E72" s="86">
        <f ca="1">E207</f>
        <v>100.26791229156707</v>
      </c>
      <c r="F72" s="86">
        <f ca="1">F207</f>
        <v>6.8507111095266424</v>
      </c>
      <c r="G72" s="86">
        <f ca="1">G207</f>
        <v>75.373663883922873</v>
      </c>
      <c r="H72" s="86">
        <f ca="1">H207</f>
        <v>83.474387517651778</v>
      </c>
      <c r="I72" s="86"/>
    </row>
    <row r="73" spans="1:11">
      <c r="A73" s="91" t="s">
        <v>217</v>
      </c>
      <c r="D73" s="86">
        <f ca="1">D240</f>
        <v>14.894352562042911</v>
      </c>
      <c r="E73" s="86">
        <f ca="1">E240</f>
        <v>9.4248479441211401</v>
      </c>
      <c r="F73" s="86">
        <f ca="1">F240</f>
        <v>-0.786106386241471</v>
      </c>
      <c r="G73" s="86">
        <f ca="1">G240</f>
        <v>-7.5482679787033362</v>
      </c>
      <c r="H73" s="86">
        <f ca="1">H240</f>
        <v>5.7987514266208109</v>
      </c>
      <c r="I73" s="86"/>
    </row>
    <row r="74" spans="1:11">
      <c r="A74" s="91" t="s">
        <v>218</v>
      </c>
      <c r="D74" s="86">
        <f ca="1">D273</f>
        <v>-12.007200639631535</v>
      </c>
      <c r="E74" s="86">
        <f ca="1">E273</f>
        <v>21.978878078537846</v>
      </c>
      <c r="F74" s="86">
        <f ca="1">F273</f>
        <v>15.787541857907371</v>
      </c>
      <c r="G74" s="86">
        <f ca="1">G273</f>
        <v>-11.324490656840894</v>
      </c>
      <c r="H74" s="86">
        <f ca="1">H273</f>
        <v>56.973429914674441</v>
      </c>
      <c r="I74" s="86"/>
    </row>
    <row r="76" spans="1:11">
      <c r="A76" s="50" t="s">
        <v>260</v>
      </c>
    </row>
    <row r="77" spans="1:11">
      <c r="A77" s="49" t="s">
        <v>51</v>
      </c>
      <c r="D77" s="24">
        <f ca="1">D195</f>
        <v>114.82193762356206</v>
      </c>
      <c r="E77" s="24">
        <f ca="1">E195</f>
        <v>117.03834547940231</v>
      </c>
      <c r="F77" s="24">
        <f ca="1">F195</f>
        <v>84.267958255913882</v>
      </c>
      <c r="G77" s="24">
        <f ca="1">G195</f>
        <v>108.02998373569937</v>
      </c>
      <c r="H77" s="24">
        <f ca="1">H195</f>
        <v>108.62004658859817</v>
      </c>
      <c r="I77" s="24"/>
    </row>
    <row r="78" spans="1:11">
      <c r="A78" s="49" t="s">
        <v>52</v>
      </c>
      <c r="D78" s="24">
        <f ca="1">D228</f>
        <v>60.500476190476192</v>
      </c>
      <c r="E78" s="24">
        <f ca="1">E228</f>
        <v>61.683598095238096</v>
      </c>
      <c r="F78" s="24">
        <f ca="1">F228</f>
        <v>62.160226541491639</v>
      </c>
      <c r="G78" s="24">
        <f ca="1">G228</f>
        <v>53.04298376711391</v>
      </c>
      <c r="H78" s="24">
        <f ca="1">H228</f>
        <v>65.474210406666359</v>
      </c>
      <c r="I78" s="24"/>
    </row>
    <row r="79" spans="1:11">
      <c r="A79" s="49" t="s">
        <v>53</v>
      </c>
      <c r="D79" s="24">
        <f ca="1">D261</f>
        <v>73.135333873976208</v>
      </c>
      <c r="E79" s="24">
        <f ca="1">E261</f>
        <v>87.710621142673219</v>
      </c>
      <c r="F79" s="24">
        <f ca="1">F261</f>
        <v>89.27590218292589</v>
      </c>
      <c r="G79" s="24">
        <f ca="1">G261</f>
        <v>89.953006617129091</v>
      </c>
      <c r="H79" s="24">
        <f ca="1">H261</f>
        <v>108.01398103461298</v>
      </c>
      <c r="I79" s="24"/>
    </row>
    <row r="81" spans="1:9">
      <c r="A81" s="50" t="s">
        <v>264</v>
      </c>
    </row>
    <row r="82" spans="1:9">
      <c r="A82" s="49" t="s">
        <v>51</v>
      </c>
      <c r="D82" s="88">
        <f t="shared" ref="D82:H84" ca="1" si="0">D77*$C19</f>
        <v>57410968.811781034</v>
      </c>
      <c r="E82" s="88">
        <f t="shared" ca="1" si="0"/>
        <v>58519172.739701152</v>
      </c>
      <c r="F82" s="88">
        <f t="shared" ca="1" si="0"/>
        <v>42133979.127956942</v>
      </c>
      <c r="G82" s="88">
        <f t="shared" ca="1" si="0"/>
        <v>54014991.867849685</v>
      </c>
      <c r="H82" s="88">
        <f t="shared" ca="1" si="0"/>
        <v>54310023.294299088</v>
      </c>
      <c r="I82" s="88"/>
    </row>
    <row r="83" spans="1:9">
      <c r="A83" s="49" t="s">
        <v>52</v>
      </c>
      <c r="D83" s="88">
        <f t="shared" ca="1" si="0"/>
        <v>24200190.476190478</v>
      </c>
      <c r="E83" s="88">
        <f t="shared" ca="1" si="0"/>
        <v>24673439.238095239</v>
      </c>
      <c r="F83" s="88">
        <f t="shared" ca="1" si="0"/>
        <v>24864090.616596654</v>
      </c>
      <c r="G83" s="88">
        <f t="shared" ca="1" si="0"/>
        <v>21217193.506845564</v>
      </c>
      <c r="H83" s="88">
        <f t="shared" ca="1" si="0"/>
        <v>26189684.162666544</v>
      </c>
      <c r="I83" s="88"/>
    </row>
    <row r="84" spans="1:9">
      <c r="A84" s="49" t="s">
        <v>53</v>
      </c>
      <c r="D84" s="88">
        <f t="shared" ca="1" si="0"/>
        <v>21940600.162192862</v>
      </c>
      <c r="E84" s="88">
        <f t="shared" ca="1" si="0"/>
        <v>26313186.342801966</v>
      </c>
      <c r="F84" s="88">
        <f t="shared" ca="1" si="0"/>
        <v>26782770.654877767</v>
      </c>
      <c r="G84" s="88">
        <f t="shared" ca="1" si="0"/>
        <v>26985901.985138729</v>
      </c>
      <c r="H84" s="88">
        <f t="shared" ca="1" si="0"/>
        <v>32404194.310383894</v>
      </c>
      <c r="I84" s="88"/>
    </row>
    <row r="85" spans="1:9">
      <c r="A85" s="91" t="s">
        <v>221</v>
      </c>
      <c r="D85" s="88">
        <f>$E$22</f>
        <v>100000000</v>
      </c>
      <c r="E85" s="88">
        <f>$E$22</f>
        <v>100000000</v>
      </c>
      <c r="F85" s="88">
        <f>$E$22</f>
        <v>100000000</v>
      </c>
      <c r="G85" s="88">
        <f>$E$22</f>
        <v>100000000</v>
      </c>
      <c r="H85" s="88">
        <f>$E$22</f>
        <v>100000000</v>
      </c>
      <c r="I85" s="88"/>
    </row>
    <row r="86" spans="1:9">
      <c r="A86" s="89" t="s">
        <v>179</v>
      </c>
      <c r="D86" s="88">
        <f ca="1">SUM(D82:D85)</f>
        <v>203551759.45016438</v>
      </c>
      <c r="E86" s="88">
        <f ca="1">SUM(E82:E85)</f>
        <v>209505798.32059836</v>
      </c>
      <c r="F86" s="88">
        <f ca="1">SUM(F82:F85)</f>
        <v>193780840.39943135</v>
      </c>
      <c r="G86" s="88">
        <f ca="1">SUM(G82:G85)</f>
        <v>202218087.35983396</v>
      </c>
      <c r="H86" s="88">
        <f ca="1">SUM(H82:H85)</f>
        <v>212903901.76734951</v>
      </c>
      <c r="I86" s="88"/>
    </row>
    <row r="87" spans="1:9">
      <c r="A87" s="89"/>
      <c r="D87" s="88"/>
      <c r="E87" s="88"/>
      <c r="F87" s="88"/>
      <c r="G87" s="88"/>
      <c r="H87" s="88"/>
      <c r="I87" s="88"/>
    </row>
    <row r="88" spans="1:9">
      <c r="A88" s="111" t="s">
        <v>235</v>
      </c>
      <c r="D88" s="88">
        <f>E6+E7</f>
        <v>90000000</v>
      </c>
      <c r="E88" s="88">
        <f ca="1">D160</f>
        <v>90930315.940984398</v>
      </c>
      <c r="F88" s="88">
        <f ca="1">E160</f>
        <v>91325018.20386602</v>
      </c>
      <c r="G88" s="88">
        <f ca="1">F160</f>
        <v>93255586.083447605</v>
      </c>
      <c r="H88" s="88">
        <f ca="1">G160</f>
        <v>94872211.598565966</v>
      </c>
      <c r="I88" s="88"/>
    </row>
    <row r="89" spans="1:9">
      <c r="A89" s="111"/>
      <c r="D89" s="88"/>
      <c r="E89" s="88"/>
      <c r="F89" s="88"/>
      <c r="G89" s="88"/>
      <c r="H89" s="88"/>
      <c r="I89" s="88"/>
    </row>
    <row r="90" spans="1:9">
      <c r="A90" s="111" t="s">
        <v>265</v>
      </c>
      <c r="D90" s="88"/>
      <c r="E90" s="88"/>
      <c r="F90" s="88"/>
      <c r="I90" s="88"/>
    </row>
    <row r="91" spans="1:9">
      <c r="A91" s="89" t="str">
        <f>A82</f>
        <v>Cotton</v>
      </c>
      <c r="C91" s="24">
        <f ca="1">B42</f>
        <v>0.34</v>
      </c>
      <c r="D91" s="88">
        <f t="shared" ref="D91:H94" ca="1" si="1">D$88*$C91</f>
        <v>30600000.000000004</v>
      </c>
      <c r="E91" s="88">
        <f t="shared" ca="1" si="1"/>
        <v>30916307.419934697</v>
      </c>
      <c r="F91" s="88">
        <f t="shared" ca="1" si="1"/>
        <v>31050506.189314447</v>
      </c>
      <c r="G91" s="88">
        <f t="shared" ca="1" si="1"/>
        <v>31706899.268372189</v>
      </c>
      <c r="H91" s="88">
        <f t="shared" ca="1" si="1"/>
        <v>32256551.943512432</v>
      </c>
      <c r="I91" s="88"/>
    </row>
    <row r="92" spans="1:9">
      <c r="A92" s="89" t="str">
        <f>A83</f>
        <v>Wheat</v>
      </c>
      <c r="C92" s="24">
        <f ca="1">C42</f>
        <v>0.33</v>
      </c>
      <c r="D92" s="88">
        <f t="shared" ca="1" si="1"/>
        <v>29700000</v>
      </c>
      <c r="E92" s="88">
        <f t="shared" ca="1" si="1"/>
        <v>30007004.260524854</v>
      </c>
      <c r="F92" s="88">
        <f t="shared" ca="1" si="1"/>
        <v>30137256.007275786</v>
      </c>
      <c r="G92" s="88">
        <f t="shared" ca="1" si="1"/>
        <v>30774343.40753771</v>
      </c>
      <c r="H92" s="88">
        <f t="shared" ca="1" si="1"/>
        <v>31307829.827526771</v>
      </c>
      <c r="I92" s="88"/>
    </row>
    <row r="93" spans="1:9">
      <c r="A93" s="89" t="str">
        <f>A84</f>
        <v>Sorghum</v>
      </c>
      <c r="C93" s="24">
        <f ca="1">D42</f>
        <v>0.33</v>
      </c>
      <c r="D93" s="88">
        <f t="shared" ca="1" si="1"/>
        <v>29700000</v>
      </c>
      <c r="E93" s="88">
        <f t="shared" ca="1" si="1"/>
        <v>30007004.260524854</v>
      </c>
      <c r="F93" s="88">
        <f t="shared" ca="1" si="1"/>
        <v>30137256.007275786</v>
      </c>
      <c r="G93" s="88">
        <f t="shared" ca="1" si="1"/>
        <v>30774343.40753771</v>
      </c>
      <c r="H93" s="88">
        <f t="shared" ca="1" si="1"/>
        <v>31307829.827526771</v>
      </c>
      <c r="I93" s="88"/>
    </row>
    <row r="94" spans="1:9">
      <c r="A94" s="89" t="str">
        <f>A85</f>
        <v>Consumer Loans</v>
      </c>
      <c r="C94" s="24">
        <f ca="1">E42</f>
        <v>0</v>
      </c>
      <c r="D94" s="88">
        <f t="shared" ca="1" si="1"/>
        <v>0</v>
      </c>
      <c r="E94" s="88">
        <f t="shared" ca="1" si="1"/>
        <v>0</v>
      </c>
      <c r="F94" s="88">
        <f t="shared" ca="1" si="1"/>
        <v>0</v>
      </c>
      <c r="G94" s="88">
        <f t="shared" ca="1" si="1"/>
        <v>0</v>
      </c>
      <c r="H94" s="88">
        <f t="shared" ca="1" si="1"/>
        <v>0</v>
      </c>
      <c r="I94" s="88"/>
    </row>
    <row r="95" spans="1:9">
      <c r="A95" s="89" t="s">
        <v>236</v>
      </c>
      <c r="D95" s="88">
        <f ca="1">SUM(D91:D94)</f>
        <v>90000000</v>
      </c>
      <c r="E95" s="88">
        <f ca="1">SUM(E91:E94)</f>
        <v>90930315.940984398</v>
      </c>
      <c r="F95" s="88">
        <f ca="1">SUM(F91:F94)</f>
        <v>91325018.20386602</v>
      </c>
      <c r="G95" s="88">
        <f ca="1">SUM(G91:G94)</f>
        <v>93255586.083447605</v>
      </c>
      <c r="H95" s="88">
        <f ca="1">SUM(H91:H94)</f>
        <v>94872211.598565966</v>
      </c>
      <c r="I95" s="88"/>
    </row>
    <row r="96" spans="1:9">
      <c r="A96" s="89"/>
      <c r="D96" s="88"/>
      <c r="E96" s="88"/>
      <c r="F96" s="88"/>
      <c r="G96" s="88"/>
      <c r="H96" s="88"/>
      <c r="I96" s="88"/>
    </row>
    <row r="97" spans="1:9">
      <c r="A97" s="50" t="s">
        <v>271</v>
      </c>
    </row>
    <row r="98" spans="1:9">
      <c r="A98" s="49" t="str">
        <f>A124</f>
        <v>Cotton</v>
      </c>
      <c r="D98" s="88">
        <f t="shared" ref="D98:H101" ca="1" si="2">IF(D82&lt;D91,D82,D91)</f>
        <v>30600000.000000004</v>
      </c>
      <c r="E98" s="88">
        <f t="shared" ca="1" si="2"/>
        <v>30916307.419934697</v>
      </c>
      <c r="F98" s="88">
        <f t="shared" ca="1" si="2"/>
        <v>31050506.189314447</v>
      </c>
      <c r="G98" s="88">
        <f t="shared" ca="1" si="2"/>
        <v>31706899.268372189</v>
      </c>
      <c r="H98" s="88">
        <f t="shared" ca="1" si="2"/>
        <v>32256551.943512432</v>
      </c>
      <c r="I98" s="88"/>
    </row>
    <row r="99" spans="1:9">
      <c r="A99" s="49" t="str">
        <f>A125</f>
        <v>Wheat</v>
      </c>
      <c r="D99" s="88">
        <f t="shared" ca="1" si="2"/>
        <v>24200190.476190478</v>
      </c>
      <c r="E99" s="88">
        <f t="shared" ca="1" si="2"/>
        <v>24673439.238095239</v>
      </c>
      <c r="F99" s="88">
        <f t="shared" ca="1" si="2"/>
        <v>24864090.616596654</v>
      </c>
      <c r="G99" s="88">
        <f t="shared" ca="1" si="2"/>
        <v>21217193.506845564</v>
      </c>
      <c r="H99" s="88">
        <f t="shared" ca="1" si="2"/>
        <v>26189684.162666544</v>
      </c>
      <c r="I99" s="88"/>
    </row>
    <row r="100" spans="1:9">
      <c r="A100" s="49" t="str">
        <f>A126</f>
        <v>Sorghum</v>
      </c>
      <c r="D100" s="88">
        <f t="shared" ca="1" si="2"/>
        <v>21940600.162192862</v>
      </c>
      <c r="E100" s="88">
        <f t="shared" ca="1" si="2"/>
        <v>26313186.342801966</v>
      </c>
      <c r="F100" s="88">
        <f t="shared" ca="1" si="2"/>
        <v>26782770.654877767</v>
      </c>
      <c r="G100" s="88">
        <f t="shared" ca="1" si="2"/>
        <v>26985901.985138729</v>
      </c>
      <c r="H100" s="88">
        <f t="shared" ca="1" si="2"/>
        <v>31307829.827526771</v>
      </c>
      <c r="I100" s="88"/>
    </row>
    <row r="101" spans="1:9">
      <c r="A101" s="49" t="str">
        <f>A127</f>
        <v>Consumer Loans</v>
      </c>
      <c r="D101" s="88">
        <f t="shared" ca="1" si="2"/>
        <v>0</v>
      </c>
      <c r="E101" s="88">
        <f t="shared" ca="1" si="2"/>
        <v>0</v>
      </c>
      <c r="F101" s="88">
        <f t="shared" ca="1" si="2"/>
        <v>0</v>
      </c>
      <c r="G101" s="88">
        <f t="shared" ca="1" si="2"/>
        <v>0</v>
      </c>
      <c r="H101" s="88">
        <f t="shared" ca="1" si="2"/>
        <v>0</v>
      </c>
      <c r="I101" s="88"/>
    </row>
    <row r="102" spans="1:9">
      <c r="C102" s="49" t="s">
        <v>179</v>
      </c>
      <c r="D102" s="88">
        <f ca="1">SUM(D98:D101)</f>
        <v>76740790.638383344</v>
      </c>
      <c r="E102" s="88">
        <f ca="1">SUM(E98:E101)</f>
        <v>81902933.000831902</v>
      </c>
      <c r="F102" s="88">
        <f ca="1">SUM(F98:F101)</f>
        <v>82697367.460788876</v>
      </c>
      <c r="G102" s="88">
        <f ca="1">SUM(G98:G101)</f>
        <v>79909994.760356486</v>
      </c>
      <c r="H102" s="88">
        <f ca="1">SUM(H98:H101)</f>
        <v>89754065.933705747</v>
      </c>
      <c r="I102" s="88"/>
    </row>
    <row r="103" spans="1:9">
      <c r="D103" s="88"/>
      <c r="E103" s="88"/>
      <c r="F103" s="88"/>
      <c r="G103" s="88"/>
      <c r="H103" s="88"/>
      <c r="I103" s="88"/>
    </row>
    <row r="104" spans="1:9">
      <c r="A104" s="50" t="s">
        <v>266</v>
      </c>
      <c r="D104" s="88"/>
      <c r="E104" s="88"/>
      <c r="F104" s="88"/>
      <c r="G104" s="88"/>
      <c r="H104" s="88"/>
      <c r="I104" s="88"/>
    </row>
    <row r="105" spans="1:9">
      <c r="A105" s="49" t="s">
        <v>237</v>
      </c>
      <c r="D105" s="88">
        <f ca="1">D95-D102</f>
        <v>13259209.361616656</v>
      </c>
      <c r="E105" s="88">
        <f ca="1">E95-E102</f>
        <v>9027382.9401524961</v>
      </c>
      <c r="F105" s="88">
        <f ca="1">F95-F102</f>
        <v>8627650.743077144</v>
      </c>
      <c r="G105" s="88">
        <f ca="1">G95-G102</f>
        <v>13345591.32309112</v>
      </c>
      <c r="H105" s="88">
        <f ca="1">H95-H102</f>
        <v>5118145.6648602188</v>
      </c>
      <c r="I105" s="88"/>
    </row>
    <row r="106" spans="1:9">
      <c r="A106" s="49" t="s">
        <v>267</v>
      </c>
      <c r="D106" s="88">
        <f ca="1">D102+D105</f>
        <v>90000000</v>
      </c>
      <c r="E106" s="88">
        <f ca="1">E102+E105</f>
        <v>90930315.940984398</v>
      </c>
      <c r="F106" s="88">
        <f ca="1">F102+F105</f>
        <v>91325018.20386602</v>
      </c>
      <c r="G106" s="88">
        <f ca="1">G102+G105</f>
        <v>93255586.083447605</v>
      </c>
      <c r="H106" s="88">
        <f ca="1">H102+H105</f>
        <v>94872211.598565966</v>
      </c>
      <c r="I106" s="88"/>
    </row>
    <row r="107" spans="1:9">
      <c r="D107" s="88"/>
      <c r="E107" s="88"/>
      <c r="F107" s="88"/>
      <c r="G107" s="88"/>
      <c r="H107" s="88"/>
      <c r="I107" s="88"/>
    </row>
    <row r="108" spans="1:9">
      <c r="A108" s="50" t="s">
        <v>261</v>
      </c>
      <c r="D108" s="88"/>
      <c r="E108" s="88"/>
      <c r="F108" s="88"/>
      <c r="G108" s="88"/>
      <c r="H108" s="88"/>
      <c r="I108" s="88"/>
    </row>
    <row r="109" spans="1:9">
      <c r="A109" s="49" t="s">
        <v>252</v>
      </c>
      <c r="D109" s="88">
        <f ca="1">D98*(1-$D$58)*D124</f>
        <v>3083558.3785382011</v>
      </c>
      <c r="E109" s="88">
        <f ca="1">E98*(1-$D$58)*E124</f>
        <v>3080458.4934379058</v>
      </c>
      <c r="F109" s="88">
        <f ca="1">F98*(1-$D$58)*F124</f>
        <v>3017496.9437242257</v>
      </c>
      <c r="G109" s="88">
        <f ca="1">G98*(1-$D$58)*G124</f>
        <v>3138460.4176704097</v>
      </c>
      <c r="H109" s="88">
        <f ca="1">H98*(1-$D$58)*H124</f>
        <v>3199743.3258079696</v>
      </c>
      <c r="I109" s="88"/>
    </row>
    <row r="110" spans="1:9">
      <c r="A110" s="49" t="s">
        <v>253</v>
      </c>
      <c r="D110" s="88">
        <f ca="1">D99*(1-$E$58)*D125</f>
        <v>7070711.7050730856</v>
      </c>
      <c r="E110" s="88">
        <f ca="1">E99*(1-$E$58)*E125</f>
        <v>7198329.5087918388</v>
      </c>
      <c r="F110" s="88">
        <f ca="1">F99*(1-$E$58)*F125</f>
        <v>7195870.0830754954</v>
      </c>
      <c r="G110" s="88">
        <f ca="1">G99*(1-$E$58)*G125</f>
        <v>5849893.3592420686</v>
      </c>
      <c r="H110" s="88">
        <f ca="1">H99*(1-$E$58)*H125</f>
        <v>7633187.6283149933</v>
      </c>
      <c r="I110" s="88"/>
    </row>
    <row r="111" spans="1:9">
      <c r="A111" s="49" t="s">
        <v>254</v>
      </c>
      <c r="D111" s="88">
        <f ca="1">D100*(1-$F$58)*D126</f>
        <v>7801650.8545171004</v>
      </c>
      <c r="E111" s="88">
        <f ca="1">E100*(1-$F$58)*E126</f>
        <v>10270393.597268879</v>
      </c>
      <c r="F111" s="88">
        <f ca="1">F100*(1-$F$58)*F126</f>
        <v>10436223.868069902</v>
      </c>
      <c r="G111" s="88">
        <f ca="1">G100*(1-$F$58)*G126</f>
        <v>9645405.6640115827</v>
      </c>
      <c r="H111" s="88">
        <f ca="1">H100*(1-$F$58)*H126</f>
        <v>12335197.388707668</v>
      </c>
      <c r="I111" s="88"/>
    </row>
    <row r="112" spans="1:9">
      <c r="A112" s="49" t="s">
        <v>179</v>
      </c>
      <c r="D112" s="88">
        <f ca="1">SUM(D109:D111)</f>
        <v>17955920.938128389</v>
      </c>
      <c r="E112" s="88">
        <f ca="1">SUM(E109:E111)</f>
        <v>20549181.599498622</v>
      </c>
      <c r="F112" s="88">
        <f ca="1">SUM(F109:F111)</f>
        <v>20649590.894869626</v>
      </c>
      <c r="G112" s="88">
        <f ca="1">SUM(G109:G111)</f>
        <v>18633759.440924063</v>
      </c>
      <c r="H112" s="88">
        <f ca="1">SUM(H109:H111)</f>
        <v>23168128.342830628</v>
      </c>
      <c r="I112" s="88"/>
    </row>
    <row r="113" spans="1:9">
      <c r="D113" s="88"/>
      <c r="E113" s="88"/>
      <c r="F113" s="88"/>
      <c r="G113" s="88"/>
      <c r="H113" s="88"/>
      <c r="I113" s="88"/>
    </row>
    <row r="114" spans="1:9">
      <c r="A114" s="50" t="s">
        <v>259</v>
      </c>
      <c r="D114" s="164">
        <f ca="1">D264/100</f>
        <v>7.6609072767560848E-2</v>
      </c>
      <c r="E114" s="164">
        <f ca="1">E264/100</f>
        <v>6.6559473624722337E-2</v>
      </c>
      <c r="F114" s="164">
        <f ca="1">F264/100</f>
        <v>8.4217107470635252E-2</v>
      </c>
      <c r="G114" s="164">
        <f ca="1">G264/100</f>
        <v>8.3620787869680871E-2</v>
      </c>
      <c r="H114" s="164">
        <f ca="1">H264/100</f>
        <v>6.6762043604630575E-2</v>
      </c>
      <c r="I114" s="164"/>
    </row>
    <row r="115" spans="1:9">
      <c r="D115" s="88"/>
      <c r="E115" s="88"/>
      <c r="F115" s="88"/>
      <c r="G115" s="88"/>
      <c r="H115" s="88"/>
      <c r="I115" s="88"/>
    </row>
    <row r="116" spans="1:9">
      <c r="A116" s="50" t="s">
        <v>268</v>
      </c>
    </row>
    <row r="117" spans="1:9">
      <c r="A117" s="49" t="s">
        <v>183</v>
      </c>
      <c r="C117" s="49">
        <f>C200</f>
        <v>0.9</v>
      </c>
      <c r="D117" s="80">
        <f ca="1">(D114+$F19)*$C$117</f>
        <v>8.6948165490804766E-2</v>
      </c>
      <c r="E117" s="80">
        <f ca="1">(E114+$F19)*$C$117</f>
        <v>7.7903526262250111E-2</v>
      </c>
      <c r="F117" s="80">
        <f ca="1">(F114+$F19)*$C$117</f>
        <v>9.3795396723571733E-2</v>
      </c>
      <c r="G117" s="80">
        <f ca="1">(G114+$F19)*$C$117</f>
        <v>9.325870908271279E-2</v>
      </c>
      <c r="H117" s="80">
        <f ca="1">(H114+$F19)*$C$117</f>
        <v>7.8085839244167524E-2</v>
      </c>
      <c r="I117" s="80"/>
    </row>
    <row r="118" spans="1:9">
      <c r="A118" s="49" t="s">
        <v>184</v>
      </c>
      <c r="C118" s="49">
        <f>C233</f>
        <v>0.7</v>
      </c>
      <c r="D118" s="80">
        <f ca="1">(D$114+$F20)*$C$118</f>
        <v>7.4626350937292585E-2</v>
      </c>
      <c r="E118" s="80">
        <f ca="1">(E114+$F20)*$C$118</f>
        <v>6.759163153730563E-2</v>
      </c>
      <c r="F118" s="80">
        <f ca="1">(F114+$F20)*$C$118</f>
        <v>7.9951975229444666E-2</v>
      </c>
      <c r="G118" s="80">
        <f ca="1">(G114+$F20)*$C$118</f>
        <v>7.9534551508776599E-2</v>
      </c>
      <c r="H118" s="80">
        <f ca="1">(H114+$F20)*$C$118</f>
        <v>6.7733430523241392E-2</v>
      </c>
      <c r="I118" s="80"/>
    </row>
    <row r="119" spans="1:9">
      <c r="A119" s="49" t="s">
        <v>185</v>
      </c>
      <c r="C119" s="49">
        <f>C266</f>
        <v>0.6</v>
      </c>
      <c r="D119" s="80">
        <f ca="1">(D$114+$F21)*$C119</f>
        <v>6.3965443660536511E-2</v>
      </c>
      <c r="E119" s="80">
        <f ca="1">(E$114+$F21)*$C119</f>
        <v>5.7935684174833399E-2</v>
      </c>
      <c r="F119" s="80">
        <f ca="1">(F$114+$F21)*$C119</f>
        <v>6.8530264482381142E-2</v>
      </c>
      <c r="G119" s="80">
        <f ca="1">(G$114+$F21)*$C119</f>
        <v>6.8172472721808514E-2</v>
      </c>
      <c r="H119" s="80">
        <f ca="1">(H$114+$F21)*$C119</f>
        <v>5.8057226162778343E-2</v>
      </c>
      <c r="I119" s="80"/>
    </row>
    <row r="120" spans="1:9">
      <c r="A120" s="49" t="s">
        <v>221</v>
      </c>
      <c r="C120" s="24"/>
      <c r="D120" s="80">
        <f t="shared" ref="D120:H121" ca="1" si="3">(D$114+$F22)</f>
        <v>8.6609072767560843E-2</v>
      </c>
      <c r="E120" s="80">
        <f t="shared" ca="1" si="3"/>
        <v>7.6559473624722332E-2</v>
      </c>
      <c r="F120" s="80">
        <f t="shared" ca="1" si="3"/>
        <v>9.4217107470635247E-2</v>
      </c>
      <c r="G120" s="80">
        <f t="shared" ca="1" si="3"/>
        <v>9.3620787869680866E-2</v>
      </c>
      <c r="H120" s="80">
        <f t="shared" ca="1" si="3"/>
        <v>7.676204360463057E-2</v>
      </c>
      <c r="I120" s="80"/>
    </row>
    <row r="121" spans="1:9">
      <c r="A121" s="49" t="s">
        <v>238</v>
      </c>
      <c r="D121" s="80">
        <f t="shared" ca="1" si="3"/>
        <v>3.6609072767560848E-2</v>
      </c>
      <c r="E121" s="80">
        <f t="shared" ca="1" si="3"/>
        <v>2.6559473624722336E-2</v>
      </c>
      <c r="F121" s="80">
        <f t="shared" ca="1" si="3"/>
        <v>4.4217107470635252E-2</v>
      </c>
      <c r="G121" s="80">
        <f t="shared" ca="1" si="3"/>
        <v>4.362078786968087E-2</v>
      </c>
      <c r="H121" s="80">
        <f t="shared" ca="1" si="3"/>
        <v>2.6762043604630574E-2</v>
      </c>
      <c r="I121" s="80"/>
    </row>
    <row r="123" spans="1:9">
      <c r="A123" s="50" t="s">
        <v>269</v>
      </c>
    </row>
    <row r="124" spans="1:9">
      <c r="A124" s="49" t="s">
        <v>51</v>
      </c>
      <c r="D124" s="80">
        <f t="shared" ref="D124:H126" ca="1" si="4">IF(D72&lt;=0,$D$27+$E$27*D72,$D$28+$E$28*D72)</f>
        <v>1.0076988165157521</v>
      </c>
      <c r="E124" s="80">
        <f t="shared" ca="1" si="4"/>
        <v>0.99638629270830725</v>
      </c>
      <c r="F124" s="80">
        <f t="shared" ca="1" si="4"/>
        <v>0.97180281871303331</v>
      </c>
      <c r="G124" s="80">
        <f t="shared" ca="1" si="4"/>
        <v>0.98983517470629567</v>
      </c>
      <c r="H124" s="80">
        <f t="shared" ca="1" si="4"/>
        <v>0.99196694408359276</v>
      </c>
      <c r="I124" s="80"/>
    </row>
    <row r="125" spans="1:9">
      <c r="A125" s="49" t="s">
        <v>52</v>
      </c>
      <c r="D125" s="80">
        <f t="shared" ca="1" si="4"/>
        <v>0.97391956646369549</v>
      </c>
      <c r="E125" s="80">
        <f t="shared" ca="1" si="4"/>
        <v>0.97248022314318971</v>
      </c>
      <c r="F125" s="80">
        <f t="shared" ca="1" si="4"/>
        <v>0.96469378189287003</v>
      </c>
      <c r="G125" s="80">
        <f t="shared" ca="1" si="4"/>
        <v>0.9190491911437525</v>
      </c>
      <c r="H125" s="80">
        <f t="shared" ca="1" si="4"/>
        <v>0.97152598721753181</v>
      </c>
      <c r="I125" s="80"/>
    </row>
    <row r="126" spans="1:9">
      <c r="A126" s="49" t="s">
        <v>53</v>
      </c>
      <c r="D126" s="80">
        <f t="shared" ca="1" si="4"/>
        <v>0.88895139568248727</v>
      </c>
      <c r="E126" s="80">
        <f t="shared" ca="1" si="4"/>
        <v>0.9757839152838258</v>
      </c>
      <c r="F126" s="80">
        <f t="shared" ca="1" si="4"/>
        <v>0.97415461627839672</v>
      </c>
      <c r="G126" s="80">
        <f t="shared" ca="1" si="4"/>
        <v>0.89355968806632402</v>
      </c>
      <c r="H126" s="80">
        <f t="shared" ca="1" si="4"/>
        <v>0.98499300787228283</v>
      </c>
      <c r="I126" s="80"/>
    </row>
    <row r="127" spans="1:9">
      <c r="A127" s="49" t="s">
        <v>221</v>
      </c>
      <c r="D127" s="80">
        <f>$D$30</f>
        <v>0.98</v>
      </c>
      <c r="E127" s="80">
        <f>$D$30</f>
        <v>0.98</v>
      </c>
      <c r="F127" s="80">
        <f>$D$30</f>
        <v>0.98</v>
      </c>
      <c r="G127" s="80">
        <f>$D$30</f>
        <v>0.98</v>
      </c>
      <c r="H127" s="80">
        <f>$D$30</f>
        <v>0.98</v>
      </c>
      <c r="I127" s="80"/>
    </row>
    <row r="128" spans="1:9">
      <c r="A128" s="49" t="s">
        <v>240</v>
      </c>
      <c r="D128" s="80">
        <f>$D$31</f>
        <v>1</v>
      </c>
      <c r="E128" s="80">
        <f>$D$31</f>
        <v>1</v>
      </c>
      <c r="F128" s="80">
        <f>$D$31</f>
        <v>1</v>
      </c>
      <c r="G128" s="80">
        <f>$D$31</f>
        <v>1</v>
      </c>
      <c r="H128" s="80">
        <f>$D$31</f>
        <v>1</v>
      </c>
      <c r="I128" s="80"/>
    </row>
    <row r="130" spans="1:9">
      <c r="A130" s="50" t="s">
        <v>270</v>
      </c>
    </row>
    <row r="131" spans="1:9">
      <c r="A131" s="49" t="str">
        <f>A98</f>
        <v>Cotton</v>
      </c>
      <c r="D131" s="88">
        <f t="shared" ref="D131:H134" ca="1" si="5">D98*D124*D117</f>
        <v>2681097.4419769719</v>
      </c>
      <c r="E131" s="88">
        <f t="shared" ca="1" si="5"/>
        <v>2399785.7914331136</v>
      </c>
      <c r="F131" s="88">
        <f t="shared" ca="1" si="5"/>
        <v>2830273.2294877903</v>
      </c>
      <c r="G131" s="88">
        <f t="shared" ca="1" si="5"/>
        <v>2926887.6705913409</v>
      </c>
      <c r="H131" s="88">
        <f t="shared" ca="1" si="5"/>
        <v>2498546.4296163912</v>
      </c>
      <c r="I131" s="88"/>
    </row>
    <row r="132" spans="1:9">
      <c r="A132" s="49" t="str">
        <f>A99</f>
        <v>Wheat</v>
      </c>
      <c r="D132" s="88">
        <f t="shared" ca="1" si="5"/>
        <v>1758871.376930688</v>
      </c>
      <c r="E132" s="88">
        <f t="shared" ca="1" si="5"/>
        <v>1621822.7861412403</v>
      </c>
      <c r="F132" s="88">
        <f t="shared" ca="1" si="5"/>
        <v>1917746.755454513</v>
      </c>
      <c r="G132" s="88">
        <f t="shared" ca="1" si="5"/>
        <v>1550895.4823382946</v>
      </c>
      <c r="H132" s="88">
        <f t="shared" ca="1" si="5"/>
        <v>1723406.6129777974</v>
      </c>
      <c r="I132" s="88"/>
    </row>
    <row r="133" spans="1:9">
      <c r="A133" s="49" t="str">
        <f>A100</f>
        <v>Sorghum</v>
      </c>
      <c r="D133" s="88">
        <f t="shared" ca="1" si="5"/>
        <v>1247590.1454844754</v>
      </c>
      <c r="E133" s="88">
        <f t="shared" ca="1" si="5"/>
        <v>1487555.6995065019</v>
      </c>
      <c r="F133" s="88">
        <f t="shared" ca="1" si="5"/>
        <v>1787992.9546904229</v>
      </c>
      <c r="G133" s="88">
        <f t="shared" ca="1" si="5"/>
        <v>1643877.8863015175</v>
      </c>
      <c r="H133" s="88">
        <f t="shared" ca="1" si="5"/>
        <v>1790368.3613967847</v>
      </c>
      <c r="I133" s="88"/>
    </row>
    <row r="134" spans="1:9">
      <c r="A134" s="49" t="str">
        <f>A101</f>
        <v>Consumer Loans</v>
      </c>
      <c r="D134" s="88">
        <f t="shared" ca="1" si="5"/>
        <v>0</v>
      </c>
      <c r="E134" s="88">
        <f t="shared" ca="1" si="5"/>
        <v>0</v>
      </c>
      <c r="F134" s="88">
        <f t="shared" ca="1" si="5"/>
        <v>0</v>
      </c>
      <c r="G134" s="88">
        <f t="shared" ca="1" si="5"/>
        <v>0</v>
      </c>
      <c r="H134" s="88">
        <f t="shared" ca="1" si="5"/>
        <v>0</v>
      </c>
      <c r="I134" s="88"/>
    </row>
    <row r="135" spans="1:9">
      <c r="A135" s="49" t="s">
        <v>240</v>
      </c>
      <c r="D135" s="88">
        <f ca="1">D105*D128*D121</f>
        <v>485407.36035974819</v>
      </c>
      <c r="E135" s="88">
        <f ca="1">E105*E128*E121</f>
        <v>239762.53909924859</v>
      </c>
      <c r="F135" s="88">
        <f ca="1">F105*F128*F121</f>
        <v>381489.76012574817</v>
      </c>
      <c r="G135" s="88">
        <f ca="1">G105*G128*G121</f>
        <v>582145.20810001134</v>
      </c>
      <c r="H135" s="88">
        <f ca="1">H105*H128*H121</f>
        <v>136972.03745784011</v>
      </c>
      <c r="I135" s="88"/>
    </row>
    <row r="136" spans="1:9">
      <c r="A136" s="49" t="s">
        <v>255</v>
      </c>
      <c r="D136" s="88">
        <f ca="1">D112*D121*D128</f>
        <v>657349.6162325117</v>
      </c>
      <c r="E136" s="88">
        <f ca="1">E112*E121*E128</f>
        <v>545775.44670151325</v>
      </c>
      <c r="F136" s="88">
        <f ca="1">F112*F121*F128</f>
        <v>913065.17982310138</v>
      </c>
      <c r="G136" s="88">
        <f ca="1">G112*G121*G128</f>
        <v>812819.26778721181</v>
      </c>
      <c r="H136" s="88">
        <f ca="1">H112*H121*H128</f>
        <v>620026.46094851079</v>
      </c>
      <c r="I136" s="88"/>
    </row>
    <row r="137" spans="1:9">
      <c r="C137" s="49" t="s">
        <v>179</v>
      </c>
      <c r="D137" s="88">
        <f ca="1">SUM(D131:D136)</f>
        <v>6830315.9409843944</v>
      </c>
      <c r="E137" s="88">
        <f ca="1">SUM(E131:E136)</f>
        <v>6294702.262881618</v>
      </c>
      <c r="F137" s="88">
        <f ca="1">SUM(F131:F136)</f>
        <v>7830567.8795815753</v>
      </c>
      <c r="G137" s="88">
        <f ca="1">SUM(G131:G136)</f>
        <v>7516625.5151183764</v>
      </c>
      <c r="H137" s="88">
        <f ca="1">SUM(H131:H136)</f>
        <v>6769319.9023973253</v>
      </c>
      <c r="I137" s="88"/>
    </row>
    <row r="138" spans="1:9">
      <c r="D138" s="88"/>
      <c r="E138" s="88"/>
      <c r="F138" s="88"/>
      <c r="G138" s="88"/>
      <c r="H138" s="88"/>
      <c r="I138" s="88"/>
    </row>
    <row r="139" spans="1:9" ht="13.5" thickBot="1">
      <c r="A139" s="50" t="s">
        <v>193</v>
      </c>
      <c r="D139" s="88"/>
      <c r="E139" s="88"/>
      <c r="F139" s="88"/>
      <c r="G139" s="88"/>
      <c r="H139" s="88"/>
      <c r="I139" s="88"/>
    </row>
    <row r="140" spans="1:9">
      <c r="A140" s="92" t="s">
        <v>194</v>
      </c>
      <c r="B140" s="56"/>
      <c r="C140" s="56"/>
      <c r="D140" s="93">
        <f ca="1">D137</f>
        <v>6830315.9409843944</v>
      </c>
      <c r="E140" s="93">
        <f ca="1">E137</f>
        <v>6294702.262881618</v>
      </c>
      <c r="F140" s="93">
        <f ca="1">F137</f>
        <v>7830567.8795815753</v>
      </c>
      <c r="G140" s="93">
        <f ca="1">G137</f>
        <v>7516625.5151183764</v>
      </c>
      <c r="H140" s="94">
        <f ca="1">H137</f>
        <v>6769319.9023973253</v>
      </c>
      <c r="I140" s="95"/>
    </row>
    <row r="141" spans="1:9">
      <c r="A141" s="57"/>
      <c r="B141" s="52"/>
      <c r="C141" s="52"/>
      <c r="D141" s="95"/>
      <c r="E141" s="95"/>
      <c r="F141" s="95"/>
      <c r="G141" s="95"/>
      <c r="H141" s="96"/>
      <c r="I141" s="95"/>
    </row>
    <row r="142" spans="1:9">
      <c r="A142" s="97" t="s">
        <v>195</v>
      </c>
      <c r="B142" s="52"/>
      <c r="C142" s="52"/>
      <c r="D142" s="95"/>
      <c r="E142" s="95"/>
      <c r="F142" s="95"/>
      <c r="G142" s="95"/>
      <c r="H142" s="96"/>
      <c r="I142" s="95"/>
    </row>
    <row r="143" spans="1:9">
      <c r="A143" s="98" t="s">
        <v>196</v>
      </c>
      <c r="B143" s="52"/>
      <c r="C143" s="52"/>
      <c r="D143" s="95">
        <f>$E$13</f>
        <v>2000000</v>
      </c>
      <c r="E143" s="95">
        <f>$E$13</f>
        <v>2000000</v>
      </c>
      <c r="F143" s="95">
        <f>$E$13</f>
        <v>2000000</v>
      </c>
      <c r="G143" s="95">
        <f>$E$13</f>
        <v>2000000</v>
      </c>
      <c r="H143" s="96">
        <f>$E$13</f>
        <v>2000000</v>
      </c>
      <c r="I143" s="95"/>
    </row>
    <row r="144" spans="1:9">
      <c r="A144" s="98" t="s">
        <v>241</v>
      </c>
      <c r="B144" s="52"/>
      <c r="C144" s="52"/>
      <c r="D144" s="95">
        <f>$E$6*$E$9</f>
        <v>1500000</v>
      </c>
      <c r="E144" s="95">
        <f>$E$6*$E$9</f>
        <v>1500000</v>
      </c>
      <c r="F144" s="95">
        <f>$E$6*$E$9</f>
        <v>1500000</v>
      </c>
      <c r="G144" s="95">
        <f>$E$6*$E$9</f>
        <v>1500000</v>
      </c>
      <c r="H144" s="96">
        <f>$E$6*$E$9</f>
        <v>1500000</v>
      </c>
      <c r="I144" s="95"/>
    </row>
    <row r="145" spans="1:9">
      <c r="A145" s="97" t="s">
        <v>197</v>
      </c>
      <c r="B145" s="52"/>
      <c r="C145" s="52"/>
      <c r="D145" s="95">
        <f ca="1">D140-D143-D144</f>
        <v>3330315.9409843944</v>
      </c>
      <c r="E145" s="95">
        <f ca="1">E140-E143-E144</f>
        <v>2794702.262881618</v>
      </c>
      <c r="F145" s="95">
        <f ca="1">F140-F143-F144</f>
        <v>4330567.8795815753</v>
      </c>
      <c r="G145" s="95">
        <f ca="1">G140-G143-G144</f>
        <v>4016625.5151183764</v>
      </c>
      <c r="H145" s="96">
        <f ca="1">H140-H143-H144</f>
        <v>3269319.9023973253</v>
      </c>
      <c r="I145" s="95"/>
    </row>
    <row r="146" spans="1:9">
      <c r="A146" s="57"/>
      <c r="B146" s="52"/>
      <c r="C146" s="52"/>
      <c r="D146" s="95"/>
      <c r="E146" s="95"/>
      <c r="F146" s="95"/>
      <c r="G146" s="95"/>
      <c r="H146" s="96"/>
      <c r="I146" s="95"/>
    </row>
    <row r="147" spans="1:9">
      <c r="A147" s="99" t="s">
        <v>198</v>
      </c>
      <c r="B147" s="52"/>
      <c r="C147" s="52"/>
      <c r="D147" s="95"/>
      <c r="E147" s="95"/>
      <c r="F147" s="95"/>
      <c r="G147" s="95"/>
      <c r="H147" s="96"/>
      <c r="I147" s="95"/>
    </row>
    <row r="148" spans="1:9">
      <c r="A148" s="97" t="s">
        <v>199</v>
      </c>
      <c r="B148" s="52"/>
      <c r="C148" s="52"/>
      <c r="D148" s="95">
        <f>E7</f>
        <v>40000000</v>
      </c>
      <c r="E148" s="95">
        <f ca="1">D151</f>
        <v>40930315.940984398</v>
      </c>
      <c r="F148" s="95">
        <f ca="1">E151</f>
        <v>41325018.20386602</v>
      </c>
      <c r="G148" s="95">
        <f ca="1">F151</f>
        <v>43255586.083447598</v>
      </c>
      <c r="H148" s="96">
        <f ca="1">G151</f>
        <v>44872211.598565973</v>
      </c>
      <c r="I148" s="95"/>
    </row>
    <row r="149" spans="1:9">
      <c r="A149" s="97" t="s">
        <v>200</v>
      </c>
      <c r="B149" s="52"/>
      <c r="C149" s="52"/>
      <c r="D149" s="95">
        <f ca="1">D145</f>
        <v>3330315.9409843944</v>
      </c>
      <c r="E149" s="95">
        <f ca="1">E145</f>
        <v>2794702.262881618</v>
      </c>
      <c r="F149" s="95">
        <f ca="1">F145</f>
        <v>4330567.8795815753</v>
      </c>
      <c r="G149" s="95">
        <f ca="1">G145</f>
        <v>4016625.5151183764</v>
      </c>
      <c r="H149" s="96">
        <f ca="1">H145</f>
        <v>3269319.9023973253</v>
      </c>
      <c r="I149" s="95"/>
    </row>
    <row r="150" spans="1:9">
      <c r="A150" s="97" t="s">
        <v>201</v>
      </c>
      <c r="B150" s="52"/>
      <c r="C150" s="52"/>
      <c r="D150" s="95">
        <f>$E$10*$E$7</f>
        <v>2400000</v>
      </c>
      <c r="E150" s="95">
        <f>$E$10*$E$7</f>
        <v>2400000</v>
      </c>
      <c r="F150" s="95">
        <f>$E$10*$E$7</f>
        <v>2400000</v>
      </c>
      <c r="G150" s="95">
        <f>$E$10*$E$7</f>
        <v>2400000</v>
      </c>
      <c r="H150" s="96">
        <f>$E$10*$E$7</f>
        <v>2400000</v>
      </c>
      <c r="I150" s="95"/>
    </row>
    <row r="151" spans="1:9">
      <c r="A151" s="97" t="s">
        <v>202</v>
      </c>
      <c r="B151" s="52"/>
      <c r="C151" s="52"/>
      <c r="D151" s="95">
        <f ca="1">D148+D149-D150</f>
        <v>40930315.940984398</v>
      </c>
      <c r="E151" s="95">
        <f ca="1">E148+E149-E150</f>
        <v>41325018.20386602</v>
      </c>
      <c r="F151" s="95">
        <f ca="1">F148+F149-F150</f>
        <v>43255586.083447598</v>
      </c>
      <c r="G151" s="95">
        <f ca="1">G148+G149-G150</f>
        <v>44872211.598565973</v>
      </c>
      <c r="H151" s="96">
        <f ca="1">H148+H149-H150</f>
        <v>45741531.5009633</v>
      </c>
      <c r="I151" s="95"/>
    </row>
    <row r="152" spans="1:9">
      <c r="A152" s="57"/>
      <c r="B152" s="52"/>
      <c r="C152" s="52"/>
      <c r="D152" s="128"/>
      <c r="E152" s="100"/>
      <c r="F152" s="100"/>
      <c r="G152" s="100"/>
      <c r="H152" s="101"/>
      <c r="I152" s="100"/>
    </row>
    <row r="153" spans="1:9">
      <c r="A153" s="99" t="s">
        <v>203</v>
      </c>
      <c r="B153" s="52"/>
      <c r="C153" s="52"/>
      <c r="D153" s="100"/>
      <c r="E153" s="100"/>
      <c r="F153" s="100"/>
      <c r="G153" s="100"/>
      <c r="H153" s="101"/>
      <c r="I153" s="100"/>
    </row>
    <row r="154" spans="1:9">
      <c r="A154" s="97" t="s">
        <v>204</v>
      </c>
      <c r="B154" s="52"/>
      <c r="C154" s="95">
        <f>E11</f>
        <v>6000000</v>
      </c>
      <c r="D154" s="95">
        <f>E11*(1+$E$12)</f>
        <v>6450000</v>
      </c>
      <c r="E154" s="95">
        <f>D154*(1+$E$12)</f>
        <v>6933750</v>
      </c>
      <c r="F154" s="95">
        <f>E154*(1+$E$12)</f>
        <v>7453781.25</v>
      </c>
      <c r="G154" s="95">
        <f>F154*(1+$E$12)</f>
        <v>8012814.84375</v>
      </c>
      <c r="H154" s="96">
        <f>G154*(1+$E$12)</f>
        <v>8613775.95703125</v>
      </c>
      <c r="I154" s="95"/>
    </row>
    <row r="155" spans="1:9">
      <c r="A155" s="97" t="s">
        <v>205</v>
      </c>
      <c r="B155" s="52"/>
      <c r="C155" s="95">
        <f>E7</f>
        <v>40000000</v>
      </c>
      <c r="D155" s="95">
        <f ca="1">D151</f>
        <v>40930315.940984398</v>
      </c>
      <c r="E155" s="95">
        <f ca="1">E151</f>
        <v>41325018.20386602</v>
      </c>
      <c r="F155" s="95">
        <f ca="1">F151</f>
        <v>43255586.083447598</v>
      </c>
      <c r="G155" s="95">
        <f ca="1">G151</f>
        <v>44872211.598565973</v>
      </c>
      <c r="H155" s="96">
        <f ca="1">H151</f>
        <v>45741531.5009633</v>
      </c>
      <c r="I155" s="95"/>
    </row>
    <row r="156" spans="1:9" ht="13.5" thickBot="1">
      <c r="A156" s="102" t="s">
        <v>206</v>
      </c>
      <c r="B156" s="61"/>
      <c r="C156" s="61"/>
      <c r="D156" s="103">
        <f ca="1">D154+D155</f>
        <v>47380315.940984398</v>
      </c>
      <c r="E156" s="103">
        <f ca="1">E154+E155</f>
        <v>48258768.20386602</v>
      </c>
      <c r="F156" s="103">
        <f ca="1">F154+F155</f>
        <v>50709367.333447598</v>
      </c>
      <c r="G156" s="103">
        <f ca="1">G154+G155</f>
        <v>52885026.442315973</v>
      </c>
      <c r="H156" s="104">
        <f ca="1">H154+H155</f>
        <v>54355307.45799455</v>
      </c>
      <c r="I156" s="95"/>
    </row>
    <row r="157" spans="1:9">
      <c r="A157" s="181" t="s">
        <v>245</v>
      </c>
      <c r="B157" s="56"/>
      <c r="C157" s="93"/>
      <c r="D157" s="93"/>
      <c r="E157" s="93"/>
      <c r="F157" s="93"/>
      <c r="G157" s="93"/>
      <c r="H157" s="94"/>
      <c r="I157" s="95"/>
    </row>
    <row r="158" spans="1:9">
      <c r="A158" s="97" t="s">
        <v>205</v>
      </c>
      <c r="B158" s="52"/>
      <c r="C158" s="95"/>
      <c r="D158" s="95">
        <f ca="1">D155</f>
        <v>40930315.940984398</v>
      </c>
      <c r="E158" s="95">
        <f ca="1">E155</f>
        <v>41325018.20386602</v>
      </c>
      <c r="F158" s="95">
        <f ca="1">F155</f>
        <v>43255586.083447598</v>
      </c>
      <c r="G158" s="95">
        <f ca="1">G155</f>
        <v>44872211.598565973</v>
      </c>
      <c r="H158" s="96">
        <f ca="1">H155</f>
        <v>45741531.5009633</v>
      </c>
      <c r="I158" s="95"/>
    </row>
    <row r="159" spans="1:9">
      <c r="A159" s="97" t="s">
        <v>246</v>
      </c>
      <c r="B159" s="52"/>
      <c r="C159" s="95"/>
      <c r="D159" s="95">
        <f>$E$6</f>
        <v>50000000</v>
      </c>
      <c r="E159" s="95">
        <f>$E$6</f>
        <v>50000000</v>
      </c>
      <c r="F159" s="95">
        <f>$E$6</f>
        <v>50000000</v>
      </c>
      <c r="G159" s="95">
        <f>$E$6</f>
        <v>50000000</v>
      </c>
      <c r="H159" s="96">
        <f>$E$6</f>
        <v>50000000</v>
      </c>
      <c r="I159" s="95"/>
    </row>
    <row r="160" spans="1:9" ht="13.5" thickBot="1">
      <c r="A160" s="102" t="s">
        <v>247</v>
      </c>
      <c r="B160" s="61"/>
      <c r="C160" s="103"/>
      <c r="D160" s="103">
        <f ca="1">D158+D159</f>
        <v>90930315.940984398</v>
      </c>
      <c r="E160" s="103">
        <f ca="1">E158+E159</f>
        <v>91325018.20386602</v>
      </c>
      <c r="F160" s="103">
        <f ca="1">F158+F159</f>
        <v>93255586.083447605</v>
      </c>
      <c r="G160" s="103">
        <f ca="1">G158+G159</f>
        <v>94872211.598565966</v>
      </c>
      <c r="H160" s="104">
        <f ca="1">H158+H159</f>
        <v>95741531.5009633</v>
      </c>
      <c r="I160" s="95"/>
    </row>
    <row r="161" spans="1:10">
      <c r="A161" s="105"/>
      <c r="B161" s="52"/>
      <c r="C161" s="52"/>
      <c r="D161" s="95"/>
      <c r="E161" s="95"/>
      <c r="F161" s="95"/>
      <c r="G161" s="95"/>
      <c r="H161" s="95"/>
      <c r="I161" s="95"/>
    </row>
    <row r="162" spans="1:10">
      <c r="D162" s="88">
        <v>1</v>
      </c>
      <c r="E162" s="88">
        <v>2</v>
      </c>
      <c r="F162" s="88">
        <v>3</v>
      </c>
      <c r="G162" s="88">
        <v>4</v>
      </c>
      <c r="H162" s="88">
        <v>5</v>
      </c>
      <c r="I162" s="88"/>
    </row>
    <row r="163" spans="1:10">
      <c r="A163" s="50" t="s">
        <v>211</v>
      </c>
      <c r="D163" s="87">
        <f>D150/(1+$E$14)^D162</f>
        <v>2162162.1621621619</v>
      </c>
      <c r="E163" s="87">
        <f>E150/(1+$E$14)^E162</f>
        <v>1947893.8397857314</v>
      </c>
      <c r="F163" s="87">
        <f>F150/(1+$E$14)^F162</f>
        <v>1754859.3151222805</v>
      </c>
      <c r="G163" s="87">
        <f>G150/(1+$E$14)^G162</f>
        <v>1580954.3379480003</v>
      </c>
      <c r="H163" s="87">
        <f>H150/(1+$E$14)^H162</f>
        <v>1424283.1873405408</v>
      </c>
      <c r="I163" s="87"/>
    </row>
    <row r="164" spans="1:10" ht="13.5" thickBot="1">
      <c r="D164" s="88"/>
      <c r="E164" s="88"/>
      <c r="F164" s="88"/>
      <c r="G164" s="88"/>
      <c r="H164" s="88"/>
      <c r="I164" s="88"/>
    </row>
    <row r="165" spans="1:10">
      <c r="A165" s="120" t="s">
        <v>214</v>
      </c>
      <c r="B165" s="121"/>
      <c r="C165" s="121"/>
      <c r="D165" s="129" t="s">
        <v>300</v>
      </c>
      <c r="E165" s="88"/>
      <c r="F165" s="88"/>
      <c r="G165" s="88"/>
      <c r="H165" s="88"/>
      <c r="I165" s="88"/>
    </row>
    <row r="166" spans="1:10">
      <c r="A166" s="57" t="s">
        <v>208</v>
      </c>
      <c r="B166" s="52"/>
      <c r="C166" s="95">
        <f>C154+C155</f>
        <v>46000000</v>
      </c>
      <c r="D166" s="96"/>
      <c r="E166" s="88"/>
      <c r="F166" s="88"/>
      <c r="G166" s="88"/>
      <c r="H166" s="88"/>
      <c r="I166" s="88"/>
    </row>
    <row r="167" spans="1:10">
      <c r="A167" s="57" t="s">
        <v>207</v>
      </c>
      <c r="B167" s="52"/>
      <c r="C167" s="52"/>
      <c r="D167" s="176">
        <f ca="1">H156/(1+E14)^5</f>
        <v>32257229.397978142</v>
      </c>
      <c r="E167" s="88"/>
      <c r="F167" s="88"/>
      <c r="G167" s="88"/>
    </row>
    <row r="168" spans="1:10">
      <c r="A168" s="57" t="s">
        <v>209</v>
      </c>
      <c r="B168" s="52"/>
      <c r="C168" s="52"/>
      <c r="D168" s="176">
        <f ca="1">-C166+D167+SUM(D163:H163)</f>
        <v>-4872617.7596631423</v>
      </c>
      <c r="E168" s="87"/>
      <c r="F168" s="87"/>
      <c r="G168" s="87"/>
      <c r="H168" s="87"/>
      <c r="I168" s="87"/>
    </row>
    <row r="169" spans="1:10">
      <c r="A169" s="57" t="s">
        <v>210</v>
      </c>
      <c r="B169" s="52"/>
      <c r="C169" s="52"/>
      <c r="D169" s="177">
        <f ca="1">IF(D168&gt;0,1,0)</f>
        <v>0</v>
      </c>
      <c r="E169" s="87"/>
      <c r="F169" s="87"/>
      <c r="G169" s="87"/>
      <c r="H169" s="87"/>
      <c r="I169" s="87"/>
    </row>
    <row r="170" spans="1:10">
      <c r="A170" s="57" t="s">
        <v>212</v>
      </c>
      <c r="B170" s="52"/>
      <c r="C170" s="52"/>
      <c r="D170" s="178">
        <f ca="1">(D167-C166)/C166</f>
        <v>-0.29875588265264907</v>
      </c>
      <c r="E170" s="87"/>
      <c r="F170" s="87"/>
      <c r="G170" s="87"/>
      <c r="H170" s="87"/>
      <c r="I170" s="87"/>
    </row>
    <row r="171" spans="1:10" ht="13.5" thickBot="1">
      <c r="A171" s="60" t="s">
        <v>213</v>
      </c>
      <c r="B171" s="61"/>
      <c r="C171" s="61"/>
      <c r="D171" s="174">
        <f ca="1">IF(D170&gt;0,1,0)</f>
        <v>0</v>
      </c>
    </row>
    <row r="172" spans="1:10" s="106" customFormat="1" ht="13.5" thickBot="1">
      <c r="J172" s="167"/>
    </row>
    <row r="173" spans="1:10" ht="13.5" thickTop="1"/>
    <row r="174" spans="1:10">
      <c r="A174" s="50" t="s">
        <v>125</v>
      </c>
    </row>
    <row r="175" spans="1:10">
      <c r="A175" s="51"/>
      <c r="B175" s="51"/>
      <c r="C175" s="51"/>
      <c r="D175" s="51">
        <v>1999</v>
      </c>
      <c r="E175" s="51">
        <v>2000</v>
      </c>
      <c r="F175" s="51">
        <v>2001</v>
      </c>
      <c r="G175" s="51">
        <v>2002</v>
      </c>
      <c r="H175" s="51">
        <v>2003</v>
      </c>
      <c r="I175" s="52"/>
    </row>
    <row r="176" spans="1:10">
      <c r="A176" s="49" t="s">
        <v>135</v>
      </c>
      <c r="C176" s="49" t="s">
        <v>114</v>
      </c>
      <c r="D176" s="24">
        <f ca="1">Stoch!B311</f>
        <v>352.48388222927406</v>
      </c>
      <c r="E176" s="24">
        <f ca="1">Stoch!C311</f>
        <v>352.56528150986998</v>
      </c>
      <c r="F176" s="24">
        <f ca="1">Stoch!D311</f>
        <v>172.39785334722671</v>
      </c>
      <c r="G176" s="24">
        <f ca="1">Stoch!E311</f>
        <v>281.75795680846505</v>
      </c>
      <c r="H176" s="24">
        <f ca="1">Stoch!F311</f>
        <v>275.46077665810179</v>
      </c>
      <c r="I176" s="24"/>
    </row>
    <row r="177" spans="1:15">
      <c r="A177" s="49" t="s">
        <v>136</v>
      </c>
      <c r="C177" s="49" t="s">
        <v>11</v>
      </c>
      <c r="D177" s="24">
        <f ca="1">Stoch!B312</f>
        <v>0.29171079908629577</v>
      </c>
      <c r="E177" s="24">
        <f ca="1">Stoch!C312</f>
        <v>0.29177816400816825</v>
      </c>
      <c r="F177" s="24">
        <f ca="1">Stoch!D312</f>
        <v>0.14267408552873934</v>
      </c>
      <c r="G177" s="24">
        <f ca="1">Stoch!E312</f>
        <v>0.23317899873804004</v>
      </c>
      <c r="H177" s="24">
        <f ca="1">Stoch!F312</f>
        <v>0.22796753930325664</v>
      </c>
      <c r="I177" s="24"/>
    </row>
    <row r="178" spans="1:15">
      <c r="A178" s="49" t="s">
        <v>137</v>
      </c>
      <c r="C178" s="49" t="s">
        <v>126</v>
      </c>
      <c r="D178" s="24">
        <f ca="1">Stoch!B315</f>
        <v>0.65811156520100556</v>
      </c>
      <c r="E178" s="24">
        <f ca="1">Stoch!C315</f>
        <v>0.55163053972741483</v>
      </c>
      <c r="F178" s="24">
        <f ca="1">Stoch!D315</f>
        <v>0.50021742059190755</v>
      </c>
      <c r="G178" s="24">
        <f ca="1">Stoch!E315</f>
        <v>0.58208771776577783</v>
      </c>
      <c r="H178" s="24">
        <f ca="1">Stoch!F315</f>
        <v>0.63351445220978131</v>
      </c>
      <c r="I178" s="24"/>
    </row>
    <row r="179" spans="1:15">
      <c r="A179" s="49" t="s">
        <v>138</v>
      </c>
      <c r="C179" s="49" t="s">
        <v>127</v>
      </c>
      <c r="D179" s="24">
        <f ca="1">Stoch!B316</f>
        <v>123.70909095201944</v>
      </c>
      <c r="E179" s="24">
        <f ca="1">Stoch!C316</f>
        <v>109.46049088986204</v>
      </c>
      <c r="F179" s="24">
        <f ca="1">Stoch!D316</f>
        <v>89.618281952345711</v>
      </c>
      <c r="G179" s="24">
        <f ca="1">Stoch!E316</f>
        <v>126.38590337700209</v>
      </c>
      <c r="H179" s="24">
        <f ca="1">Stoch!F316</f>
        <v>114.3484666838729</v>
      </c>
      <c r="I179" s="24"/>
    </row>
    <row r="180" spans="1:15">
      <c r="A180" s="49" t="s">
        <v>256</v>
      </c>
      <c r="D180" s="24">
        <f ca="1">D176*D178</f>
        <v>231.97371944203445</v>
      </c>
      <c r="E180" s="24"/>
      <c r="F180" s="24"/>
      <c r="G180" s="24"/>
      <c r="H180" s="24"/>
      <c r="I180" s="24"/>
    </row>
    <row r="181" spans="1:15">
      <c r="A181" s="49" t="s">
        <v>134</v>
      </c>
      <c r="D181" s="24">
        <f ca="1">D176*D178+D177*D179</f>
        <v>268.06099721788729</v>
      </c>
      <c r="E181" s="24">
        <f ca="1">E176*E178+E177*E179</f>
        <v>226.4239575917143</v>
      </c>
      <c r="F181" s="24">
        <f ca="1">F176*F178+F177*F179</f>
        <v>99.02261594113935</v>
      </c>
      <c r="G181" s="24">
        <f ca="1">G176*G178+G177*G179</f>
        <v>193.47838444504004</v>
      </c>
      <c r="H181" s="24">
        <f ca="1">H176*H178+H177*H179</f>
        <v>200.57612160286121</v>
      </c>
      <c r="I181" s="24"/>
    </row>
    <row r="182" spans="1:15">
      <c r="A182" s="49" t="s">
        <v>131</v>
      </c>
      <c r="D182" s="24">
        <f ca="1">IF(D176&lt;$D$62,(($D$62-D176)*$D$63*D64),0)</f>
        <v>0</v>
      </c>
      <c r="E182" s="24">
        <f ca="1">IF(E176&lt;$D$62,(($D$62-E176)*$D$63*$D65),0)</f>
        <v>0</v>
      </c>
      <c r="F182" s="24">
        <f ca="1">IF(F176&lt;$D$62,(($D$62-F176)*$D$63*D66),0)</f>
        <v>0</v>
      </c>
      <c r="G182" s="24">
        <f ca="1">IF(G176&lt;$D$62,(($D$62-G176)*$D$63*D67),0)</f>
        <v>0</v>
      </c>
      <c r="H182" s="24">
        <f ca="1">IF(H176&lt;$D$62,(($D$62-H176)*$D$63*D68),0)</f>
        <v>0</v>
      </c>
      <c r="I182" s="24"/>
    </row>
    <row r="183" spans="1:15">
      <c r="A183" s="50" t="s">
        <v>133</v>
      </c>
      <c r="C183" s="49" t="s">
        <v>124</v>
      </c>
      <c r="D183" s="24">
        <f ca="1">SUM(D181:D182)</f>
        <v>268.06099721788729</v>
      </c>
      <c r="E183" s="24">
        <f ca="1">SUM(E181:E182)</f>
        <v>226.4239575917143</v>
      </c>
      <c r="F183" s="24">
        <f ca="1">SUM(F181:F182)</f>
        <v>99.02261594113935</v>
      </c>
      <c r="G183" s="24">
        <f ca="1">SUM(G181:G182)</f>
        <v>193.47838444504004</v>
      </c>
      <c r="H183" s="24">
        <f ca="1">SUM(H181:H182)</f>
        <v>200.57612160286121</v>
      </c>
      <c r="I183" s="24"/>
    </row>
    <row r="184" spans="1:15">
      <c r="D184" s="24"/>
      <c r="E184" s="24"/>
      <c r="F184" s="24"/>
      <c r="G184" s="24"/>
      <c r="H184" s="24"/>
      <c r="I184" s="24"/>
    </row>
    <row r="185" spans="1:15">
      <c r="A185" s="49" t="s">
        <v>115</v>
      </c>
      <c r="C185" s="49" t="s">
        <v>124</v>
      </c>
      <c r="D185" s="24">
        <f>(1+K185)*D49</f>
        <v>3.6</v>
      </c>
      <c r="E185" s="24">
        <f t="shared" ref="E185:H188" si="6">(1+L185)*D185</f>
        <v>3.6277200000000001</v>
      </c>
      <c r="F185" s="24">
        <f t="shared" si="6"/>
        <v>3.6904795560000005</v>
      </c>
      <c r="G185" s="24">
        <f t="shared" si="6"/>
        <v>3.7687177225872008</v>
      </c>
      <c r="H185" s="24">
        <f t="shared" si="6"/>
        <v>3.8486145383060499</v>
      </c>
      <c r="I185" s="24"/>
      <c r="J185" s="166" t="s">
        <v>13</v>
      </c>
      <c r="K185" s="9">
        <v>0</v>
      </c>
      <c r="L185" s="9">
        <v>7.7000000000000002E-3</v>
      </c>
      <c r="M185" s="9">
        <v>1.7299999999999999E-2</v>
      </c>
      <c r="N185" s="9">
        <v>2.12E-2</v>
      </c>
      <c r="O185" s="9">
        <v>2.12E-2</v>
      </c>
    </row>
    <row r="186" spans="1:15">
      <c r="A186" s="49" t="s">
        <v>11</v>
      </c>
      <c r="C186" s="49" t="s">
        <v>124</v>
      </c>
      <c r="D186" s="24">
        <f>(1+K186)*$D$50</f>
        <v>8.4</v>
      </c>
      <c r="E186" s="24">
        <f t="shared" si="6"/>
        <v>8.5495200000000011</v>
      </c>
      <c r="F186" s="24">
        <f t="shared" si="6"/>
        <v>8.7008465040000011</v>
      </c>
      <c r="G186" s="24">
        <f t="shared" si="6"/>
        <v>8.8348395401616013</v>
      </c>
      <c r="H186" s="24">
        <f t="shared" si="6"/>
        <v>8.9894492321144295</v>
      </c>
      <c r="I186" s="24"/>
      <c r="J186" s="166" t="s">
        <v>11</v>
      </c>
      <c r="K186" s="49">
        <f>Stoch!B17</f>
        <v>0</v>
      </c>
      <c r="L186" s="49">
        <f>Stoch!B18</f>
        <v>1.78E-2</v>
      </c>
      <c r="M186" s="49">
        <f>Stoch!B19</f>
        <v>1.77E-2</v>
      </c>
      <c r="N186" s="49">
        <f>Stoch!B20</f>
        <v>1.54E-2</v>
      </c>
      <c r="O186" s="49">
        <f>Stoch!B21</f>
        <v>1.7500000000000002E-2</v>
      </c>
    </row>
    <row r="187" spans="1:15">
      <c r="A187" s="49" t="s">
        <v>116</v>
      </c>
      <c r="C187" s="49" t="s">
        <v>124</v>
      </c>
      <c r="D187" s="24">
        <f>(1+K187)*$D$51</f>
        <v>6.25</v>
      </c>
      <c r="E187" s="24">
        <f t="shared" si="6"/>
        <v>6.2981250000000006</v>
      </c>
      <c r="F187" s="24">
        <f t="shared" si="6"/>
        <v>6.4070825625000012</v>
      </c>
      <c r="G187" s="24">
        <f t="shared" si="6"/>
        <v>6.542912712825002</v>
      </c>
      <c r="H187" s="24">
        <f t="shared" si="6"/>
        <v>6.6816224623368932</v>
      </c>
      <c r="I187" s="24"/>
      <c r="J187" s="166" t="s">
        <v>13</v>
      </c>
      <c r="K187" s="9">
        <v>0</v>
      </c>
      <c r="L187" s="9">
        <v>7.7000000000000002E-3</v>
      </c>
      <c r="M187" s="9">
        <v>1.7299999999999999E-2</v>
      </c>
      <c r="N187" s="9">
        <v>2.12E-2</v>
      </c>
      <c r="O187" s="9">
        <v>2.12E-2</v>
      </c>
    </row>
    <row r="188" spans="1:15">
      <c r="A188" s="49" t="s">
        <v>117</v>
      </c>
      <c r="C188" s="49" t="s">
        <v>124</v>
      </c>
      <c r="D188" s="24">
        <f>(1+K188)*$D$52</f>
        <v>3.5</v>
      </c>
      <c r="E188" s="24">
        <f t="shared" si="6"/>
        <v>3.5728</v>
      </c>
      <c r="F188" s="24">
        <f t="shared" si="6"/>
        <v>3.6882014399999998</v>
      </c>
      <c r="G188" s="24">
        <f t="shared" si="6"/>
        <v>3.7494255839039998</v>
      </c>
      <c r="H188" s="24">
        <f t="shared" si="6"/>
        <v>3.8131658188303676</v>
      </c>
      <c r="I188" s="24"/>
      <c r="J188" s="166" t="s">
        <v>15</v>
      </c>
      <c r="K188" s="9">
        <v>0</v>
      </c>
      <c r="L188" s="9">
        <v>2.0799999999999999E-2</v>
      </c>
      <c r="M188" s="9">
        <v>3.2300000000000002E-2</v>
      </c>
      <c r="N188" s="9">
        <v>1.66E-2</v>
      </c>
      <c r="O188" s="9">
        <v>1.7000000000000001E-2</v>
      </c>
    </row>
    <row r="189" spans="1:15">
      <c r="A189" s="49" t="s">
        <v>118</v>
      </c>
      <c r="C189" s="49" t="s">
        <v>124</v>
      </c>
      <c r="D189" s="24">
        <f>$D$53</f>
        <v>10</v>
      </c>
      <c r="E189" s="24">
        <f>$D$53</f>
        <v>10</v>
      </c>
      <c r="F189" s="24">
        <f>$D$53</f>
        <v>10</v>
      </c>
      <c r="G189" s="24">
        <f>$D$53</f>
        <v>10</v>
      </c>
      <c r="H189" s="24">
        <f>$D$53</f>
        <v>10</v>
      </c>
      <c r="I189" s="24"/>
      <c r="J189" s="166" t="s">
        <v>150</v>
      </c>
    </row>
    <row r="190" spans="1:15">
      <c r="A190" s="49" t="s">
        <v>119</v>
      </c>
      <c r="C190" s="49" t="s">
        <v>124</v>
      </c>
      <c r="D190" s="24">
        <f>(1+K190)*$D$54</f>
        <v>5.16</v>
      </c>
      <c r="E190" s="24">
        <f t="shared" ref="E190:H193" si="7">(1+L190)*D190</f>
        <v>5.267328</v>
      </c>
      <c r="F190" s="24">
        <f t="shared" si="7"/>
        <v>5.4374626943999997</v>
      </c>
      <c r="G190" s="24">
        <f t="shared" si="7"/>
        <v>5.5277245751270394</v>
      </c>
      <c r="H190" s="24">
        <f t="shared" si="7"/>
        <v>5.6216958929041985</v>
      </c>
      <c r="I190" s="24"/>
      <c r="J190" s="166" t="s">
        <v>15</v>
      </c>
      <c r="K190" s="9">
        <v>0</v>
      </c>
      <c r="L190" s="9">
        <v>2.0799999999999999E-2</v>
      </c>
      <c r="M190" s="9">
        <v>3.2300000000000002E-2</v>
      </c>
      <c r="N190" s="9">
        <v>1.66E-2</v>
      </c>
      <c r="O190" s="9">
        <v>1.7000000000000001E-2</v>
      </c>
    </row>
    <row r="191" spans="1:15">
      <c r="A191" s="49" t="s">
        <v>120</v>
      </c>
      <c r="C191" s="49" t="s">
        <v>124</v>
      </c>
      <c r="D191" s="24">
        <f>(1+K191)*$D$55</f>
        <v>2.85</v>
      </c>
      <c r="E191" s="24">
        <f t="shared" si="7"/>
        <v>2.8807799999999997</v>
      </c>
      <c r="F191" s="24">
        <f t="shared" si="7"/>
        <v>2.8951838999999993</v>
      </c>
      <c r="G191" s="24">
        <f t="shared" si="7"/>
        <v>2.9021323413599993</v>
      </c>
      <c r="H191" s="24">
        <f t="shared" si="7"/>
        <v>2.9090974589792631</v>
      </c>
      <c r="I191" s="24"/>
      <c r="J191" s="166" t="s">
        <v>14</v>
      </c>
      <c r="K191" s="9">
        <v>0</v>
      </c>
      <c r="L191" s="9">
        <v>1.0800000000000001E-2</v>
      </c>
      <c r="M191" s="9">
        <v>5.0000000000000001E-3</v>
      </c>
      <c r="N191" s="9">
        <v>2.3999999999999998E-3</v>
      </c>
      <c r="O191" s="9">
        <v>2.3999999999999998E-3</v>
      </c>
    </row>
    <row r="192" spans="1:15">
      <c r="A192" s="49" t="s">
        <v>121</v>
      </c>
      <c r="C192" s="49" t="s">
        <v>124</v>
      </c>
      <c r="D192" s="24">
        <f>(1+K192)*$D$56</f>
        <v>8.09</v>
      </c>
      <c r="E192" s="24">
        <f t="shared" si="7"/>
        <v>8.4613309999999995</v>
      </c>
      <c r="F192" s="24">
        <f t="shared" si="7"/>
        <v>8.9317810035999994</v>
      </c>
      <c r="G192" s="24">
        <f t="shared" si="7"/>
        <v>9.3551474231706404</v>
      </c>
      <c r="H192" s="24">
        <f t="shared" si="7"/>
        <v>9.7359019232936852</v>
      </c>
      <c r="I192" s="24"/>
      <c r="J192" s="166" t="s">
        <v>16</v>
      </c>
      <c r="K192" s="9">
        <v>0</v>
      </c>
      <c r="L192" s="9">
        <v>4.5900000000000003E-2</v>
      </c>
      <c r="M192" s="9">
        <v>5.5599999999999997E-2</v>
      </c>
      <c r="N192" s="9">
        <v>4.7399999999999998E-2</v>
      </c>
      <c r="O192" s="9">
        <v>4.07E-2</v>
      </c>
    </row>
    <row r="193" spans="1:15">
      <c r="A193" s="49" t="s">
        <v>122</v>
      </c>
      <c r="C193" s="49" t="s">
        <v>123</v>
      </c>
      <c r="D193" s="24">
        <f>(1+K193)*$D$57</f>
        <v>0.19</v>
      </c>
      <c r="E193" s="24">
        <f t="shared" si="7"/>
        <v>0.19395199999999999</v>
      </c>
      <c r="F193" s="24">
        <f t="shared" si="7"/>
        <v>0.20021664959999999</v>
      </c>
      <c r="G193" s="24">
        <f t="shared" si="7"/>
        <v>0.20354024598335999</v>
      </c>
      <c r="H193" s="24">
        <f t="shared" si="7"/>
        <v>0.20700043016507708</v>
      </c>
      <c r="I193" s="24"/>
      <c r="J193" s="166" t="s">
        <v>15</v>
      </c>
      <c r="K193" s="49">
        <f>K190</f>
        <v>0</v>
      </c>
      <c r="L193" s="49">
        <f>L190</f>
        <v>2.0799999999999999E-2</v>
      </c>
      <c r="M193" s="49">
        <f>M190</f>
        <v>3.2300000000000002E-2</v>
      </c>
      <c r="N193" s="49">
        <f>N190</f>
        <v>1.66E-2</v>
      </c>
      <c r="O193" s="49">
        <f>O190</f>
        <v>1.7000000000000001E-2</v>
      </c>
    </row>
    <row r="194" spans="1:15">
      <c r="A194" s="49" t="s">
        <v>122</v>
      </c>
      <c r="C194" s="49" t="s">
        <v>124</v>
      </c>
      <c r="D194" s="24">
        <f ca="1">D193*D176</f>
        <v>66.97193762356207</v>
      </c>
      <c r="E194" s="24">
        <f ca="1">E193*E176</f>
        <v>68.380741479402303</v>
      </c>
      <c r="F194" s="24">
        <f ca="1">F193*F176</f>
        <v>34.516920595413879</v>
      </c>
      <c r="G194" s="24">
        <f ca="1">G193*G176</f>
        <v>57.349083836563892</v>
      </c>
      <c r="H194" s="24">
        <f ca="1">H193*H176</f>
        <v>57.020499261833294</v>
      </c>
      <c r="I194" s="24"/>
    </row>
    <row r="195" spans="1:15">
      <c r="A195" s="50" t="s">
        <v>149</v>
      </c>
      <c r="D195" s="24">
        <f ca="1">D185+D186+D187+D188+D189+D190+D191+D192+D194</f>
        <v>114.82193762356206</v>
      </c>
      <c r="E195" s="24">
        <f ca="1">E185+E186+E187+E188+E189+E190+E191+E192+E194</f>
        <v>117.03834547940231</v>
      </c>
      <c r="F195" s="24">
        <f ca="1">F185+F186+F187+F188+F189+F190+F191+F192+F194</f>
        <v>84.267958255913882</v>
      </c>
      <c r="G195" s="24">
        <f ca="1">G185+G186+G187+G188+G189+G190+G191+G192+G194</f>
        <v>108.02998373569937</v>
      </c>
      <c r="H195" s="24">
        <f ca="1">H185+H186+H187+H188+H189+H190+H191+H192+H194</f>
        <v>108.62004658859817</v>
      </c>
      <c r="I195" s="24"/>
    </row>
    <row r="197" spans="1:15">
      <c r="A197" s="50" t="s">
        <v>143</v>
      </c>
    </row>
    <row r="198" spans="1:15">
      <c r="A198" s="49" t="s">
        <v>144</v>
      </c>
      <c r="D198" s="4">
        <f ca="1">Stoch!B319</f>
        <v>7.6609072767560855</v>
      </c>
      <c r="E198" s="4">
        <f ca="1">Stoch!C319</f>
        <v>6.6559473624722338</v>
      </c>
      <c r="F198" s="4">
        <f ca="1">Stoch!D319</f>
        <v>8.4217107470635248</v>
      </c>
      <c r="G198" s="4">
        <f ca="1">Stoch!E319</f>
        <v>8.3620787869680875</v>
      </c>
      <c r="H198" s="4">
        <f ca="1">Stoch!F319</f>
        <v>6.676204360463057</v>
      </c>
      <c r="I198" s="4"/>
    </row>
    <row r="199" spans="1:15">
      <c r="A199" s="49" t="s">
        <v>257</v>
      </c>
      <c r="D199" s="165">
        <f ca="1">(D198/100)+$F$19</f>
        <v>9.6609072767560852E-2</v>
      </c>
      <c r="E199" s="165">
        <f ca="1">(E198/100)+$F$19</f>
        <v>8.6559473624722341E-2</v>
      </c>
      <c r="F199" s="165">
        <f ca="1">(F198/100)+$F$19</f>
        <v>0.10421710747063526</v>
      </c>
      <c r="G199" s="165">
        <f ca="1">(G198/100)+$F$19</f>
        <v>0.10362078786968087</v>
      </c>
      <c r="H199" s="165">
        <f ca="1">(H198/100)+$F$19</f>
        <v>8.6762043604630579E-2</v>
      </c>
      <c r="I199" s="165"/>
    </row>
    <row r="200" spans="1:15">
      <c r="A200" s="49" t="s">
        <v>146</v>
      </c>
      <c r="C200" s="49">
        <f>D58</f>
        <v>0.9</v>
      </c>
      <c r="D200" s="24">
        <f ca="1">$C$200*D195*D199</f>
        <v>9.9835568344683363</v>
      </c>
      <c r="E200" s="24">
        <f ca="1">$C$200*E195*E199</f>
        <v>9.1176998207449191</v>
      </c>
      <c r="F200" s="24">
        <f ca="1">$C$200*F195*F199</f>
        <v>7.903946575698825</v>
      </c>
      <c r="G200" s="24">
        <f ca="1">$C$200*G195*G199</f>
        <v>10.074736825417782</v>
      </c>
      <c r="H200" s="24">
        <f ca="1">$C$200*H195*H199</f>
        <v>8.4816874966112632</v>
      </c>
      <c r="I200" s="24"/>
    </row>
    <row r="201" spans="1:15">
      <c r="D201" s="24"/>
      <c r="E201" s="24"/>
      <c r="F201" s="24"/>
      <c r="G201" s="24"/>
      <c r="H201" s="24"/>
      <c r="I201" s="24"/>
    </row>
    <row r="202" spans="1:15">
      <c r="A202" s="50" t="s">
        <v>140</v>
      </c>
      <c r="D202" s="24">
        <f ca="1">D195+D200</f>
        <v>124.8054944580304</v>
      </c>
      <c r="E202" s="24">
        <f ca="1">E195+E200</f>
        <v>126.15604530014723</v>
      </c>
      <c r="F202" s="24">
        <f ca="1">F195+F200</f>
        <v>92.171904831612707</v>
      </c>
      <c r="G202" s="24">
        <f ca="1">G195+G200</f>
        <v>118.10472056111716</v>
      </c>
      <c r="H202" s="24">
        <f ca="1">H195+H200</f>
        <v>117.10173408520943</v>
      </c>
      <c r="I202" s="24"/>
    </row>
    <row r="203" spans="1:15">
      <c r="D203" s="24"/>
      <c r="E203" s="24"/>
      <c r="F203" s="24"/>
      <c r="G203" s="24"/>
      <c r="H203" s="24"/>
      <c r="I203" s="24"/>
    </row>
    <row r="204" spans="1:15">
      <c r="A204" s="49" t="s">
        <v>142</v>
      </c>
      <c r="D204" s="49">
        <f>(1+K204)*$D$59</f>
        <v>51.43</v>
      </c>
      <c r="E204" s="49">
        <f>(1+L204)*D204</f>
        <v>52.345454000000004</v>
      </c>
      <c r="F204" s="49">
        <f>(1+M204)*E204</f>
        <v>53.271968535800006</v>
      </c>
      <c r="G204" s="49">
        <f>(1+N204)*F204</f>
        <v>54.092356851251331</v>
      </c>
      <c r="H204" s="49">
        <f>(1+O204)*G204</f>
        <v>55.038973096148233</v>
      </c>
      <c r="J204" s="166" t="s">
        <v>11</v>
      </c>
      <c r="K204" s="49">
        <f>K186</f>
        <v>0</v>
      </c>
      <c r="L204" s="49">
        <f>L186</f>
        <v>1.78E-2</v>
      </c>
      <c r="M204" s="49">
        <f>M186</f>
        <v>1.77E-2</v>
      </c>
      <c r="N204" s="49">
        <f>N186</f>
        <v>1.54E-2</v>
      </c>
      <c r="O204" s="49">
        <f>O186</f>
        <v>1.7500000000000002E-2</v>
      </c>
    </row>
    <row r="205" spans="1:15">
      <c r="A205" s="50" t="s">
        <v>139</v>
      </c>
      <c r="D205" s="24">
        <f ca="1">D195+D204+D200</f>
        <v>176.23549445803042</v>
      </c>
      <c r="E205" s="24">
        <f ca="1">E195+E204+E200</f>
        <v>178.50149930014723</v>
      </c>
      <c r="F205" s="24">
        <f ca="1">F195+F204+F200</f>
        <v>145.44387336741272</v>
      </c>
      <c r="G205" s="24">
        <f ca="1">G195+G204+G200</f>
        <v>172.19707741236849</v>
      </c>
      <c r="H205" s="24">
        <f ca="1">H195+H204+H200</f>
        <v>172.14070718135767</v>
      </c>
      <c r="I205" s="24"/>
    </row>
    <row r="206" spans="1:15">
      <c r="A206" s="50" t="s">
        <v>51</v>
      </c>
    </row>
    <row r="207" spans="1:15">
      <c r="A207" s="50" t="s">
        <v>147</v>
      </c>
      <c r="B207" s="50"/>
      <c r="D207" s="179">
        <f ca="1">D183-D202</f>
        <v>143.25550275985688</v>
      </c>
      <c r="E207" s="179">
        <f ca="1">E183-E202</f>
        <v>100.26791229156707</v>
      </c>
      <c r="F207" s="179">
        <f ca="1">F183-F202</f>
        <v>6.8507111095266424</v>
      </c>
      <c r="G207" s="179">
        <f ca="1">G183-G202</f>
        <v>75.373663883922873</v>
      </c>
      <c r="H207" s="179">
        <f ca="1">H183-H202</f>
        <v>83.474387517651778</v>
      </c>
      <c r="I207" s="43"/>
    </row>
    <row r="208" spans="1:15">
      <c r="A208" s="50" t="s">
        <v>148</v>
      </c>
      <c r="B208" s="50"/>
      <c r="D208" s="179">
        <f ca="1">D183-D205</f>
        <v>91.825502759856874</v>
      </c>
      <c r="E208" s="179">
        <f ca="1">E183-E205</f>
        <v>47.922458291567068</v>
      </c>
      <c r="F208" s="179">
        <f ca="1">F183-F205</f>
        <v>-46.421257426273371</v>
      </c>
      <c r="G208" s="179">
        <f ca="1">G183-G205</f>
        <v>21.281307032671549</v>
      </c>
      <c r="H208" s="179">
        <f ca="1">H183-H205</f>
        <v>28.435414421503538</v>
      </c>
      <c r="I208" s="43"/>
    </row>
    <row r="209" spans="1:22">
      <c r="A209"/>
      <c r="B209"/>
      <c r="C209"/>
      <c r="D209"/>
      <c r="E209"/>
      <c r="F209"/>
      <c r="G209"/>
      <c r="H209"/>
      <c r="I209"/>
      <c r="J209" s="2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>
      <c r="A210" s="50" t="s">
        <v>159</v>
      </c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>
      <c r="A211" s="51"/>
      <c r="B211" s="51"/>
      <c r="C211" s="51"/>
      <c r="D211" s="51">
        <v>1999</v>
      </c>
      <c r="E211" s="51">
        <v>2000</v>
      </c>
      <c r="F211" s="51">
        <v>2001</v>
      </c>
      <c r="G211" s="51">
        <v>2002</v>
      </c>
      <c r="H211" s="51">
        <v>2003</v>
      </c>
      <c r="I211" s="52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>
      <c r="A212" s="49" t="s">
        <v>135</v>
      </c>
      <c r="C212" s="49" t="s">
        <v>163</v>
      </c>
      <c r="D212" s="24">
        <f ca="1">Stoch!B313</f>
        <v>23.80952380952381</v>
      </c>
      <c r="E212" s="24">
        <f ca="1">Stoch!C313</f>
        <v>23.80952380952381</v>
      </c>
      <c r="F212" s="24">
        <f ca="1">Stoch!D313</f>
        <v>22.185293018307128</v>
      </c>
      <c r="G212" s="24">
        <f ca="1">Stoch!E313</f>
        <v>7.9351039017184846</v>
      </c>
      <c r="H212" s="24">
        <f ca="1">Stoch!F313</f>
        <v>23.238964809640937</v>
      </c>
      <c r="I212" s="24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>
      <c r="A213" s="49" t="s">
        <v>160</v>
      </c>
      <c r="C213" s="49" t="s">
        <v>161</v>
      </c>
      <c r="D213" s="24">
        <f ca="1">Stoch!B317</f>
        <v>3.3562098578644814</v>
      </c>
      <c r="E213" s="24">
        <f ca="1">Stoch!C317</f>
        <v>3.1616651250957282</v>
      </c>
      <c r="F213" s="24">
        <f ca="1">Stoch!D317</f>
        <v>2.9904474551319051</v>
      </c>
      <c r="G213" s="24">
        <f ca="1">Stoch!E317</f>
        <v>2.7651449831681694</v>
      </c>
      <c r="H213" s="24">
        <f ca="1">Stoch!F317</f>
        <v>3.2577937672818806</v>
      </c>
      <c r="I213" s="24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>
      <c r="A214" s="49" t="s">
        <v>162</v>
      </c>
      <c r="D214" s="24">
        <f ca="1">D212*D213</f>
        <v>79.909758520582898</v>
      </c>
      <c r="E214" s="24">
        <f ca="1">E212*E213</f>
        <v>75.277741073707816</v>
      </c>
      <c r="F214" s="24">
        <f ca="1">F212*F213</f>
        <v>66.343953047952169</v>
      </c>
      <c r="G214" s="24">
        <f ca="1">G212*G213</f>
        <v>21.941712744755034</v>
      </c>
      <c r="H214" s="24">
        <f ca="1">H212*H213</f>
        <v>75.707754714931198</v>
      </c>
      <c r="I214" s="2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>
      <c r="A215" s="49" t="s">
        <v>131</v>
      </c>
      <c r="D215" s="24">
        <f ca="1">IF(D212&lt;$E$62,(($E$62-D212)*E$63*E64),0)</f>
        <v>0</v>
      </c>
      <c r="E215" s="24">
        <f ca="1">IF(E212&lt;$E$62,(($E$62-E212)*$E$63*$E65),0)</f>
        <v>0</v>
      </c>
      <c r="F215" s="24">
        <f ca="1">IF(F212&lt;$E$62,(($E$62-F212)*$E$63*$E66),0)</f>
        <v>0</v>
      </c>
      <c r="G215" s="24">
        <f ca="1">IF(G212&lt;$E$62,(($E$62-G212)*$E$63*$E67),0)</f>
        <v>27.771752968260259</v>
      </c>
      <c r="H215" s="24">
        <f ca="1">IF(H212&lt;$E$62,(($E$62-H212)*$E$63*$E68),0)</f>
        <v>0</v>
      </c>
      <c r="I215" s="24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>
      <c r="A216" s="50" t="s">
        <v>133</v>
      </c>
      <c r="C216" s="49" t="s">
        <v>124</v>
      </c>
      <c r="D216" s="24">
        <f ca="1">SUM(D214:D215)</f>
        <v>79.909758520582898</v>
      </c>
      <c r="E216" s="24">
        <f ca="1">SUM(E214:E215)</f>
        <v>75.277741073707816</v>
      </c>
      <c r="F216" s="24">
        <f ca="1">SUM(F214:F215)</f>
        <v>66.343953047952169</v>
      </c>
      <c r="G216" s="24">
        <f ca="1">SUM(G214:G215)</f>
        <v>49.713465713015296</v>
      </c>
      <c r="H216" s="24">
        <f ca="1">SUM(H214:H215)</f>
        <v>75.707754714931198</v>
      </c>
      <c r="I216" s="24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>
      <c r="D217" s="24"/>
      <c r="E217" s="24"/>
      <c r="F217" s="24"/>
      <c r="G217" s="24"/>
      <c r="H217" s="24"/>
      <c r="I217" s="24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>
      <c r="A218" s="49" t="s">
        <v>115</v>
      </c>
      <c r="C218" s="49" t="s">
        <v>124</v>
      </c>
      <c r="D218" s="24">
        <f>$E$49*(1+K218)</f>
        <v>1</v>
      </c>
      <c r="E218" s="24">
        <f t="shared" ref="E218:H221" si="8">(1+L218)*D218</f>
        <v>1.0077</v>
      </c>
      <c r="F218" s="24">
        <f t="shared" si="8"/>
        <v>1.0251332100000001</v>
      </c>
      <c r="G218" s="24">
        <f t="shared" si="8"/>
        <v>1.0468660340520002</v>
      </c>
      <c r="H218" s="24">
        <f t="shared" si="8"/>
        <v>1.0690595939739027</v>
      </c>
      <c r="I218" s="24"/>
      <c r="J218" s="166" t="s">
        <v>13</v>
      </c>
      <c r="K218" s="9">
        <f>K185</f>
        <v>0</v>
      </c>
      <c r="L218" s="9">
        <v>7.7000000000000002E-3</v>
      </c>
      <c r="M218" s="9">
        <v>1.7299999999999999E-2</v>
      </c>
      <c r="N218" s="9">
        <v>2.12E-2</v>
      </c>
      <c r="O218" s="9">
        <v>2.12E-2</v>
      </c>
      <c r="P218"/>
      <c r="Q218"/>
      <c r="R218"/>
      <c r="S218"/>
      <c r="T218"/>
      <c r="U218"/>
      <c r="V218"/>
    </row>
    <row r="219" spans="1:22">
      <c r="A219" s="49" t="s">
        <v>11</v>
      </c>
      <c r="C219" s="49" t="s">
        <v>124</v>
      </c>
      <c r="D219" s="24">
        <f>(1+K219)*$E$50</f>
        <v>13.2</v>
      </c>
      <c r="E219" s="24">
        <f t="shared" si="8"/>
        <v>13.43496</v>
      </c>
      <c r="F219" s="24">
        <f t="shared" si="8"/>
        <v>13.672758792000002</v>
      </c>
      <c r="G219" s="24">
        <f t="shared" si="8"/>
        <v>13.883319277396803</v>
      </c>
      <c r="H219" s="24">
        <f t="shared" si="8"/>
        <v>14.126277364751248</v>
      </c>
      <c r="I219" s="24"/>
      <c r="J219" s="166" t="s">
        <v>11</v>
      </c>
      <c r="K219" s="49">
        <f>K186</f>
        <v>0</v>
      </c>
      <c r="L219" s="49">
        <f t="shared" ref="L219:O220" si="9">L186</f>
        <v>1.78E-2</v>
      </c>
      <c r="M219" s="49">
        <f t="shared" si="9"/>
        <v>1.77E-2</v>
      </c>
      <c r="N219" s="49">
        <f t="shared" si="9"/>
        <v>1.54E-2</v>
      </c>
      <c r="O219" s="49">
        <f t="shared" si="9"/>
        <v>1.7500000000000002E-2</v>
      </c>
      <c r="P219"/>
      <c r="Q219"/>
      <c r="R219"/>
      <c r="S219"/>
      <c r="T219"/>
      <c r="U219"/>
      <c r="V219"/>
    </row>
    <row r="220" spans="1:22">
      <c r="A220" s="49" t="s">
        <v>116</v>
      </c>
      <c r="C220" s="49" t="s">
        <v>124</v>
      </c>
      <c r="D220" s="24">
        <f>(1+K220)*$E$51</f>
        <v>10.5</v>
      </c>
      <c r="E220" s="24">
        <f t="shared" si="8"/>
        <v>10.58085</v>
      </c>
      <c r="F220" s="24">
        <f t="shared" si="8"/>
        <v>10.763898705000001</v>
      </c>
      <c r="G220" s="24">
        <f t="shared" si="8"/>
        <v>10.992093357546002</v>
      </c>
      <c r="H220" s="24">
        <f t="shared" si="8"/>
        <v>11.225125736725978</v>
      </c>
      <c r="I220" s="24"/>
      <c r="J220" s="166" t="s">
        <v>13</v>
      </c>
      <c r="K220" s="9">
        <f>K187</f>
        <v>0</v>
      </c>
      <c r="L220" s="9">
        <f t="shared" si="9"/>
        <v>7.7000000000000002E-3</v>
      </c>
      <c r="M220" s="9">
        <f t="shared" si="9"/>
        <v>1.7299999999999999E-2</v>
      </c>
      <c r="N220" s="9">
        <f t="shared" si="9"/>
        <v>2.12E-2</v>
      </c>
      <c r="O220" s="9">
        <f t="shared" si="9"/>
        <v>2.12E-2</v>
      </c>
      <c r="P220"/>
      <c r="Q220"/>
      <c r="R220"/>
      <c r="S220"/>
      <c r="T220"/>
      <c r="U220"/>
      <c r="V220"/>
    </row>
    <row r="221" spans="1:22">
      <c r="A221" s="49" t="s">
        <v>117</v>
      </c>
      <c r="C221" s="49" t="s">
        <v>124</v>
      </c>
      <c r="D221" s="24">
        <f>(1+K221)*$E$52</f>
        <v>0</v>
      </c>
      <c r="E221" s="24">
        <f t="shared" si="8"/>
        <v>0</v>
      </c>
      <c r="F221" s="24">
        <f t="shared" si="8"/>
        <v>0</v>
      </c>
      <c r="G221" s="24">
        <f t="shared" si="8"/>
        <v>0</v>
      </c>
      <c r="H221" s="24">
        <f t="shared" si="8"/>
        <v>0</v>
      </c>
      <c r="I221" s="24"/>
      <c r="J221" s="166" t="s">
        <v>15</v>
      </c>
      <c r="K221" s="9">
        <v>0</v>
      </c>
      <c r="L221" s="9">
        <v>2.0799999999999999E-2</v>
      </c>
      <c r="M221" s="9">
        <v>3.2300000000000002E-2</v>
      </c>
      <c r="N221" s="9">
        <v>1.66E-2</v>
      </c>
      <c r="O221" s="9">
        <v>1.7000000000000001E-2</v>
      </c>
      <c r="P221"/>
      <c r="Q221"/>
      <c r="R221"/>
      <c r="S221"/>
      <c r="T221"/>
      <c r="U221"/>
      <c r="V221"/>
    </row>
    <row r="222" spans="1:22">
      <c r="A222" s="49" t="s">
        <v>118</v>
      </c>
      <c r="C222" s="49" t="s">
        <v>124</v>
      </c>
      <c r="D222" s="24">
        <f>$E$53</f>
        <v>3.5</v>
      </c>
      <c r="E222" s="24">
        <f>D222</f>
        <v>3.5</v>
      </c>
      <c r="F222" s="24">
        <f>E222</f>
        <v>3.5</v>
      </c>
      <c r="G222" s="24">
        <f>F222</f>
        <v>3.5</v>
      </c>
      <c r="H222" s="24">
        <f>G222</f>
        <v>3.5</v>
      </c>
      <c r="I222" s="24"/>
      <c r="J222" s="166" t="s">
        <v>150</v>
      </c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>
      <c r="A223" s="49" t="s">
        <v>119</v>
      </c>
      <c r="C223" s="49" t="s">
        <v>124</v>
      </c>
      <c r="D223" s="24">
        <f>(1+K223)*$E$54</f>
        <v>4.63</v>
      </c>
      <c r="E223" s="24">
        <f t="shared" ref="E223:H226" si="10">(1+L223)*D223</f>
        <v>4.7263039999999998</v>
      </c>
      <c r="F223" s="24">
        <f t="shared" si="10"/>
        <v>4.8789636191999994</v>
      </c>
      <c r="G223" s="24">
        <f t="shared" si="10"/>
        <v>4.9599544152787196</v>
      </c>
      <c r="H223" s="24">
        <f t="shared" si="10"/>
        <v>5.0442736403384574</v>
      </c>
      <c r="I223" s="24"/>
      <c r="J223" s="166" t="s">
        <v>15</v>
      </c>
      <c r="K223" s="9">
        <v>0</v>
      </c>
      <c r="L223" s="9">
        <v>2.0799999999999999E-2</v>
      </c>
      <c r="M223" s="9">
        <v>3.2300000000000002E-2</v>
      </c>
      <c r="N223" s="9">
        <v>1.66E-2</v>
      </c>
      <c r="O223" s="9">
        <v>1.7000000000000001E-2</v>
      </c>
      <c r="P223"/>
      <c r="Q223"/>
      <c r="R223"/>
      <c r="S223"/>
      <c r="T223"/>
      <c r="U223"/>
      <c r="V223"/>
    </row>
    <row r="224" spans="1:22">
      <c r="A224" s="49" t="s">
        <v>120</v>
      </c>
      <c r="C224" s="49" t="s">
        <v>124</v>
      </c>
      <c r="D224" s="24">
        <f>(1+K224)*$E$55</f>
        <v>2.86</v>
      </c>
      <c r="E224" s="24">
        <f t="shared" si="10"/>
        <v>2.8908879999999995</v>
      </c>
      <c r="F224" s="24">
        <f t="shared" si="10"/>
        <v>2.9053424399999992</v>
      </c>
      <c r="G224" s="24">
        <f t="shared" si="10"/>
        <v>2.9123152618559991</v>
      </c>
      <c r="H224" s="24">
        <f t="shared" si="10"/>
        <v>2.9193048184844534</v>
      </c>
      <c r="I224" s="24"/>
      <c r="J224" s="166" t="s">
        <v>14</v>
      </c>
      <c r="K224" s="9">
        <v>0</v>
      </c>
      <c r="L224" s="9">
        <v>1.0800000000000001E-2</v>
      </c>
      <c r="M224" s="9">
        <v>5.0000000000000001E-3</v>
      </c>
      <c r="N224" s="9">
        <v>2.3999999999999998E-3</v>
      </c>
      <c r="O224" s="9">
        <v>2.3999999999999998E-3</v>
      </c>
      <c r="P224"/>
      <c r="Q224"/>
      <c r="R224"/>
      <c r="S224"/>
      <c r="T224"/>
      <c r="U224"/>
      <c r="V224"/>
    </row>
    <row r="225" spans="1:15">
      <c r="A225" s="49" t="s">
        <v>121</v>
      </c>
      <c r="C225" s="49" t="s">
        <v>124</v>
      </c>
      <c r="D225" s="24">
        <f>(1+K225)*$E$56</f>
        <v>8.6199999999999992</v>
      </c>
      <c r="E225" s="24">
        <f t="shared" si="10"/>
        <v>9.0156580000000002</v>
      </c>
      <c r="F225" s="24">
        <f t="shared" si="10"/>
        <v>9.5169285848000005</v>
      </c>
      <c r="G225" s="24">
        <f t="shared" si="10"/>
        <v>9.968030999719522</v>
      </c>
      <c r="H225" s="24">
        <f t="shared" si="10"/>
        <v>10.373729861408107</v>
      </c>
      <c r="I225" s="24"/>
      <c r="J225" s="166" t="s">
        <v>16</v>
      </c>
      <c r="K225" s="9">
        <v>0</v>
      </c>
      <c r="L225" s="9">
        <v>4.5900000000000003E-2</v>
      </c>
      <c r="M225" s="9">
        <v>5.5599999999999997E-2</v>
      </c>
      <c r="N225" s="9">
        <v>4.7399999999999998E-2</v>
      </c>
      <c r="O225" s="9">
        <v>4.07E-2</v>
      </c>
    </row>
    <row r="226" spans="1:15">
      <c r="A226" s="49" t="s">
        <v>122</v>
      </c>
      <c r="C226" s="49" t="s">
        <v>161</v>
      </c>
      <c r="D226" s="24">
        <f>(1+K226)*$E$57</f>
        <v>0.68</v>
      </c>
      <c r="E226" s="24">
        <f t="shared" si="10"/>
        <v>0.69414399999999998</v>
      </c>
      <c r="F226" s="24">
        <f t="shared" si="10"/>
        <v>0.71656485120000002</v>
      </c>
      <c r="G226" s="24">
        <f t="shared" si="10"/>
        <v>0.72845982772992002</v>
      </c>
      <c r="H226" s="24">
        <f t="shared" si="10"/>
        <v>0.74084364480132858</v>
      </c>
      <c r="I226" s="24"/>
      <c r="J226" s="166" t="s">
        <v>15</v>
      </c>
      <c r="K226" s="49">
        <f>K223</f>
        <v>0</v>
      </c>
      <c r="L226" s="49">
        <f>L223</f>
        <v>2.0799999999999999E-2</v>
      </c>
      <c r="M226" s="49">
        <f>M223</f>
        <v>3.2300000000000002E-2</v>
      </c>
      <c r="N226" s="49">
        <f>N223</f>
        <v>1.66E-2</v>
      </c>
      <c r="O226" s="49">
        <f>O223</f>
        <v>1.7000000000000001E-2</v>
      </c>
    </row>
    <row r="227" spans="1:15">
      <c r="A227" s="49" t="s">
        <v>122</v>
      </c>
      <c r="C227" s="49" t="s">
        <v>124</v>
      </c>
      <c r="D227" s="24">
        <f ca="1">D226*D212</f>
        <v>16.190476190476193</v>
      </c>
      <c r="E227" s="24">
        <f ca="1">E226*E212</f>
        <v>16.527238095238097</v>
      </c>
      <c r="F227" s="24">
        <f ca="1">F226*F212</f>
        <v>15.897201190491646</v>
      </c>
      <c r="G227" s="24">
        <f ca="1">G226*G212</f>
        <v>5.7804044212648638</v>
      </c>
      <c r="H227" s="24">
        <f ca="1">H226*H212</f>
        <v>17.216439390984206</v>
      </c>
      <c r="I227" s="24"/>
    </row>
    <row r="228" spans="1:15">
      <c r="A228" s="50" t="s">
        <v>149</v>
      </c>
      <c r="D228" s="24">
        <f ca="1">D218+D219+D220+D221+D222+D223+D224+D225+D227</f>
        <v>60.500476190476192</v>
      </c>
      <c r="E228" s="24">
        <f ca="1">E218+E219+E220+E221+E222+E223+E224+E225+E227</f>
        <v>61.683598095238096</v>
      </c>
      <c r="F228" s="24">
        <f ca="1">F218+F219+F220+F221+F222+F223+F224+F225+F227</f>
        <v>62.160226541491639</v>
      </c>
      <c r="G228" s="24">
        <f ca="1">G218+G219+G220+G221+G222+G223+G224+G225+G227</f>
        <v>53.04298376711391</v>
      </c>
      <c r="H228" s="24">
        <f ca="1">H218+H219+H220+H221+H222+H223+H224+H225+H227</f>
        <v>65.474210406666359</v>
      </c>
      <c r="I228" s="24"/>
    </row>
    <row r="230" spans="1:15">
      <c r="A230" s="50" t="s">
        <v>143</v>
      </c>
    </row>
    <row r="231" spans="1:15">
      <c r="A231" s="49" t="s">
        <v>144</v>
      </c>
      <c r="D231" s="4">
        <f ca="1">Stoch!B319</f>
        <v>7.6609072767560855</v>
      </c>
      <c r="E231" s="4">
        <f ca="1">Stoch!C319</f>
        <v>6.6559473624722338</v>
      </c>
      <c r="F231" s="4">
        <f ca="1">Stoch!D319</f>
        <v>8.4217107470635248</v>
      </c>
      <c r="G231" s="4">
        <f ca="1">Stoch!E319</f>
        <v>8.3620787869680875</v>
      </c>
      <c r="H231" s="4">
        <f ca="1">Stoch!F319</f>
        <v>6.676204360463057</v>
      </c>
      <c r="I231" s="4"/>
    </row>
    <row r="232" spans="1:15">
      <c r="A232" s="49" t="s">
        <v>258</v>
      </c>
      <c r="D232" s="80">
        <f ca="1">(D231/100)+$F$20</f>
        <v>0.10660907276756085</v>
      </c>
      <c r="E232" s="80">
        <f ca="1">(E231/100)+$F$20</f>
        <v>9.6559473624722336E-2</v>
      </c>
      <c r="F232" s="80">
        <f ca="1">(F231/100)+$F$20</f>
        <v>0.11421710747063525</v>
      </c>
      <c r="G232" s="80">
        <f ca="1">(G231/100)+$F$20</f>
        <v>0.11362078786968087</v>
      </c>
      <c r="H232" s="80">
        <f ca="1">(H231/100)+$F$20</f>
        <v>9.6762043604630574E-2</v>
      </c>
      <c r="I232" s="80"/>
    </row>
    <row r="233" spans="1:15">
      <c r="A233" s="49" t="s">
        <v>146</v>
      </c>
      <c r="C233" s="49">
        <f>E58</f>
        <v>0.7</v>
      </c>
      <c r="D233" s="24">
        <f ca="1">D228*D232*$C$233</f>
        <v>4.5149297680637908</v>
      </c>
      <c r="E233" s="24">
        <f ca="1">E228*E232*$C$233</f>
        <v>4.1692950343485808</v>
      </c>
      <c r="F233" s="24">
        <f ca="1">F228*F232*$C$233</f>
        <v>4.9698328927020086</v>
      </c>
      <c r="G233" s="24">
        <f ca="1">G228*G232*$C$233</f>
        <v>4.2187499246047224</v>
      </c>
      <c r="H233" s="24">
        <f ca="1">H228*H232*$C$233</f>
        <v>4.4347928816440243</v>
      </c>
      <c r="I233" s="24"/>
    </row>
    <row r="234" spans="1:15">
      <c r="D234" s="24"/>
      <c r="E234" s="24"/>
      <c r="F234" s="24"/>
      <c r="G234" s="24"/>
      <c r="H234" s="24"/>
      <c r="I234" s="24"/>
    </row>
    <row r="235" spans="1:15">
      <c r="A235" s="50" t="s">
        <v>140</v>
      </c>
      <c r="D235" s="24">
        <f ca="1">D228+D233</f>
        <v>65.015405958539986</v>
      </c>
      <c r="E235" s="24">
        <f ca="1">E228+E233</f>
        <v>65.852893129586676</v>
      </c>
      <c r="F235" s="24">
        <f ca="1">F228+F233</f>
        <v>67.13005943419364</v>
      </c>
      <c r="G235" s="24">
        <f ca="1">G228+G233</f>
        <v>57.261733691718632</v>
      </c>
      <c r="H235" s="24">
        <f ca="1">H228+H233</f>
        <v>69.909003288310387</v>
      </c>
      <c r="I235" s="24"/>
    </row>
    <row r="236" spans="1:15">
      <c r="D236" s="24"/>
      <c r="E236" s="24"/>
      <c r="F236" s="24"/>
      <c r="G236" s="24"/>
      <c r="H236" s="24"/>
      <c r="I236" s="24"/>
    </row>
    <row r="237" spans="1:15">
      <c r="A237" s="49" t="s">
        <v>142</v>
      </c>
      <c r="D237" s="24">
        <f>(1+K237)*$E$59</f>
        <v>50.82</v>
      </c>
      <c r="E237" s="24">
        <f>(1+L237)*D237</f>
        <v>51.724596000000005</v>
      </c>
      <c r="F237" s="24">
        <f>(1+M237)*E237</f>
        <v>52.640121349200008</v>
      </c>
      <c r="G237" s="24">
        <f>(1+N237)*F237</f>
        <v>53.45077921797769</v>
      </c>
      <c r="H237" s="24">
        <f>(1+O237)*G237</f>
        <v>54.386167854292303</v>
      </c>
      <c r="I237" s="24"/>
      <c r="J237" s="166" t="s">
        <v>11</v>
      </c>
      <c r="K237" s="49">
        <f>K219</f>
        <v>0</v>
      </c>
      <c r="L237" s="49">
        <f>L219</f>
        <v>1.78E-2</v>
      </c>
      <c r="M237" s="49">
        <f>M219</f>
        <v>1.77E-2</v>
      </c>
      <c r="N237" s="49">
        <f>N219</f>
        <v>1.54E-2</v>
      </c>
      <c r="O237" s="49">
        <f>O219</f>
        <v>1.7500000000000002E-2</v>
      </c>
    </row>
    <row r="238" spans="1:15">
      <c r="A238" s="50" t="s">
        <v>139</v>
      </c>
      <c r="D238" s="24">
        <f ca="1">D237+D235</f>
        <v>115.83540595853998</v>
      </c>
      <c r="E238" s="24">
        <f ca="1">E237+E235</f>
        <v>117.57748912958668</v>
      </c>
      <c r="F238" s="24">
        <f ca="1">F237+F235</f>
        <v>119.77018078339364</v>
      </c>
      <c r="G238" s="24">
        <f ca="1">G237+G235</f>
        <v>110.71251290969633</v>
      </c>
      <c r="H238" s="24">
        <f ca="1">H237+H235</f>
        <v>124.2951711426027</v>
      </c>
      <c r="I238" s="24"/>
    </row>
    <row r="239" spans="1:15">
      <c r="A239" s="50" t="s">
        <v>262</v>
      </c>
    </row>
    <row r="240" spans="1:15">
      <c r="A240" s="50" t="s">
        <v>147</v>
      </c>
      <c r="B240" s="50"/>
      <c r="D240" s="179">
        <f ca="1">D216-D235</f>
        <v>14.894352562042911</v>
      </c>
      <c r="E240" s="179">
        <f ca="1">E216-E235</f>
        <v>9.4248479441211401</v>
      </c>
      <c r="F240" s="179">
        <f ca="1">F216-F235</f>
        <v>-0.786106386241471</v>
      </c>
      <c r="G240" s="179">
        <f ca="1">G216-G235</f>
        <v>-7.5482679787033362</v>
      </c>
      <c r="H240" s="179">
        <f ca="1">H216-H235</f>
        <v>5.7987514266208109</v>
      </c>
      <c r="I240" s="43"/>
    </row>
    <row r="241" spans="1:15">
      <c r="A241" s="50" t="s">
        <v>148</v>
      </c>
      <c r="B241" s="50"/>
      <c r="D241" s="179">
        <f ca="1">D216-D238</f>
        <v>-35.925647437957082</v>
      </c>
      <c r="E241" s="179">
        <f ca="1">E216-E238</f>
        <v>-42.299748055878865</v>
      </c>
      <c r="F241" s="179">
        <f ca="1">F216-F238</f>
        <v>-53.426227735441472</v>
      </c>
      <c r="G241" s="179">
        <f ca="1">G216-G238</f>
        <v>-60.999047196681033</v>
      </c>
      <c r="H241" s="179">
        <f ca="1">H216-H238</f>
        <v>-48.587416427671499</v>
      </c>
      <c r="I241" s="43"/>
    </row>
    <row r="243" spans="1:15">
      <c r="A243" s="50" t="s">
        <v>166</v>
      </c>
    </row>
    <row r="244" spans="1:15">
      <c r="A244" s="51"/>
      <c r="B244" s="51"/>
      <c r="C244" s="51"/>
      <c r="D244" s="51">
        <v>1999</v>
      </c>
      <c r="E244" s="51">
        <v>2000</v>
      </c>
      <c r="F244" s="51">
        <v>2001</v>
      </c>
      <c r="G244" s="51">
        <v>2002</v>
      </c>
      <c r="H244" s="51">
        <v>2003</v>
      </c>
      <c r="I244" s="52"/>
    </row>
    <row r="245" spans="1:15">
      <c r="A245" s="49" t="s">
        <v>135</v>
      </c>
      <c r="C245" s="49" t="s">
        <v>164</v>
      </c>
      <c r="D245" s="24">
        <f ca="1">Stoch!B314</f>
        <v>20.946111561646845</v>
      </c>
      <c r="E245" s="24">
        <f ca="1">Stoch!C314</f>
        <v>31.675908717568916</v>
      </c>
      <c r="F245" s="24">
        <f ca="1">Stoch!D314</f>
        <v>30.987248785377407</v>
      </c>
      <c r="G245" s="24">
        <f ca="1">Stoch!E314</f>
        <v>30.178869128074965</v>
      </c>
      <c r="H245" s="24">
        <f ca="1">Stoch!F314</f>
        <v>42.674989774836632</v>
      </c>
      <c r="I245" s="24"/>
    </row>
    <row r="246" spans="1:15">
      <c r="A246" s="49" t="s">
        <v>160</v>
      </c>
      <c r="C246" s="49" t="s">
        <v>165</v>
      </c>
      <c r="D246" s="24">
        <f ca="1">Stoch!B318</f>
        <v>2.8143136370308142</v>
      </c>
      <c r="E246" s="24">
        <f ca="1">Stoch!C318</f>
        <v>3.6232922341657754</v>
      </c>
      <c r="F246" s="24">
        <f ca="1">Stoch!D318</f>
        <v>3.5879772999337032</v>
      </c>
      <c r="G246" s="24">
        <f ca="1">Stoch!E318</f>
        <v>2.8086153424247202</v>
      </c>
      <c r="H246" s="24">
        <f ca="1">Stoch!F318</f>
        <v>4.0130859779593608</v>
      </c>
      <c r="I246" s="24"/>
    </row>
    <row r="247" spans="1:15">
      <c r="A247" s="49" t="s">
        <v>162</v>
      </c>
      <c r="D247" s="24">
        <f ca="1">D245*D246</f>
        <v>58.948927410711519</v>
      </c>
      <c r="E247" s="24">
        <f ca="1">E245*E246</f>
        <v>114.77107406651145</v>
      </c>
      <c r="F247" s="24">
        <f ca="1">F245*F246</f>
        <v>111.18154522933236</v>
      </c>
      <c r="G247" s="24">
        <f ca="1">G245*G246</f>
        <v>84.760834850139091</v>
      </c>
      <c r="H247" s="24">
        <f ca="1">H245*H246</f>
        <v>171.25840307495599</v>
      </c>
      <c r="I247" s="24"/>
    </row>
    <row r="248" spans="1:15">
      <c r="A248" s="49" t="s">
        <v>131</v>
      </c>
      <c r="D248" s="24">
        <f ca="1">IF(D245&lt;$F$62,(($F$62-D245)*$F$63*$F64),0)</f>
        <v>6.8573399021435115</v>
      </c>
      <c r="E248" s="24">
        <f ca="1">IF(E245&lt;$F$62,(($F$62-E245)*$F$63*$F65),0)</f>
        <v>0</v>
      </c>
      <c r="F248" s="24">
        <f ca="1">IF(F245&lt;$F$62,(($F$62-F245)*$F$63*$F66),0)</f>
        <v>0</v>
      </c>
      <c r="G248" s="24">
        <f ca="1">IF(G245&lt;$F$62,(($F$62-G245)*$F$63*$F67),0)</f>
        <v>0</v>
      </c>
      <c r="H248" s="24">
        <f ca="1">IF(H245&lt;$F$62,(($F$62-H245)*$F$63*$F68),0)</f>
        <v>0</v>
      </c>
      <c r="I248" s="24"/>
    </row>
    <row r="249" spans="1:15">
      <c r="A249" s="50" t="s">
        <v>133</v>
      </c>
      <c r="C249" s="49" t="s">
        <v>124</v>
      </c>
      <c r="D249" s="24">
        <f ca="1">SUM(D247:D248)</f>
        <v>65.806267312855027</v>
      </c>
      <c r="E249" s="24">
        <f ca="1">SUM(E247:E248)</f>
        <v>114.77107406651145</v>
      </c>
      <c r="F249" s="24">
        <f ca="1">SUM(F247:F248)</f>
        <v>111.18154522933236</v>
      </c>
      <c r="G249" s="24">
        <f ca="1">SUM(G247:G248)</f>
        <v>84.760834850139091</v>
      </c>
      <c r="H249" s="24">
        <f ca="1">SUM(H247:H248)</f>
        <v>171.25840307495599</v>
      </c>
      <c r="I249" s="24"/>
    </row>
    <row r="250" spans="1:15">
      <c r="D250" s="24"/>
      <c r="E250" s="24"/>
      <c r="F250" s="24"/>
      <c r="G250" s="24"/>
      <c r="H250" s="24"/>
      <c r="I250" s="24"/>
    </row>
    <row r="251" spans="1:15">
      <c r="A251" s="49" t="s">
        <v>115</v>
      </c>
      <c r="C251" s="49" t="s">
        <v>124</v>
      </c>
      <c r="D251" s="24">
        <f>(1+K251)*F49</f>
        <v>2</v>
      </c>
      <c r="E251" s="24">
        <f t="shared" ref="E251:H254" si="11">(1+L251)*D251</f>
        <v>2.0154000000000001</v>
      </c>
      <c r="F251" s="24">
        <f t="shared" si="11"/>
        <v>2.0502664200000003</v>
      </c>
      <c r="G251" s="24">
        <f t="shared" si="11"/>
        <v>2.0937320681040004</v>
      </c>
      <c r="H251" s="24">
        <f t="shared" si="11"/>
        <v>2.1381191879478054</v>
      </c>
      <c r="I251" s="24"/>
      <c r="J251" s="166" t="s">
        <v>13</v>
      </c>
      <c r="K251" s="9">
        <v>0</v>
      </c>
      <c r="L251" s="9">
        <v>7.7000000000000002E-3</v>
      </c>
      <c r="M251" s="9">
        <v>1.7299999999999999E-2</v>
      </c>
      <c r="N251" s="9">
        <v>2.12E-2</v>
      </c>
      <c r="O251" s="9">
        <v>2.12E-2</v>
      </c>
    </row>
    <row r="252" spans="1:15">
      <c r="A252" s="49" t="s">
        <v>11</v>
      </c>
      <c r="C252" s="49" t="s">
        <v>124</v>
      </c>
      <c r="D252" s="24">
        <f>(1+K252)*$F$50</f>
        <v>15</v>
      </c>
      <c r="E252" s="24">
        <f t="shared" si="11"/>
        <v>15.267000000000001</v>
      </c>
      <c r="F252" s="24">
        <f t="shared" si="11"/>
        <v>15.537225900000003</v>
      </c>
      <c r="G252" s="24">
        <f t="shared" si="11"/>
        <v>15.776499178860004</v>
      </c>
      <c r="H252" s="24">
        <f t="shared" si="11"/>
        <v>16.052587914490054</v>
      </c>
      <c r="I252" s="24"/>
      <c r="J252" s="166" t="s">
        <v>11</v>
      </c>
      <c r="K252" s="49">
        <f>K186</f>
        <v>0</v>
      </c>
      <c r="L252" s="49">
        <f>L186</f>
        <v>1.78E-2</v>
      </c>
      <c r="M252" s="49">
        <f>M186</f>
        <v>1.77E-2</v>
      </c>
      <c r="N252" s="49">
        <f>N186</f>
        <v>1.54E-2</v>
      </c>
      <c r="O252" s="49">
        <f>O186</f>
        <v>1.7500000000000002E-2</v>
      </c>
    </row>
    <row r="253" spans="1:15">
      <c r="A253" s="49" t="s">
        <v>116</v>
      </c>
      <c r="C253" s="49" t="s">
        <v>124</v>
      </c>
      <c r="D253" s="24">
        <f>(1+K253)*$F$51</f>
        <v>10</v>
      </c>
      <c r="E253" s="24">
        <f t="shared" si="11"/>
        <v>10.077</v>
      </c>
      <c r="F253" s="24">
        <f t="shared" si="11"/>
        <v>10.251332100000001</v>
      </c>
      <c r="G253" s="24">
        <f t="shared" si="11"/>
        <v>10.468660340520001</v>
      </c>
      <c r="H253" s="24">
        <f t="shared" si="11"/>
        <v>10.690595939739026</v>
      </c>
      <c r="I253" s="24"/>
      <c r="J253" s="166" t="s">
        <v>13</v>
      </c>
      <c r="K253" s="9">
        <v>0</v>
      </c>
      <c r="L253" s="9">
        <v>7.7000000000000002E-3</v>
      </c>
      <c r="M253" s="9">
        <v>1.7299999999999999E-2</v>
      </c>
      <c r="N253" s="9">
        <v>2.12E-2</v>
      </c>
      <c r="O253" s="9">
        <v>2.12E-2</v>
      </c>
    </row>
    <row r="254" spans="1:15">
      <c r="A254" s="49" t="s">
        <v>117</v>
      </c>
      <c r="C254" s="49" t="s">
        <v>124</v>
      </c>
      <c r="D254" s="24">
        <f>(1+K254)*$F$52</f>
        <v>0</v>
      </c>
      <c r="E254" s="24">
        <f t="shared" si="11"/>
        <v>0</v>
      </c>
      <c r="F254" s="24">
        <f t="shared" si="11"/>
        <v>0</v>
      </c>
      <c r="G254" s="24">
        <f t="shared" si="11"/>
        <v>0</v>
      </c>
      <c r="H254" s="24">
        <f t="shared" si="11"/>
        <v>0</v>
      </c>
      <c r="I254" s="24"/>
      <c r="J254" s="166" t="s">
        <v>15</v>
      </c>
      <c r="K254" s="9">
        <v>0</v>
      </c>
      <c r="L254" s="9">
        <v>2.0799999999999999E-2</v>
      </c>
      <c r="M254" s="9">
        <v>3.2300000000000002E-2</v>
      </c>
      <c r="N254" s="9">
        <v>1.66E-2</v>
      </c>
      <c r="O254" s="9">
        <v>1.7000000000000001E-2</v>
      </c>
    </row>
    <row r="255" spans="1:15">
      <c r="A255" s="49" t="s">
        <v>118</v>
      </c>
      <c r="C255" s="49" t="s">
        <v>124</v>
      </c>
      <c r="D255" s="24">
        <f>$F$53</f>
        <v>4</v>
      </c>
      <c r="E255" s="24">
        <f>$F$53</f>
        <v>4</v>
      </c>
      <c r="F255" s="24">
        <f>$F$53</f>
        <v>4</v>
      </c>
      <c r="G255" s="24">
        <f>$F$53</f>
        <v>4</v>
      </c>
      <c r="H255" s="24">
        <f>$F$53</f>
        <v>4</v>
      </c>
      <c r="I255" s="24"/>
      <c r="J255" s="166" t="s">
        <v>150</v>
      </c>
    </row>
    <row r="256" spans="1:15">
      <c r="A256" s="49" t="s">
        <v>119</v>
      </c>
      <c r="C256" s="49" t="s">
        <v>124</v>
      </c>
      <c r="D256" s="24">
        <f>(1+K256)*$F$54</f>
        <v>5</v>
      </c>
      <c r="E256" s="24">
        <f t="shared" ref="E256:H259" si="12">(1+L256)*D256</f>
        <v>5.1039999999999992</v>
      </c>
      <c r="F256" s="24">
        <f t="shared" si="12"/>
        <v>5.2688591999999987</v>
      </c>
      <c r="G256" s="24">
        <f t="shared" si="12"/>
        <v>5.3563222627199982</v>
      </c>
      <c r="H256" s="24">
        <f t="shared" si="12"/>
        <v>5.4473797411862375</v>
      </c>
      <c r="I256" s="24"/>
      <c r="J256" s="166" t="s">
        <v>15</v>
      </c>
      <c r="K256" s="9">
        <v>0</v>
      </c>
      <c r="L256" s="9">
        <v>2.0799999999999999E-2</v>
      </c>
      <c r="M256" s="9">
        <v>3.2300000000000002E-2</v>
      </c>
      <c r="N256" s="9">
        <v>1.66E-2</v>
      </c>
      <c r="O256" s="9">
        <v>1.7000000000000001E-2</v>
      </c>
    </row>
    <row r="257" spans="1:15">
      <c r="A257" s="49" t="s">
        <v>120</v>
      </c>
      <c r="C257" s="49" t="s">
        <v>124</v>
      </c>
      <c r="D257" s="24">
        <f>(1+K257)*$F$55</f>
        <v>3</v>
      </c>
      <c r="E257" s="24">
        <f t="shared" si="12"/>
        <v>3.0324</v>
      </c>
      <c r="F257" s="24">
        <f t="shared" si="12"/>
        <v>3.0475619999999997</v>
      </c>
      <c r="G257" s="24">
        <f t="shared" si="12"/>
        <v>3.0548761487999996</v>
      </c>
      <c r="H257" s="24">
        <f t="shared" si="12"/>
        <v>3.0622078515571194</v>
      </c>
      <c r="I257" s="24"/>
      <c r="J257" s="166" t="s">
        <v>14</v>
      </c>
      <c r="K257" s="9">
        <v>0</v>
      </c>
      <c r="L257" s="9">
        <v>1.0800000000000001E-2</v>
      </c>
      <c r="M257" s="9">
        <v>5.0000000000000001E-3</v>
      </c>
      <c r="N257" s="9">
        <v>2.3999999999999998E-3</v>
      </c>
      <c r="O257" s="9">
        <v>2.3999999999999998E-3</v>
      </c>
    </row>
    <row r="258" spans="1:15">
      <c r="A258" s="49" t="s">
        <v>121</v>
      </c>
      <c r="C258" s="49" t="s">
        <v>124</v>
      </c>
      <c r="D258" s="24">
        <f>(1+K258)*$F$56</f>
        <v>9</v>
      </c>
      <c r="E258" s="24">
        <f t="shared" si="12"/>
        <v>9.4131</v>
      </c>
      <c r="F258" s="24">
        <f t="shared" si="12"/>
        <v>9.936468360000001</v>
      </c>
      <c r="G258" s="24">
        <f t="shared" si="12"/>
        <v>10.407456960264001</v>
      </c>
      <c r="H258" s="24">
        <f t="shared" si="12"/>
        <v>10.831040458546745</v>
      </c>
      <c r="I258" s="24"/>
      <c r="J258" s="166" t="s">
        <v>16</v>
      </c>
      <c r="K258" s="9">
        <v>0</v>
      </c>
      <c r="L258" s="9">
        <v>4.5900000000000003E-2</v>
      </c>
      <c r="M258" s="9">
        <v>5.5599999999999997E-2</v>
      </c>
      <c r="N258" s="9">
        <v>4.7399999999999998E-2</v>
      </c>
      <c r="O258" s="9">
        <v>4.07E-2</v>
      </c>
    </row>
    <row r="259" spans="1:15">
      <c r="A259" s="49" t="s">
        <v>122</v>
      </c>
      <c r="C259" s="49" t="s">
        <v>161</v>
      </c>
      <c r="D259" s="24">
        <f>(1+K259)*$F$57</f>
        <v>1.2</v>
      </c>
      <c r="E259" s="24">
        <f t="shared" si="12"/>
        <v>1.2249599999999998</v>
      </c>
      <c r="F259" s="24">
        <f t="shared" si="12"/>
        <v>1.2645262079999997</v>
      </c>
      <c r="G259" s="24">
        <f t="shared" si="12"/>
        <v>1.2855173430527997</v>
      </c>
      <c r="H259" s="24">
        <f t="shared" si="12"/>
        <v>1.3073711378846973</v>
      </c>
      <c r="I259" s="24"/>
      <c r="J259" s="166" t="s">
        <v>15</v>
      </c>
      <c r="K259" s="49">
        <f>K256</f>
        <v>0</v>
      </c>
      <c r="L259" s="49">
        <f>L256</f>
        <v>2.0799999999999999E-2</v>
      </c>
      <c r="M259" s="49">
        <f>M256</f>
        <v>3.2300000000000002E-2</v>
      </c>
      <c r="N259" s="49">
        <f>N256</f>
        <v>1.66E-2</v>
      </c>
      <c r="O259" s="49">
        <f>O256</f>
        <v>1.7000000000000001E-2</v>
      </c>
    </row>
    <row r="260" spans="1:15">
      <c r="A260" s="49" t="s">
        <v>122</v>
      </c>
      <c r="C260" s="49" t="s">
        <v>124</v>
      </c>
      <c r="D260" s="24">
        <f ca="1">D259*D245</f>
        <v>25.135333873976212</v>
      </c>
      <c r="E260" s="24">
        <f ca="1">E259*E245</f>
        <v>38.801721142673216</v>
      </c>
      <c r="F260" s="24">
        <f ca="1">F259*F245</f>
        <v>39.184188202925888</v>
      </c>
      <c r="G260" s="24">
        <f ca="1">G259*G245</f>
        <v>38.795459657861095</v>
      </c>
      <c r="H260" s="24">
        <f ca="1">H259*H245</f>
        <v>55.79204994114599</v>
      </c>
      <c r="I260" s="24"/>
    </row>
    <row r="261" spans="1:15">
      <c r="A261" s="50" t="s">
        <v>149</v>
      </c>
      <c r="D261" s="24">
        <f ca="1">D251+D252+D253+D254+D255+D256+D257+D258+D260</f>
        <v>73.135333873976208</v>
      </c>
      <c r="E261" s="24">
        <f ca="1">E251+E252+E253+E254+E255+E256+E257+E258+E260</f>
        <v>87.710621142673219</v>
      </c>
      <c r="F261" s="24">
        <f ca="1">F251+F252+F253+F254+F255+F256+F257+F258+F260</f>
        <v>89.27590218292589</v>
      </c>
      <c r="G261" s="24">
        <f ca="1">G251+G252+G253+G254+G255+G256+G257+G258+G260</f>
        <v>89.953006617129091</v>
      </c>
      <c r="H261" s="24">
        <f ca="1">H251+H252+H253+H254+H255+H256+H257+H258+H260</f>
        <v>108.01398103461298</v>
      </c>
      <c r="I261" s="24"/>
    </row>
    <row r="262" spans="1:15">
      <c r="D262" s="24"/>
      <c r="E262" s="24"/>
      <c r="F262" s="24"/>
      <c r="G262" s="24"/>
      <c r="H262" s="24"/>
      <c r="I262" s="24"/>
    </row>
    <row r="263" spans="1:15">
      <c r="A263" s="50" t="s">
        <v>143</v>
      </c>
      <c r="D263" s="24"/>
      <c r="E263" s="24"/>
      <c r="F263" s="24"/>
      <c r="G263" s="24"/>
      <c r="H263" s="24"/>
      <c r="I263" s="24"/>
    </row>
    <row r="264" spans="1:15">
      <c r="A264" s="49" t="s">
        <v>144</v>
      </c>
      <c r="D264" s="4">
        <f ca="1">Stoch!B319</f>
        <v>7.6609072767560855</v>
      </c>
      <c r="E264" s="4">
        <f ca="1">Stoch!C319</f>
        <v>6.6559473624722338</v>
      </c>
      <c r="F264" s="4">
        <f ca="1">Stoch!D319</f>
        <v>8.4217107470635248</v>
      </c>
      <c r="G264" s="4">
        <f ca="1">Stoch!E319</f>
        <v>8.3620787869680875</v>
      </c>
      <c r="H264" s="4">
        <f ca="1">Stoch!F319</f>
        <v>6.676204360463057</v>
      </c>
      <c r="I264" s="4"/>
    </row>
    <row r="265" spans="1:15">
      <c r="A265" s="49" t="s">
        <v>257</v>
      </c>
      <c r="D265" s="80">
        <f ca="1">(D264/100)+$F$21</f>
        <v>0.10660907276756085</v>
      </c>
      <c r="E265" s="80">
        <f ca="1">(E264/100)+$F$21</f>
        <v>9.6559473624722336E-2</v>
      </c>
      <c r="F265" s="80">
        <f ca="1">(F264/100)+$F$21</f>
        <v>0.11421710747063525</v>
      </c>
      <c r="G265" s="80">
        <f ca="1">(G264/100)+$F$21</f>
        <v>0.11362078786968087</v>
      </c>
      <c r="H265" s="80">
        <f ca="1">(H264/100)+$F$21</f>
        <v>9.6762043604630574E-2</v>
      </c>
      <c r="I265" s="80"/>
    </row>
    <row r="266" spans="1:15">
      <c r="A266" s="49" t="s">
        <v>146</v>
      </c>
      <c r="C266" s="49">
        <f>F58</f>
        <v>0.6</v>
      </c>
      <c r="D266" s="24">
        <f ca="1">$C$266*D261*D265</f>
        <v>4.678134078510352</v>
      </c>
      <c r="E266" s="24">
        <f ca="1">$C$266*E261*E265</f>
        <v>5.0815748453003806</v>
      </c>
      <c r="F266" s="24">
        <f ca="1">$C$266*F261*F265</f>
        <v>6.1181011884990992</v>
      </c>
      <c r="G266" s="24">
        <f ca="1">$C$266*G261*G265</f>
        <v>6.1323188898508949</v>
      </c>
      <c r="H266" s="24">
        <f ca="1">$C$266*H261*H265</f>
        <v>6.2709921256685766</v>
      </c>
      <c r="I266" s="24"/>
    </row>
    <row r="267" spans="1:15">
      <c r="D267" s="24"/>
      <c r="E267" s="24"/>
      <c r="F267" s="24"/>
      <c r="G267" s="24"/>
      <c r="H267" s="24"/>
      <c r="I267" s="24"/>
    </row>
    <row r="268" spans="1:15">
      <c r="A268" s="50" t="s">
        <v>140</v>
      </c>
      <c r="D268" s="24">
        <f ca="1">D261+D266</f>
        <v>77.813467952486562</v>
      </c>
      <c r="E268" s="24">
        <f ca="1">E261+E266</f>
        <v>92.792195987973599</v>
      </c>
      <c r="F268" s="24">
        <f ca="1">F261+F266</f>
        <v>95.394003371424986</v>
      </c>
      <c r="G268" s="24">
        <f ca="1">G261+G266</f>
        <v>96.085325506979984</v>
      </c>
      <c r="H268" s="24">
        <f ca="1">H261+H266</f>
        <v>114.28497316028155</v>
      </c>
      <c r="I268" s="24"/>
    </row>
    <row r="269" spans="1:15">
      <c r="D269" s="24"/>
      <c r="E269" s="24"/>
      <c r="F269" s="24"/>
      <c r="G269" s="24"/>
      <c r="H269" s="24"/>
      <c r="I269" s="24"/>
    </row>
    <row r="270" spans="1:15">
      <c r="A270" s="49" t="s">
        <v>142</v>
      </c>
      <c r="D270" s="24">
        <f>(1+K270)*$F$59</f>
        <v>51</v>
      </c>
      <c r="E270" s="24">
        <f>(1+L270)*D270</f>
        <v>51.907800000000002</v>
      </c>
      <c r="F270" s="24">
        <f>(1+M270)*E270</f>
        <v>52.826568060000007</v>
      </c>
      <c r="G270" s="24">
        <f>(1+N270)*F270</f>
        <v>53.640097208124011</v>
      </c>
      <c r="H270" s="24">
        <f>(1+O270)*G270</f>
        <v>54.578798909266183</v>
      </c>
      <c r="I270" s="24"/>
      <c r="J270" s="166" t="s">
        <v>11</v>
      </c>
      <c r="K270" s="49">
        <f>K252</f>
        <v>0</v>
      </c>
      <c r="L270" s="49">
        <f>L252</f>
        <v>1.78E-2</v>
      </c>
      <c r="M270" s="49">
        <f>M252</f>
        <v>1.77E-2</v>
      </c>
      <c r="N270" s="49">
        <f>N252</f>
        <v>1.54E-2</v>
      </c>
      <c r="O270" s="49">
        <f>O252</f>
        <v>1.7500000000000002E-2</v>
      </c>
    </row>
    <row r="271" spans="1:15">
      <c r="A271" s="50" t="s">
        <v>139</v>
      </c>
      <c r="D271" s="24">
        <f ca="1">D261+D270+D266</f>
        <v>128.81346795248655</v>
      </c>
      <c r="E271" s="24">
        <f ca="1">E261+E270+E266</f>
        <v>144.69999598797358</v>
      </c>
      <c r="F271" s="24">
        <f ca="1">F261+F270+F266</f>
        <v>148.22057143142501</v>
      </c>
      <c r="G271" s="24">
        <f ca="1">G261+G270+G266</f>
        <v>149.725422715104</v>
      </c>
      <c r="H271" s="24">
        <f ca="1">H261+H270+H266</f>
        <v>168.86377206954776</v>
      </c>
      <c r="I271" s="24"/>
    </row>
    <row r="272" spans="1:15">
      <c r="A272" s="50" t="s">
        <v>53</v>
      </c>
    </row>
    <row r="273" spans="1:9">
      <c r="A273" s="50" t="s">
        <v>147</v>
      </c>
      <c r="B273" s="50"/>
      <c r="D273" s="179">
        <f ca="1">D249-D268</f>
        <v>-12.007200639631535</v>
      </c>
      <c r="E273" s="179">
        <f ca="1">E249-E268</f>
        <v>21.978878078537846</v>
      </c>
      <c r="F273" s="179">
        <f ca="1">F249-F268</f>
        <v>15.787541857907371</v>
      </c>
      <c r="G273" s="179">
        <f ca="1">G249-G268</f>
        <v>-11.324490656840894</v>
      </c>
      <c r="H273" s="179">
        <f ca="1">H249-H268</f>
        <v>56.973429914674441</v>
      </c>
      <c r="I273" s="43"/>
    </row>
    <row r="274" spans="1:9">
      <c r="A274" s="50" t="s">
        <v>148</v>
      </c>
      <c r="B274" s="50"/>
      <c r="D274" s="179">
        <f ca="1">D249-D271</f>
        <v>-63.00720063963152</v>
      </c>
      <c r="E274" s="179">
        <f ca="1">E249-E271</f>
        <v>-29.928921921462134</v>
      </c>
      <c r="F274" s="179">
        <f ca="1">F249-F271</f>
        <v>-37.039026202092657</v>
      </c>
      <c r="G274" s="179">
        <f ca="1">G249-G271</f>
        <v>-64.964587864964912</v>
      </c>
      <c r="H274" s="179">
        <f ca="1">H249-H271</f>
        <v>2.3946310054082289</v>
      </c>
      <c r="I274" s="43"/>
    </row>
  </sheetData>
  <phoneticPr fontId="0" type="noConversion"/>
  <printOptions headings="1" gridLines="1"/>
  <pageMargins left="0.75" right="0.75" top="0.5" bottom="0.7" header="0.5" footer="0.5"/>
  <pageSetup scale="76" fitToHeight="4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selection activeCell="D1" sqref="D1:D65536"/>
    </sheetView>
  </sheetViews>
  <sheetFormatPr defaultRowHeight="12.75"/>
  <cols>
    <col min="2" max="2" width="12.5703125" bestFit="1" customWidth="1"/>
    <col min="3" max="3" width="12.28515625" bestFit="1" customWidth="1"/>
    <col min="4" max="6" width="9" bestFit="1" customWidth="1"/>
  </cols>
  <sheetData>
    <row r="1" spans="1:6">
      <c r="A1" t="s">
        <v>299</v>
      </c>
    </row>
    <row r="2" spans="1:6">
      <c r="A2" t="s">
        <v>285</v>
      </c>
      <c r="B2" t="str">
        <f ca="1">ADDRESS(ROW(Model!$D$167),COLUMN(Model!$D$167),4,,_xll.WSNAME(Model!$D$167))</f>
        <v>Model!D167</v>
      </c>
      <c r="C2" t="str">
        <f ca="1">ADDRESS(ROW(Model!$D$168),COLUMN(Model!$D$168),4,,_xll.WSNAME(Model!$D$168))</f>
        <v>Model!D168</v>
      </c>
      <c r="D2" t="str">
        <f ca="1">ADDRESS(ROW(Model!$D$169),COLUMN(Model!$D$169),4,,_xll.WSNAME(Model!$D$169))</f>
        <v>Model!D169</v>
      </c>
      <c r="E2" t="str">
        <f ca="1">ADDRESS(ROW(Model!$D$170),COLUMN(Model!$D$170),4,,_xll.WSNAME(Model!$D$170))</f>
        <v>Model!D170</v>
      </c>
      <c r="F2" t="str">
        <f ca="1">ADDRESS(ROW(Model!$D$171),COLUMN(Model!$D$171),4,,_xll.WSNAME(Model!$D$171))</f>
        <v>Model!D171</v>
      </c>
    </row>
    <row r="3" spans="1:6">
      <c r="A3" t="s">
        <v>69</v>
      </c>
      <c r="B3">
        <f>AVERAGE(B9:B108)</f>
        <v>32264566.178356886</v>
      </c>
      <c r="C3">
        <f>AVERAGE(C9:C108)</f>
        <v>-4865280.9792843945</v>
      </c>
      <c r="D3">
        <f>AVERAGE(D9:D108)</f>
        <v>0</v>
      </c>
      <c r="E3">
        <f>AVERAGE(E9:E108)</f>
        <v>-0.29859638742702421</v>
      </c>
      <c r="F3">
        <f>AVERAGE(F9:F108)</f>
        <v>0</v>
      </c>
    </row>
    <row r="4" spans="1:6">
      <c r="A4" t="s">
        <v>281</v>
      </c>
      <c r="B4">
        <f>STDEV(B9:B108)</f>
        <v>744258.63240487291</v>
      </c>
      <c r="C4">
        <f>STDEV(C9:C108)</f>
        <v>744258.63240482879</v>
      </c>
      <c r="D4">
        <f>STDEV(D9:D108)</f>
        <v>0</v>
      </c>
      <c r="E4">
        <f>STDEV(E9:E108)</f>
        <v>1.6179535487061622E-2</v>
      </c>
      <c r="F4">
        <f>STDEV(F9:F108)</f>
        <v>0</v>
      </c>
    </row>
    <row r="5" spans="1:6">
      <c r="A5" t="s">
        <v>282</v>
      </c>
      <c r="B5">
        <f>100*B4/B3</f>
        <v>2.3067368341190422</v>
      </c>
      <c r="C5">
        <f>100*C4/C3</f>
        <v>-15.297341213668146</v>
      </c>
      <c r="D5" t="e">
        <f>100*D4/D3</f>
        <v>#DIV/0!</v>
      </c>
      <c r="E5">
        <f>100*E4/E3</f>
        <v>-5.4185302194976614</v>
      </c>
      <c r="F5" t="e">
        <f>100*F4/F3</f>
        <v>#DIV/0!</v>
      </c>
    </row>
    <row r="6" spans="1:6">
      <c r="A6" t="s">
        <v>155</v>
      </c>
      <c r="B6">
        <f>MIN(B9:B108)</f>
        <v>30326252.659514755</v>
      </c>
      <c r="C6">
        <f>MIN(C9:C108)</f>
        <v>-6803594.4981265292</v>
      </c>
      <c r="D6">
        <f>MIN(D9:D108)</f>
        <v>0</v>
      </c>
      <c r="E6">
        <f>MIN(E9:E108)</f>
        <v>-0.34073363783663574</v>
      </c>
      <c r="F6">
        <f>MIN(F9:F108)</f>
        <v>0</v>
      </c>
    </row>
    <row r="7" spans="1:6">
      <c r="A7" t="s">
        <v>156</v>
      </c>
      <c r="B7">
        <f>MAX(B9:B108)</f>
        <v>33853249.374874696</v>
      </c>
      <c r="C7">
        <f>MAX(C9:C108)</f>
        <v>-3276597.782766588</v>
      </c>
      <c r="D7">
        <f>MAX(D9:D108)</f>
        <v>0</v>
      </c>
      <c r="E7">
        <f>MAX(E9:E108)</f>
        <v>-0.26405979619837616</v>
      </c>
      <c r="F7">
        <f>MAX(F9:F108)</f>
        <v>0</v>
      </c>
    </row>
    <row r="8" spans="1:6">
      <c r="A8" t="s">
        <v>283</v>
      </c>
      <c r="B8" t="str">
        <f>"Variable "&amp;1</f>
        <v>Variable 1</v>
      </c>
      <c r="C8" t="str">
        <f>"Variable "&amp;2</f>
        <v>Variable 2</v>
      </c>
      <c r="D8" t="str">
        <f>"Variable "&amp;3</f>
        <v>Variable 3</v>
      </c>
      <c r="E8" t="str">
        <f>"Variable "&amp;4</f>
        <v>Variable 4</v>
      </c>
      <c r="F8" t="str">
        <f>"Variable "&amp;5</f>
        <v>Variable 5</v>
      </c>
    </row>
    <row r="9" spans="1:6">
      <c r="A9">
        <v>1</v>
      </c>
      <c r="B9">
        <v>32978688.504068606</v>
      </c>
      <c r="C9">
        <v>-4151158.6535726786</v>
      </c>
      <c r="D9">
        <v>0</v>
      </c>
      <c r="E9">
        <v>-0.28307198904198683</v>
      </c>
      <c r="F9">
        <v>0</v>
      </c>
    </row>
    <row r="10" spans="1:6">
      <c r="A10">
        <v>2</v>
      </c>
      <c r="B10">
        <v>31181710.31151497</v>
      </c>
      <c r="C10">
        <v>-5948136.8461263143</v>
      </c>
      <c r="D10">
        <v>0</v>
      </c>
      <c r="E10">
        <v>-0.3221367323583702</v>
      </c>
      <c r="F10">
        <v>0</v>
      </c>
    </row>
    <row r="11" spans="1:6">
      <c r="A11">
        <v>3</v>
      </c>
      <c r="B11">
        <v>32547576.204252664</v>
      </c>
      <c r="C11">
        <v>-4582270.9533886202</v>
      </c>
      <c r="D11">
        <v>0</v>
      </c>
      <c r="E11">
        <v>-0.29244399555972472</v>
      </c>
      <c r="F11">
        <v>0</v>
      </c>
    </row>
    <row r="12" spans="1:6">
      <c r="A12">
        <v>4</v>
      </c>
      <c r="B12">
        <v>31669437.709360912</v>
      </c>
      <c r="C12">
        <v>-5460409.4482803717</v>
      </c>
      <c r="D12">
        <v>0</v>
      </c>
      <c r="E12">
        <v>-0.31153396283998014</v>
      </c>
      <c r="F12">
        <v>0</v>
      </c>
    </row>
    <row r="13" spans="1:6">
      <c r="A13">
        <v>5</v>
      </c>
      <c r="B13">
        <v>33315417.658762813</v>
      </c>
      <c r="C13">
        <v>-3814429.4988784716</v>
      </c>
      <c r="D13">
        <v>0</v>
      </c>
      <c r="E13">
        <v>-0.27575179002689537</v>
      </c>
      <c r="F13">
        <v>0</v>
      </c>
    </row>
    <row r="14" spans="1:6">
      <c r="A14">
        <v>6</v>
      </c>
      <c r="B14">
        <v>32888315.083392128</v>
      </c>
      <c r="C14">
        <v>-4241532.0742491558</v>
      </c>
      <c r="D14">
        <v>0</v>
      </c>
      <c r="E14">
        <v>-0.28503662862191026</v>
      </c>
      <c r="F14">
        <v>0</v>
      </c>
    </row>
    <row r="15" spans="1:6">
      <c r="A15">
        <v>7</v>
      </c>
      <c r="B15">
        <v>31696621.150098823</v>
      </c>
      <c r="C15">
        <v>-5433226.0075424612</v>
      </c>
      <c r="D15">
        <v>0</v>
      </c>
      <c r="E15">
        <v>-0.31094301847611255</v>
      </c>
      <c r="F15">
        <v>0</v>
      </c>
    </row>
    <row r="16" spans="1:6">
      <c r="A16">
        <v>8</v>
      </c>
      <c r="B16">
        <v>31941267.469255205</v>
      </c>
      <c r="C16">
        <v>-5188579.6883860789</v>
      </c>
      <c r="D16">
        <v>0</v>
      </c>
      <c r="E16">
        <v>-0.3056246202335825</v>
      </c>
      <c r="F16">
        <v>0</v>
      </c>
    </row>
    <row r="17" spans="1:6">
      <c r="A17">
        <v>9</v>
      </c>
      <c r="B17">
        <v>31954356.262705039</v>
      </c>
      <c r="C17">
        <v>-5175490.8949362449</v>
      </c>
      <c r="D17">
        <v>0</v>
      </c>
      <c r="E17">
        <v>-0.30534008124554263</v>
      </c>
      <c r="F17">
        <v>0</v>
      </c>
    </row>
    <row r="18" spans="1:6">
      <c r="A18">
        <v>10</v>
      </c>
      <c r="B18">
        <v>31945442.159475986</v>
      </c>
      <c r="C18">
        <v>-5184404.9981652983</v>
      </c>
      <c r="D18">
        <v>0</v>
      </c>
      <c r="E18">
        <v>-0.30553386609834815</v>
      </c>
      <c r="F18">
        <v>0</v>
      </c>
    </row>
    <row r="19" spans="1:6">
      <c r="A19">
        <v>11</v>
      </c>
      <c r="B19">
        <v>33133859.383321486</v>
      </c>
      <c r="C19">
        <v>-3995987.7743197978</v>
      </c>
      <c r="D19">
        <v>0</v>
      </c>
      <c r="E19">
        <v>-0.27969870905822858</v>
      </c>
      <c r="F19">
        <v>0</v>
      </c>
    </row>
    <row r="20" spans="1:6">
      <c r="A20">
        <v>12</v>
      </c>
      <c r="B20">
        <v>33189279.126173209</v>
      </c>
      <c r="C20">
        <v>-3940568.0314680748</v>
      </c>
      <c r="D20">
        <v>0</v>
      </c>
      <c r="E20">
        <v>-0.27849393203971284</v>
      </c>
      <c r="F20">
        <v>0</v>
      </c>
    </row>
    <row r="21" spans="1:6">
      <c r="A21">
        <v>13</v>
      </c>
      <c r="B21">
        <v>32571778.97850395</v>
      </c>
      <c r="C21">
        <v>-4558068.1791373342</v>
      </c>
      <c r="D21">
        <v>0</v>
      </c>
      <c r="E21">
        <v>-0.2919178482933924</v>
      </c>
      <c r="F21">
        <v>0</v>
      </c>
    </row>
    <row r="22" spans="1:6">
      <c r="A22">
        <v>14</v>
      </c>
      <c r="B22">
        <v>30836029.916958354</v>
      </c>
      <c r="C22">
        <v>-6293817.2406829298</v>
      </c>
      <c r="D22">
        <v>0</v>
      </c>
      <c r="E22">
        <v>-0.3296515235443836</v>
      </c>
      <c r="F22">
        <v>0</v>
      </c>
    </row>
    <row r="23" spans="1:6">
      <c r="A23">
        <v>15</v>
      </c>
      <c r="B23">
        <v>31973332.465357959</v>
      </c>
      <c r="C23">
        <v>-5156514.6922833249</v>
      </c>
      <c r="D23">
        <v>0</v>
      </c>
      <c r="E23">
        <v>-0.30492755510091391</v>
      </c>
      <c r="F23">
        <v>0</v>
      </c>
    </row>
    <row r="24" spans="1:6">
      <c r="A24">
        <v>16</v>
      </c>
      <c r="B24">
        <v>31611655.561366361</v>
      </c>
      <c r="C24">
        <v>-5518191.5962749235</v>
      </c>
      <c r="D24">
        <v>0</v>
      </c>
      <c r="E24">
        <v>-0.31279009649203565</v>
      </c>
      <c r="F24">
        <v>0</v>
      </c>
    </row>
    <row r="25" spans="1:6">
      <c r="A25">
        <v>17</v>
      </c>
      <c r="B25">
        <v>31820853.398963414</v>
      </c>
      <c r="C25">
        <v>-5308993.75867787</v>
      </c>
      <c r="D25">
        <v>0</v>
      </c>
      <c r="E25">
        <v>-0.30824231741383884</v>
      </c>
      <c r="F25">
        <v>0</v>
      </c>
    </row>
    <row r="26" spans="1:6">
      <c r="A26">
        <v>18</v>
      </c>
      <c r="B26">
        <v>30774546.254110966</v>
      </c>
      <c r="C26">
        <v>-6355300.9035303183</v>
      </c>
      <c r="D26">
        <v>0</v>
      </c>
      <c r="E26">
        <v>-0.33098812491063118</v>
      </c>
      <c r="F26">
        <v>0</v>
      </c>
    </row>
    <row r="27" spans="1:6">
      <c r="A27">
        <v>19</v>
      </c>
      <c r="B27">
        <v>31521346.027591605</v>
      </c>
      <c r="C27">
        <v>-5608501.1300496794</v>
      </c>
      <c r="D27">
        <v>0</v>
      </c>
      <c r="E27">
        <v>-0.31475334722626946</v>
      </c>
      <c r="F27">
        <v>0</v>
      </c>
    </row>
    <row r="28" spans="1:6">
      <c r="A28">
        <v>20</v>
      </c>
      <c r="B28">
        <v>33767102.254944503</v>
      </c>
      <c r="C28">
        <v>-3362744.9026967809</v>
      </c>
      <c r="D28">
        <v>0</v>
      </c>
      <c r="E28">
        <v>-0.26593255967511947</v>
      </c>
      <c r="F28">
        <v>0</v>
      </c>
    </row>
    <row r="29" spans="1:6">
      <c r="A29">
        <v>21</v>
      </c>
      <c r="B29">
        <v>31579044.532344781</v>
      </c>
      <c r="C29">
        <v>-5550802.6252965033</v>
      </c>
      <c r="D29">
        <v>0</v>
      </c>
      <c r="E29">
        <v>-0.31349903190554823</v>
      </c>
      <c r="F29">
        <v>0</v>
      </c>
    </row>
    <row r="30" spans="1:6">
      <c r="A30">
        <v>22</v>
      </c>
      <c r="B30">
        <v>33745182.292294525</v>
      </c>
      <c r="C30">
        <v>-3384664.8653467596</v>
      </c>
      <c r="D30">
        <v>0</v>
      </c>
      <c r="E30">
        <v>-0.26640908060229296</v>
      </c>
      <c r="F30">
        <v>0</v>
      </c>
    </row>
    <row r="31" spans="1:6">
      <c r="A31">
        <v>23</v>
      </c>
      <c r="B31">
        <v>31941131.892529856</v>
      </c>
      <c r="C31">
        <v>-5188715.2651114278</v>
      </c>
      <c r="D31">
        <v>0</v>
      </c>
      <c r="E31">
        <v>-0.3056275675536988</v>
      </c>
      <c r="F31">
        <v>0</v>
      </c>
    </row>
    <row r="32" spans="1:6">
      <c r="A32">
        <v>24</v>
      </c>
      <c r="B32">
        <v>31428414.181172013</v>
      </c>
      <c r="C32">
        <v>-5701432.9764692709</v>
      </c>
      <c r="D32">
        <v>0</v>
      </c>
      <c r="E32">
        <v>-0.31677360475713012</v>
      </c>
      <c r="F32">
        <v>0</v>
      </c>
    </row>
    <row r="33" spans="1:6">
      <c r="A33">
        <v>25</v>
      </c>
      <c r="B33">
        <v>31783885.117728692</v>
      </c>
      <c r="C33">
        <v>-5345962.0399125926</v>
      </c>
      <c r="D33">
        <v>0</v>
      </c>
      <c r="E33">
        <v>-0.30904597570155018</v>
      </c>
      <c r="F33">
        <v>0</v>
      </c>
    </row>
    <row r="34" spans="1:6">
      <c r="A34">
        <v>26</v>
      </c>
      <c r="B34">
        <v>32474160.778244656</v>
      </c>
      <c r="C34">
        <v>-4655686.3793966286</v>
      </c>
      <c r="D34">
        <v>0</v>
      </c>
      <c r="E34">
        <v>-0.29403998308163792</v>
      </c>
      <c r="F34">
        <v>0</v>
      </c>
    </row>
    <row r="35" spans="1:6">
      <c r="A35">
        <v>27</v>
      </c>
      <c r="B35">
        <v>32428941.647545453</v>
      </c>
      <c r="C35">
        <v>-4700905.510095831</v>
      </c>
      <c r="D35">
        <v>0</v>
      </c>
      <c r="E35">
        <v>-0.29502300766205536</v>
      </c>
      <c r="F35">
        <v>0</v>
      </c>
    </row>
    <row r="36" spans="1:6">
      <c r="A36">
        <v>28</v>
      </c>
      <c r="B36">
        <v>32646461.268438715</v>
      </c>
      <c r="C36">
        <v>-4483385.8892025687</v>
      </c>
      <c r="D36">
        <v>0</v>
      </c>
      <c r="E36">
        <v>-0.29029432025133228</v>
      </c>
      <c r="F36">
        <v>0</v>
      </c>
    </row>
    <row r="37" spans="1:6">
      <c r="A37">
        <v>29</v>
      </c>
      <c r="B37">
        <v>32911919.074708413</v>
      </c>
      <c r="C37">
        <v>-4217928.0829328708</v>
      </c>
      <c r="D37">
        <v>0</v>
      </c>
      <c r="E37">
        <v>-0.28452349837590407</v>
      </c>
      <c r="F37">
        <v>0</v>
      </c>
    </row>
    <row r="38" spans="1:6">
      <c r="A38">
        <v>30</v>
      </c>
      <c r="B38">
        <v>32981510.980356693</v>
      </c>
      <c r="C38">
        <v>-4148336.1772845909</v>
      </c>
      <c r="D38">
        <v>0</v>
      </c>
      <c r="E38">
        <v>-0.283010630861811</v>
      </c>
      <c r="F38">
        <v>0</v>
      </c>
    </row>
    <row r="39" spans="1:6">
      <c r="A39">
        <v>31</v>
      </c>
      <c r="B39">
        <v>32995743.753758989</v>
      </c>
      <c r="C39">
        <v>-4134103.4038822949</v>
      </c>
      <c r="D39">
        <v>0</v>
      </c>
      <c r="E39">
        <v>-0.28270122274436982</v>
      </c>
      <c r="F39">
        <v>0</v>
      </c>
    </row>
    <row r="40" spans="1:6">
      <c r="A40">
        <v>32</v>
      </c>
      <c r="B40">
        <v>32000703.984840598</v>
      </c>
      <c r="C40">
        <v>-5129143.1728006862</v>
      </c>
      <c r="D40">
        <v>0</v>
      </c>
      <c r="E40">
        <v>-0.30433252206868266</v>
      </c>
      <c r="F40">
        <v>0</v>
      </c>
    </row>
    <row r="41" spans="1:6">
      <c r="A41">
        <v>33</v>
      </c>
      <c r="B41">
        <v>31533206.948733505</v>
      </c>
      <c r="C41">
        <v>-5596640.2089077793</v>
      </c>
      <c r="D41">
        <v>0</v>
      </c>
      <c r="E41">
        <v>-0.31449550111448904</v>
      </c>
      <c r="F41">
        <v>0</v>
      </c>
    </row>
    <row r="42" spans="1:6">
      <c r="A42">
        <v>34</v>
      </c>
      <c r="B42">
        <v>32284388.344287615</v>
      </c>
      <c r="C42">
        <v>-4845458.8133536689</v>
      </c>
      <c r="D42">
        <v>0</v>
      </c>
      <c r="E42">
        <v>-0.29816547077635619</v>
      </c>
      <c r="F42">
        <v>0</v>
      </c>
    </row>
    <row r="43" spans="1:6">
      <c r="A43">
        <v>35</v>
      </c>
      <c r="B43">
        <v>32361118.669205934</v>
      </c>
      <c r="C43">
        <v>-4768728.4884353504</v>
      </c>
      <c r="D43">
        <v>0</v>
      </c>
      <c r="E43">
        <v>-0.29649742023465359</v>
      </c>
      <c r="F43">
        <v>0</v>
      </c>
    </row>
    <row r="44" spans="1:6">
      <c r="A44">
        <v>36</v>
      </c>
      <c r="B44">
        <v>33208955.070927251</v>
      </c>
      <c r="C44">
        <v>-3920892.086714033</v>
      </c>
      <c r="D44">
        <v>0</v>
      </c>
      <c r="E44">
        <v>-0.27806619411027717</v>
      </c>
      <c r="F44">
        <v>0</v>
      </c>
    </row>
    <row r="45" spans="1:6">
      <c r="A45">
        <v>37</v>
      </c>
      <c r="B45">
        <v>32929779.21278277</v>
      </c>
      <c r="C45">
        <v>-4200067.9448585138</v>
      </c>
      <c r="D45">
        <v>0</v>
      </c>
      <c r="E45">
        <v>-0.28413523450472239</v>
      </c>
      <c r="F45">
        <v>0</v>
      </c>
    </row>
    <row r="46" spans="1:6">
      <c r="A46">
        <v>38</v>
      </c>
      <c r="B46">
        <v>31601760.703254931</v>
      </c>
      <c r="C46">
        <v>-5528086.4543863535</v>
      </c>
      <c r="D46">
        <v>0</v>
      </c>
      <c r="E46">
        <v>-0.31300520210315369</v>
      </c>
      <c r="F46">
        <v>0</v>
      </c>
    </row>
    <row r="47" spans="1:6">
      <c r="A47">
        <v>39</v>
      </c>
      <c r="B47">
        <v>31837489.669512503</v>
      </c>
      <c r="C47">
        <v>-5292357.4881287813</v>
      </c>
      <c r="D47">
        <v>0</v>
      </c>
      <c r="E47">
        <v>-0.30788065935842385</v>
      </c>
      <c r="F47">
        <v>0</v>
      </c>
    </row>
    <row r="48" spans="1:6">
      <c r="A48">
        <v>40</v>
      </c>
      <c r="B48">
        <v>32065283.533334311</v>
      </c>
      <c r="C48">
        <v>-5064563.6243069731</v>
      </c>
      <c r="D48">
        <v>0</v>
      </c>
      <c r="E48">
        <v>-0.30292861884055844</v>
      </c>
      <c r="F48">
        <v>0</v>
      </c>
    </row>
    <row r="49" spans="1:6">
      <c r="A49">
        <v>41</v>
      </c>
      <c r="B49">
        <v>31792001.566282358</v>
      </c>
      <c r="C49">
        <v>-5337845.5913589261</v>
      </c>
      <c r="D49">
        <v>0</v>
      </c>
      <c r="E49">
        <v>-0.30886953116777482</v>
      </c>
      <c r="F49">
        <v>0</v>
      </c>
    </row>
    <row r="50" spans="1:6">
      <c r="A50">
        <v>42</v>
      </c>
      <c r="B50">
        <v>31804045.372861143</v>
      </c>
      <c r="C50">
        <v>-5325801.784780141</v>
      </c>
      <c r="D50">
        <v>0</v>
      </c>
      <c r="E50">
        <v>-0.30860770928562731</v>
      </c>
      <c r="F50">
        <v>0</v>
      </c>
    </row>
    <row r="51" spans="1:6">
      <c r="A51">
        <v>43</v>
      </c>
      <c r="B51">
        <v>33467838.41518084</v>
      </c>
      <c r="C51">
        <v>-3662008.7424604446</v>
      </c>
      <c r="D51">
        <v>0</v>
      </c>
      <c r="E51">
        <v>-0.27243829532215569</v>
      </c>
      <c r="F51">
        <v>0</v>
      </c>
    </row>
    <row r="52" spans="1:6">
      <c r="A52">
        <v>44</v>
      </c>
      <c r="B52">
        <v>31422229.355082221</v>
      </c>
      <c r="C52">
        <v>-5707617.8025590628</v>
      </c>
      <c r="D52">
        <v>0</v>
      </c>
      <c r="E52">
        <v>-0.3169080574982126</v>
      </c>
      <c r="F52">
        <v>0</v>
      </c>
    </row>
    <row r="53" spans="1:6">
      <c r="A53">
        <v>45</v>
      </c>
      <c r="B53">
        <v>33390667.538477104</v>
      </c>
      <c r="C53">
        <v>-3739179.61916418</v>
      </c>
      <c r="D53">
        <v>0</v>
      </c>
      <c r="E53">
        <v>-0.27411592307658467</v>
      </c>
      <c r="F53">
        <v>0</v>
      </c>
    </row>
    <row r="54" spans="1:6">
      <c r="A54">
        <v>46</v>
      </c>
      <c r="B54">
        <v>31486141.64802641</v>
      </c>
      <c r="C54">
        <v>-5643705.5096148737</v>
      </c>
      <c r="D54">
        <v>0</v>
      </c>
      <c r="E54">
        <v>-0.3155186598255128</v>
      </c>
      <c r="F54">
        <v>0</v>
      </c>
    </row>
    <row r="55" spans="1:6">
      <c r="A55">
        <v>47</v>
      </c>
      <c r="B55">
        <v>32249214.392131336</v>
      </c>
      <c r="C55">
        <v>-4880632.7655099481</v>
      </c>
      <c r="D55">
        <v>0</v>
      </c>
      <c r="E55">
        <v>-0.29893012191018836</v>
      </c>
      <c r="F55">
        <v>0</v>
      </c>
    </row>
    <row r="56" spans="1:6">
      <c r="A56">
        <v>48</v>
      </c>
      <c r="B56">
        <v>31067423.430260718</v>
      </c>
      <c r="C56">
        <v>-6062423.7273805663</v>
      </c>
      <c r="D56">
        <v>0</v>
      </c>
      <c r="E56">
        <v>-0.32462122977694091</v>
      </c>
      <c r="F56">
        <v>0</v>
      </c>
    </row>
    <row r="57" spans="1:6">
      <c r="A57">
        <v>49</v>
      </c>
      <c r="B57">
        <v>31502214.852167103</v>
      </c>
      <c r="C57">
        <v>-5627632.3054741807</v>
      </c>
      <c r="D57">
        <v>0</v>
      </c>
      <c r="E57">
        <v>-0.31516924234419341</v>
      </c>
      <c r="F57">
        <v>0</v>
      </c>
    </row>
    <row r="58" spans="1:6">
      <c r="A58">
        <v>50</v>
      </c>
      <c r="B58">
        <v>32556804.975408919</v>
      </c>
      <c r="C58">
        <v>-4573042.182232365</v>
      </c>
      <c r="D58">
        <v>0</v>
      </c>
      <c r="E58">
        <v>-0.29224337009980611</v>
      </c>
      <c r="F58">
        <v>0</v>
      </c>
    </row>
    <row r="59" spans="1:6">
      <c r="A59">
        <v>51</v>
      </c>
      <c r="B59">
        <v>32909199.98127415</v>
      </c>
      <c r="C59">
        <v>-4220647.1763671339</v>
      </c>
      <c r="D59">
        <v>0</v>
      </c>
      <c r="E59">
        <v>-0.28458260910273586</v>
      </c>
      <c r="F59">
        <v>0</v>
      </c>
    </row>
    <row r="60" spans="1:6">
      <c r="A60">
        <v>52</v>
      </c>
      <c r="B60">
        <v>32316693.297594447</v>
      </c>
      <c r="C60">
        <v>-4813153.8600468375</v>
      </c>
      <c r="D60">
        <v>0</v>
      </c>
      <c r="E60">
        <v>-0.2974631891827294</v>
      </c>
      <c r="F60">
        <v>0</v>
      </c>
    </row>
    <row r="61" spans="1:6">
      <c r="A61">
        <v>53</v>
      </c>
      <c r="B61">
        <v>32400682.853142835</v>
      </c>
      <c r="C61">
        <v>-4729164.304498449</v>
      </c>
      <c r="D61">
        <v>0</v>
      </c>
      <c r="E61">
        <v>-0.29563732927950359</v>
      </c>
      <c r="F61">
        <v>0</v>
      </c>
    </row>
    <row r="62" spans="1:6">
      <c r="A62">
        <v>54</v>
      </c>
      <c r="B62">
        <v>32681644.724949569</v>
      </c>
      <c r="C62">
        <v>-4448202.4326917157</v>
      </c>
      <c r="D62">
        <v>0</v>
      </c>
      <c r="E62">
        <v>-0.28952946250109635</v>
      </c>
      <c r="F62">
        <v>0</v>
      </c>
    </row>
    <row r="63" spans="1:6">
      <c r="A63">
        <v>55</v>
      </c>
      <c r="B63">
        <v>30983476.863848824</v>
      </c>
      <c r="C63">
        <v>-6146370.2937924601</v>
      </c>
      <c r="D63">
        <v>0</v>
      </c>
      <c r="E63">
        <v>-0.32644615513372122</v>
      </c>
      <c r="F63">
        <v>0</v>
      </c>
    </row>
    <row r="64" spans="1:6">
      <c r="A64">
        <v>56</v>
      </c>
      <c r="B64">
        <v>32504554.014940239</v>
      </c>
      <c r="C64">
        <v>-4625293.1427010447</v>
      </c>
      <c r="D64">
        <v>0</v>
      </c>
      <c r="E64">
        <v>-0.29337926054477742</v>
      </c>
      <c r="F64">
        <v>0</v>
      </c>
    </row>
    <row r="65" spans="1:6">
      <c r="A65">
        <v>57</v>
      </c>
      <c r="B65">
        <v>33060914.325530708</v>
      </c>
      <c r="C65">
        <v>-4068932.8321105763</v>
      </c>
      <c r="D65">
        <v>0</v>
      </c>
      <c r="E65">
        <v>-0.28128447118411504</v>
      </c>
      <c r="F65">
        <v>0</v>
      </c>
    </row>
    <row r="66" spans="1:6">
      <c r="A66">
        <v>58</v>
      </c>
      <c r="B66">
        <v>31539405.265395232</v>
      </c>
      <c r="C66">
        <v>-5590441.8922460526</v>
      </c>
      <c r="D66">
        <v>0</v>
      </c>
      <c r="E66">
        <v>-0.31436075510010364</v>
      </c>
      <c r="F66">
        <v>0</v>
      </c>
    </row>
    <row r="67" spans="1:6">
      <c r="A67">
        <v>59</v>
      </c>
      <c r="B67">
        <v>33031466.058814265</v>
      </c>
      <c r="C67">
        <v>-4098381.0988270193</v>
      </c>
      <c r="D67">
        <v>0</v>
      </c>
      <c r="E67">
        <v>-0.28192465089534208</v>
      </c>
      <c r="F67">
        <v>0</v>
      </c>
    </row>
    <row r="68" spans="1:6">
      <c r="A68">
        <v>60</v>
      </c>
      <c r="B68">
        <v>32471176.882195566</v>
      </c>
      <c r="C68">
        <v>-4658670.2754457183</v>
      </c>
      <c r="D68">
        <v>0</v>
      </c>
      <c r="E68">
        <v>-0.29410485038705292</v>
      </c>
      <c r="F68">
        <v>0</v>
      </c>
    </row>
    <row r="69" spans="1:6">
      <c r="A69">
        <v>61</v>
      </c>
      <c r="B69">
        <v>31385238.92443493</v>
      </c>
      <c r="C69">
        <v>-5744608.2332063541</v>
      </c>
      <c r="D69">
        <v>0</v>
      </c>
      <c r="E69">
        <v>-0.31771219729489281</v>
      </c>
      <c r="F69">
        <v>0</v>
      </c>
    </row>
    <row r="70" spans="1:6">
      <c r="A70">
        <v>62</v>
      </c>
      <c r="B70">
        <v>32604988.444044124</v>
      </c>
      <c r="C70">
        <v>-4524858.7135971598</v>
      </c>
      <c r="D70">
        <v>0</v>
      </c>
      <c r="E70">
        <v>-0.29119590339034512</v>
      </c>
      <c r="F70">
        <v>0</v>
      </c>
    </row>
    <row r="71" spans="1:6">
      <c r="A71">
        <v>63</v>
      </c>
      <c r="B71">
        <v>31885871.428800017</v>
      </c>
      <c r="C71">
        <v>-5243975.7288412675</v>
      </c>
      <c r="D71">
        <v>0</v>
      </c>
      <c r="E71">
        <v>-0.30682888198260833</v>
      </c>
      <c r="F71">
        <v>0</v>
      </c>
    </row>
    <row r="72" spans="1:6">
      <c r="A72">
        <v>64</v>
      </c>
      <c r="B72">
        <v>33343443.790438253</v>
      </c>
      <c r="C72">
        <v>-3786403.3672030307</v>
      </c>
      <c r="D72">
        <v>0</v>
      </c>
      <c r="E72">
        <v>-0.27514252629482056</v>
      </c>
      <c r="F72">
        <v>0</v>
      </c>
    </row>
    <row r="73" spans="1:6">
      <c r="A73">
        <v>65</v>
      </c>
      <c r="B73">
        <v>32783100.919161532</v>
      </c>
      <c r="C73">
        <v>-4346746.2384797521</v>
      </c>
      <c r="D73">
        <v>0</v>
      </c>
      <c r="E73">
        <v>-0.2873238930617058</v>
      </c>
      <c r="F73">
        <v>0</v>
      </c>
    </row>
    <row r="74" spans="1:6">
      <c r="A74">
        <v>66</v>
      </c>
      <c r="B74">
        <v>32244054.569686446</v>
      </c>
      <c r="C74">
        <v>-4885792.5879548378</v>
      </c>
      <c r="D74">
        <v>0</v>
      </c>
      <c r="E74">
        <v>-0.29904229196333815</v>
      </c>
      <c r="F74">
        <v>0</v>
      </c>
    </row>
    <row r="75" spans="1:6">
      <c r="A75">
        <v>67</v>
      </c>
      <c r="B75">
        <v>32125487.067049798</v>
      </c>
      <c r="C75">
        <v>-5004360.0905914865</v>
      </c>
      <c r="D75">
        <v>0</v>
      </c>
      <c r="E75">
        <v>-0.30161984636848266</v>
      </c>
      <c r="F75">
        <v>0</v>
      </c>
    </row>
    <row r="76" spans="1:6">
      <c r="A76">
        <v>68</v>
      </c>
      <c r="B76">
        <v>32919339.583698358</v>
      </c>
      <c r="C76">
        <v>-4210507.5739429258</v>
      </c>
      <c r="D76">
        <v>0</v>
      </c>
      <c r="E76">
        <v>-0.28436218296307919</v>
      </c>
      <c r="F76">
        <v>0</v>
      </c>
    </row>
    <row r="77" spans="1:6">
      <c r="A77">
        <v>69</v>
      </c>
      <c r="B77">
        <v>33853249.374874696</v>
      </c>
      <c r="C77">
        <v>-3276597.782766588</v>
      </c>
      <c r="D77">
        <v>0</v>
      </c>
      <c r="E77">
        <v>-0.26405979619837616</v>
      </c>
      <c r="F77">
        <v>0</v>
      </c>
    </row>
    <row r="78" spans="1:6">
      <c r="A78">
        <v>70</v>
      </c>
      <c r="B78">
        <v>31370242.603346054</v>
      </c>
      <c r="C78">
        <v>-5759604.5542952307</v>
      </c>
      <c r="D78">
        <v>0</v>
      </c>
      <c r="E78">
        <v>-0.31803820427508578</v>
      </c>
      <c r="F78">
        <v>0</v>
      </c>
    </row>
    <row r="79" spans="1:6">
      <c r="A79">
        <v>71</v>
      </c>
      <c r="B79">
        <v>32033063.342567433</v>
      </c>
      <c r="C79">
        <v>-5096783.8150738515</v>
      </c>
      <c r="D79">
        <v>0</v>
      </c>
      <c r="E79">
        <v>-0.30362905777027321</v>
      </c>
      <c r="F79">
        <v>0</v>
      </c>
    </row>
    <row r="80" spans="1:6">
      <c r="A80">
        <v>72</v>
      </c>
      <c r="B80">
        <v>32435615.182610583</v>
      </c>
      <c r="C80">
        <v>-4694231.9750307016</v>
      </c>
      <c r="D80">
        <v>0</v>
      </c>
      <c r="E80">
        <v>-0.29487793081281344</v>
      </c>
      <c r="F80">
        <v>0</v>
      </c>
    </row>
    <row r="81" spans="1:6">
      <c r="A81">
        <v>73</v>
      </c>
      <c r="B81">
        <v>30326252.659514755</v>
      </c>
      <c r="C81">
        <v>-6803594.4981265292</v>
      </c>
      <c r="D81">
        <v>0</v>
      </c>
      <c r="E81">
        <v>-0.34073363783663574</v>
      </c>
      <c r="F81">
        <v>0</v>
      </c>
    </row>
    <row r="82" spans="1:6">
      <c r="A82">
        <v>74</v>
      </c>
      <c r="B82">
        <v>32560001.564169303</v>
      </c>
      <c r="C82">
        <v>-4569845.5934719816</v>
      </c>
      <c r="D82">
        <v>0</v>
      </c>
      <c r="E82">
        <v>-0.29217387903979775</v>
      </c>
      <c r="F82">
        <v>0</v>
      </c>
    </row>
    <row r="83" spans="1:6">
      <c r="A83">
        <v>75</v>
      </c>
      <c r="B83">
        <v>33341864.504331753</v>
      </c>
      <c r="C83">
        <v>-3787982.6533095315</v>
      </c>
      <c r="D83">
        <v>0</v>
      </c>
      <c r="E83">
        <v>-0.27517685860148366</v>
      </c>
      <c r="F83">
        <v>0</v>
      </c>
    </row>
    <row r="84" spans="1:6">
      <c r="A84">
        <v>76</v>
      </c>
      <c r="B84">
        <v>33032058.506389122</v>
      </c>
      <c r="C84">
        <v>-4097788.6512521617</v>
      </c>
      <c r="D84">
        <v>0</v>
      </c>
      <c r="E84">
        <v>-0.28191177160023645</v>
      </c>
      <c r="F84">
        <v>0</v>
      </c>
    </row>
    <row r="85" spans="1:6">
      <c r="A85">
        <v>77</v>
      </c>
      <c r="B85">
        <v>33007605.699699767</v>
      </c>
      <c r="C85">
        <v>-4122241.4579415172</v>
      </c>
      <c r="D85">
        <v>0</v>
      </c>
      <c r="E85">
        <v>-0.28244335435435292</v>
      </c>
      <c r="F85">
        <v>0</v>
      </c>
    </row>
    <row r="86" spans="1:6">
      <c r="A86">
        <v>78</v>
      </c>
      <c r="B86">
        <v>31408809.820492487</v>
      </c>
      <c r="C86">
        <v>-5721037.3371487968</v>
      </c>
      <c r="D86">
        <v>0</v>
      </c>
      <c r="E86">
        <v>-0.31719978651103287</v>
      </c>
      <c r="F86">
        <v>0</v>
      </c>
    </row>
    <row r="87" spans="1:6">
      <c r="A87">
        <v>79</v>
      </c>
      <c r="B87">
        <v>32154662.544936199</v>
      </c>
      <c r="C87">
        <v>-4975184.6127050854</v>
      </c>
      <c r="D87">
        <v>0</v>
      </c>
      <c r="E87">
        <v>-0.30098559684921306</v>
      </c>
      <c r="F87">
        <v>0</v>
      </c>
    </row>
    <row r="88" spans="1:6">
      <c r="A88">
        <v>80</v>
      </c>
      <c r="B88">
        <v>32429829.115053546</v>
      </c>
      <c r="C88">
        <v>-4700018.0425877385</v>
      </c>
      <c r="D88">
        <v>0</v>
      </c>
      <c r="E88">
        <v>-0.29500371489014032</v>
      </c>
      <c r="F88">
        <v>0</v>
      </c>
    </row>
    <row r="89" spans="1:6">
      <c r="A89">
        <v>81</v>
      </c>
      <c r="B89">
        <v>31653087.971694872</v>
      </c>
      <c r="C89">
        <v>-5476759.1859464124</v>
      </c>
      <c r="D89">
        <v>0</v>
      </c>
      <c r="E89">
        <v>-0.31188939191967668</v>
      </c>
      <c r="F89">
        <v>0</v>
      </c>
    </row>
    <row r="90" spans="1:6">
      <c r="A90">
        <v>82</v>
      </c>
      <c r="B90">
        <v>32488945.600036941</v>
      </c>
      <c r="C90">
        <v>-4640901.5576043427</v>
      </c>
      <c r="D90">
        <v>0</v>
      </c>
      <c r="E90">
        <v>-0.29371857391224038</v>
      </c>
      <c r="F90">
        <v>0</v>
      </c>
    </row>
    <row r="91" spans="1:6">
      <c r="A91">
        <v>83</v>
      </c>
      <c r="B91">
        <v>31838648.689686675</v>
      </c>
      <c r="C91">
        <v>-5291198.4679546095</v>
      </c>
      <c r="D91">
        <v>0</v>
      </c>
      <c r="E91">
        <v>-0.30785546326768098</v>
      </c>
      <c r="F91">
        <v>0</v>
      </c>
    </row>
    <row r="92" spans="1:6">
      <c r="A92">
        <v>84</v>
      </c>
      <c r="B92">
        <v>33274860.841589052</v>
      </c>
      <c r="C92">
        <v>-3854986.3160522319</v>
      </c>
      <c r="D92">
        <v>0</v>
      </c>
      <c r="E92">
        <v>-0.27663345996545541</v>
      </c>
      <c r="F92">
        <v>0</v>
      </c>
    </row>
    <row r="93" spans="1:6">
      <c r="A93">
        <v>85</v>
      </c>
      <c r="B93">
        <v>32297050.105684031</v>
      </c>
      <c r="C93">
        <v>-4832797.0519572534</v>
      </c>
      <c r="D93">
        <v>0</v>
      </c>
      <c r="E93">
        <v>-0.29789021509382541</v>
      </c>
      <c r="F93">
        <v>0</v>
      </c>
    </row>
    <row r="94" spans="1:6">
      <c r="A94">
        <v>86</v>
      </c>
      <c r="B94">
        <v>31143149.490477093</v>
      </c>
      <c r="C94">
        <v>-5986697.6671641916</v>
      </c>
      <c r="D94">
        <v>0</v>
      </c>
      <c r="E94">
        <v>-0.32297501107658494</v>
      </c>
      <c r="F94">
        <v>0</v>
      </c>
    </row>
    <row r="95" spans="1:6">
      <c r="A95">
        <v>87</v>
      </c>
      <c r="B95">
        <v>32097850.159075726</v>
      </c>
      <c r="C95">
        <v>-5031996.9985655583</v>
      </c>
      <c r="D95">
        <v>0</v>
      </c>
      <c r="E95">
        <v>-0.30222064871574511</v>
      </c>
      <c r="F95">
        <v>0</v>
      </c>
    </row>
    <row r="96" spans="1:6">
      <c r="A96">
        <v>88</v>
      </c>
      <c r="B96">
        <v>32059751.524276115</v>
      </c>
      <c r="C96">
        <v>-5070095.6333651692</v>
      </c>
      <c r="D96">
        <v>0</v>
      </c>
      <c r="E96">
        <v>-0.30304887990704099</v>
      </c>
      <c r="F96">
        <v>0</v>
      </c>
    </row>
    <row r="97" spans="1:6">
      <c r="A97">
        <v>89</v>
      </c>
      <c r="B97">
        <v>31457592.97791674</v>
      </c>
      <c r="C97">
        <v>-5672254.1797245443</v>
      </c>
      <c r="D97">
        <v>0</v>
      </c>
      <c r="E97">
        <v>-0.31613928308876654</v>
      </c>
      <c r="F97">
        <v>0</v>
      </c>
    </row>
    <row r="98" spans="1:6">
      <c r="A98">
        <v>90</v>
      </c>
      <c r="B98">
        <v>31928234.103988457</v>
      </c>
      <c r="C98">
        <v>-5201613.0536528267</v>
      </c>
      <c r="D98">
        <v>0</v>
      </c>
      <c r="E98">
        <v>-0.3059079542611205</v>
      </c>
      <c r="F98">
        <v>0</v>
      </c>
    </row>
    <row r="99" spans="1:6">
      <c r="A99">
        <v>91</v>
      </c>
      <c r="B99">
        <v>32059236.257735934</v>
      </c>
      <c r="C99">
        <v>-5070610.8999053501</v>
      </c>
      <c r="D99">
        <v>0</v>
      </c>
      <c r="E99">
        <v>-0.30306008135356666</v>
      </c>
      <c r="F99">
        <v>0</v>
      </c>
    </row>
    <row r="100" spans="1:6">
      <c r="A100">
        <v>92</v>
      </c>
      <c r="B100">
        <v>33118391.335757196</v>
      </c>
      <c r="C100">
        <v>-4011455.8218840882</v>
      </c>
      <c r="D100">
        <v>0</v>
      </c>
      <c r="E100">
        <v>-0.28003497096180008</v>
      </c>
      <c r="F100">
        <v>0</v>
      </c>
    </row>
    <row r="101" spans="1:6">
      <c r="A101">
        <v>93</v>
      </c>
      <c r="B101">
        <v>31617613.236075301</v>
      </c>
      <c r="C101">
        <v>-5512233.9215659834</v>
      </c>
      <c r="D101">
        <v>0</v>
      </c>
      <c r="E101">
        <v>-0.31266058182445</v>
      </c>
      <c r="F101">
        <v>0</v>
      </c>
    </row>
    <row r="102" spans="1:6">
      <c r="A102">
        <v>94</v>
      </c>
      <c r="B102">
        <v>30848468.085946634</v>
      </c>
      <c r="C102">
        <v>-6281379.0716946498</v>
      </c>
      <c r="D102">
        <v>0</v>
      </c>
      <c r="E102">
        <v>-0.32938112856637752</v>
      </c>
      <c r="F102">
        <v>0</v>
      </c>
    </row>
    <row r="103" spans="1:6">
      <c r="A103">
        <v>95</v>
      </c>
      <c r="B103">
        <v>32473500.669850387</v>
      </c>
      <c r="C103">
        <v>-4656346.4877908975</v>
      </c>
      <c r="D103">
        <v>0</v>
      </c>
      <c r="E103">
        <v>-0.294054333264122</v>
      </c>
      <c r="F103">
        <v>0</v>
      </c>
    </row>
    <row r="104" spans="1:6">
      <c r="A104">
        <v>96</v>
      </c>
      <c r="B104">
        <v>32478619.79011834</v>
      </c>
      <c r="C104">
        <v>-4651227.3675229438</v>
      </c>
      <c r="D104">
        <v>0</v>
      </c>
      <c r="E104">
        <v>-0.29394304804090565</v>
      </c>
      <c r="F104">
        <v>0</v>
      </c>
    </row>
    <row r="105" spans="1:6">
      <c r="A105">
        <v>97</v>
      </c>
      <c r="B105">
        <v>32376892.467373554</v>
      </c>
      <c r="C105">
        <v>-4752954.6902677305</v>
      </c>
      <c r="D105">
        <v>0</v>
      </c>
      <c r="E105">
        <v>-0.29615451157883577</v>
      </c>
      <c r="F105">
        <v>0</v>
      </c>
    </row>
    <row r="106" spans="1:6">
      <c r="A106">
        <v>98</v>
      </c>
      <c r="B106">
        <v>32898994.831060249</v>
      </c>
      <c r="C106">
        <v>-4230852.3265810348</v>
      </c>
      <c r="D106">
        <v>0</v>
      </c>
      <c r="E106">
        <v>-0.28480446019434241</v>
      </c>
      <c r="F106">
        <v>0</v>
      </c>
    </row>
    <row r="107" spans="1:6">
      <c r="A107">
        <v>99</v>
      </c>
      <c r="B107">
        <v>33349257.638990562</v>
      </c>
      <c r="C107">
        <v>-3780589.5186507218</v>
      </c>
      <c r="D107">
        <v>0</v>
      </c>
      <c r="E107">
        <v>-0.27501613828281385</v>
      </c>
      <c r="F107">
        <v>0</v>
      </c>
    </row>
    <row r="108" spans="1:6">
      <c r="A108">
        <v>100</v>
      </c>
      <c r="B108">
        <v>33056199.063310817</v>
      </c>
      <c r="C108">
        <v>-4073648.0943304673</v>
      </c>
      <c r="D108">
        <v>0</v>
      </c>
      <c r="E108">
        <v>-0.28138697688454745</v>
      </c>
      <c r="F108">
        <v>0</v>
      </c>
    </row>
    <row r="110" spans="1:6">
      <c r="A110" t="s">
        <v>289</v>
      </c>
    </row>
    <row r="111" spans="1:6">
      <c r="A111" t="s">
        <v>290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</row>
    <row r="112" spans="1:6">
      <c r="A112" t="s">
        <v>291</v>
      </c>
    </row>
    <row r="113" spans="1:6">
      <c r="A113" t="s">
        <v>292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</row>
    <row r="114" spans="1:6">
      <c r="A114" t="s">
        <v>293</v>
      </c>
    </row>
    <row r="115" spans="1:6">
      <c r="A115" t="s">
        <v>294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</row>
    <row r="116" spans="1:6">
      <c r="A116" t="s">
        <v>295</v>
      </c>
    </row>
    <row r="117" spans="1:6">
      <c r="A117" t="s">
        <v>296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</row>
    <row r="118" spans="1:6">
      <c r="A118" t="s">
        <v>297</v>
      </c>
    </row>
    <row r="119" spans="1:6">
      <c r="A119" t="s">
        <v>298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9"/>
  <sheetViews>
    <sheetView zoomScaleNormal="100" workbookViewId="0">
      <selection activeCell="A12" sqref="A12"/>
    </sheetView>
  </sheetViews>
  <sheetFormatPr defaultRowHeight="12.75"/>
  <cols>
    <col min="2" max="2" width="10.28515625" bestFit="1" customWidth="1"/>
    <col min="3" max="3" width="11.28515625" bestFit="1" customWidth="1"/>
    <col min="4" max="5" width="10.28515625" bestFit="1" customWidth="1"/>
    <col min="6" max="6" width="9.85546875" bestFit="1" customWidth="1"/>
    <col min="7" max="7" width="8.28515625" customWidth="1"/>
    <col min="8" max="10" width="9.28515625" bestFit="1" customWidth="1"/>
  </cols>
  <sheetData>
    <row r="1" spans="1:14">
      <c r="A1" t="s">
        <v>275</v>
      </c>
    </row>
    <row r="2" spans="1:14">
      <c r="B2" s="189" t="s">
        <v>0</v>
      </c>
      <c r="C2" s="189"/>
      <c r="D2" s="189"/>
      <c r="G2" s="189" t="s">
        <v>1</v>
      </c>
      <c r="H2" s="189"/>
      <c r="I2" s="189"/>
      <c r="J2" s="189"/>
      <c r="K2" t="s">
        <v>2</v>
      </c>
    </row>
    <row r="3" spans="1:14">
      <c r="B3" s="2" t="s">
        <v>3</v>
      </c>
      <c r="C3" s="2" t="s">
        <v>4</v>
      </c>
      <c r="D3" s="2" t="s">
        <v>5</v>
      </c>
      <c r="E3" s="2"/>
      <c r="F3" t="s">
        <v>6</v>
      </c>
      <c r="G3" s="2" t="s">
        <v>3</v>
      </c>
      <c r="H3" s="3" t="s">
        <v>7</v>
      </c>
      <c r="I3" s="2" t="s">
        <v>4</v>
      </c>
      <c r="J3" s="2" t="s">
        <v>5</v>
      </c>
      <c r="K3" t="s">
        <v>8</v>
      </c>
    </row>
    <row r="4" spans="1:14">
      <c r="A4">
        <v>1</v>
      </c>
      <c r="B4" s="17">
        <v>295</v>
      </c>
      <c r="C4" s="17">
        <v>6</v>
      </c>
      <c r="D4" s="17">
        <v>33</v>
      </c>
      <c r="F4">
        <v>1987</v>
      </c>
      <c r="G4" s="4">
        <v>0.63700000000000001</v>
      </c>
      <c r="H4" s="4">
        <v>83</v>
      </c>
      <c r="I4" s="4">
        <v>2.57</v>
      </c>
      <c r="J4" s="4">
        <f>1.7/0.56</f>
        <v>3.0357142857142851</v>
      </c>
      <c r="K4" s="4">
        <v>9.3000000000000007</v>
      </c>
    </row>
    <row r="5" spans="1:14">
      <c r="A5">
        <v>2</v>
      </c>
      <c r="B5" s="17">
        <v>354</v>
      </c>
      <c r="C5" s="17">
        <v>31</v>
      </c>
      <c r="D5" s="17">
        <v>22</v>
      </c>
      <c r="F5">
        <v>1988</v>
      </c>
      <c r="G5" s="4">
        <v>0.55600000000000005</v>
      </c>
      <c r="H5" s="4">
        <v>118</v>
      </c>
      <c r="I5" s="4">
        <v>3.72</v>
      </c>
      <c r="J5" s="4">
        <f>2.27/0.56</f>
        <v>4.0535714285714279</v>
      </c>
      <c r="K5" s="4">
        <v>9.2899999999999991</v>
      </c>
    </row>
    <row r="6" spans="1:14">
      <c r="A6">
        <v>3</v>
      </c>
      <c r="B6" s="17">
        <v>86</v>
      </c>
      <c r="C6" s="17">
        <v>36</v>
      </c>
      <c r="D6" s="17">
        <v>30</v>
      </c>
      <c r="F6">
        <v>1989</v>
      </c>
      <c r="G6" s="4">
        <v>0.63600000000000001</v>
      </c>
      <c r="H6" s="4">
        <v>105</v>
      </c>
      <c r="I6" s="4">
        <v>3.72</v>
      </c>
      <c r="J6" s="4">
        <f>2.1/0.56</f>
        <v>3.75</v>
      </c>
      <c r="K6" s="4">
        <v>10.119999999999999</v>
      </c>
    </row>
    <row r="7" spans="1:14">
      <c r="A7">
        <v>4</v>
      </c>
      <c r="B7" s="17">
        <v>131</v>
      </c>
      <c r="C7" s="17">
        <v>12</v>
      </c>
      <c r="D7" s="17">
        <v>43</v>
      </c>
      <c r="F7">
        <v>1990</v>
      </c>
      <c r="G7" s="4">
        <v>0.67100000000000004</v>
      </c>
      <c r="H7" s="4">
        <v>121</v>
      </c>
      <c r="I7" s="4">
        <v>2.61</v>
      </c>
      <c r="J7" s="4">
        <f>2.12/0.56</f>
        <v>3.7857142857142856</v>
      </c>
      <c r="K7" s="4">
        <v>10.0375</v>
      </c>
    </row>
    <row r="8" spans="1:14">
      <c r="A8">
        <v>5</v>
      </c>
      <c r="B8" s="17">
        <v>266</v>
      </c>
      <c r="C8" s="17">
        <v>26</v>
      </c>
      <c r="D8" s="17">
        <v>27</v>
      </c>
      <c r="F8">
        <v>1991</v>
      </c>
      <c r="G8" s="4">
        <v>0.56799999999999995</v>
      </c>
      <c r="H8" s="4">
        <v>71</v>
      </c>
      <c r="I8" s="4">
        <v>3</v>
      </c>
      <c r="J8" s="4">
        <f>2.25/0.56</f>
        <v>4.0178571428571423</v>
      </c>
      <c r="K8" s="4">
        <v>9.3058333333333305</v>
      </c>
    </row>
    <row r="9" spans="1:14">
      <c r="A9">
        <v>6</v>
      </c>
      <c r="B9" s="17">
        <v>4</v>
      </c>
      <c r="C9" s="17">
        <v>14</v>
      </c>
      <c r="D9" s="17">
        <v>47</v>
      </c>
      <c r="F9">
        <v>1992</v>
      </c>
      <c r="G9" s="4">
        <v>0.53700000000000003</v>
      </c>
      <c r="H9" s="4">
        <v>98</v>
      </c>
      <c r="I9" s="4">
        <v>3.24</v>
      </c>
      <c r="J9" s="4">
        <f>1.87/0.56</f>
        <v>3.339285714285714</v>
      </c>
      <c r="K9" s="4">
        <v>8.1333333333333293</v>
      </c>
    </row>
    <row r="10" spans="1:14">
      <c r="A10">
        <v>7</v>
      </c>
      <c r="B10" s="17">
        <v>183</v>
      </c>
      <c r="C10" s="17">
        <v>18</v>
      </c>
      <c r="D10" s="17">
        <v>71</v>
      </c>
      <c r="F10">
        <v>1993</v>
      </c>
      <c r="G10" s="4">
        <v>0.58099999999999996</v>
      </c>
      <c r="H10" s="4">
        <v>113</v>
      </c>
      <c r="I10" s="4">
        <v>3.26</v>
      </c>
      <c r="J10" s="4">
        <f>2.31/0.56</f>
        <v>4.125</v>
      </c>
      <c r="K10" s="4">
        <v>7.1725000000000003</v>
      </c>
    </row>
    <row r="11" spans="1:14">
      <c r="A11">
        <v>8</v>
      </c>
      <c r="B11" s="17">
        <v>119</v>
      </c>
      <c r="C11" s="17">
        <v>18</v>
      </c>
      <c r="D11" s="17">
        <v>40</v>
      </c>
      <c r="F11">
        <v>1994</v>
      </c>
      <c r="G11" s="4">
        <v>0.72</v>
      </c>
      <c r="H11" s="4">
        <v>101</v>
      </c>
      <c r="I11" s="4">
        <v>3.45</v>
      </c>
      <c r="J11" s="4">
        <f>2.13/0.56</f>
        <v>3.8035714285714279</v>
      </c>
      <c r="K11" s="4">
        <v>7.47</v>
      </c>
    </row>
    <row r="12" spans="1:14">
      <c r="A12">
        <v>9</v>
      </c>
      <c r="B12" s="17">
        <v>154</v>
      </c>
      <c r="C12" s="17">
        <v>7</v>
      </c>
      <c r="D12" s="17">
        <v>15</v>
      </c>
      <c r="F12">
        <v>1995</v>
      </c>
      <c r="G12" s="4">
        <v>0.76900000000000002</v>
      </c>
      <c r="H12" s="4">
        <v>106</v>
      </c>
      <c r="I12" s="4">
        <v>4.55</v>
      </c>
      <c r="J12" s="4">
        <f>3.19/0.56</f>
        <v>5.6964285714285712</v>
      </c>
      <c r="K12" s="4">
        <v>7.8466666666666702</v>
      </c>
    </row>
    <row r="13" spans="1:14">
      <c r="A13">
        <v>10</v>
      </c>
      <c r="B13" s="17">
        <v>15</v>
      </c>
      <c r="C13" s="17">
        <v>21</v>
      </c>
      <c r="D13" s="17">
        <v>29</v>
      </c>
      <c r="F13">
        <v>1996</v>
      </c>
      <c r="G13" s="4">
        <v>0.69299999999999995</v>
      </c>
      <c r="H13" s="4">
        <v>126</v>
      </c>
      <c r="I13" s="4">
        <v>4.3</v>
      </c>
      <c r="J13" s="4">
        <f>2.34/0.56</f>
        <v>4.1785714285714279</v>
      </c>
      <c r="K13" s="4">
        <v>7.7225000000000001</v>
      </c>
    </row>
    <row r="14" spans="1:14" ht="13.5" thickBot="1"/>
    <row r="15" spans="1:14">
      <c r="A15" s="5"/>
      <c r="B15" s="190" t="s">
        <v>10</v>
      </c>
      <c r="C15" s="190"/>
      <c r="D15" s="190"/>
      <c r="E15" s="190"/>
      <c r="F15" s="190"/>
      <c r="G15" s="190"/>
      <c r="H15" s="6"/>
      <c r="I15" s="6" t="s">
        <v>9</v>
      </c>
      <c r="J15" s="6"/>
      <c r="K15" s="6"/>
      <c r="L15" s="6"/>
      <c r="M15" s="6"/>
      <c r="N15" s="7"/>
    </row>
    <row r="16" spans="1:14">
      <c r="A16" s="8"/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/>
      <c r="I16" s="9" t="s">
        <v>6</v>
      </c>
      <c r="J16" s="10" t="s">
        <v>3</v>
      </c>
      <c r="K16" s="11" t="s">
        <v>7</v>
      </c>
      <c r="L16" s="10" t="s">
        <v>4</v>
      </c>
      <c r="M16" s="10" t="s">
        <v>5</v>
      </c>
      <c r="N16" s="12" t="s">
        <v>8</v>
      </c>
    </row>
    <row r="17" spans="1:15">
      <c r="A17" s="8">
        <v>1999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  <c r="I17" s="9">
        <v>1999</v>
      </c>
      <c r="J17" s="9">
        <v>0.625</v>
      </c>
      <c r="K17" s="9">
        <v>127.27</v>
      </c>
      <c r="L17" s="9">
        <v>2.98</v>
      </c>
      <c r="M17" s="9">
        <v>3.0357142857142851</v>
      </c>
      <c r="N17" s="13">
        <v>7.417534112757</v>
      </c>
    </row>
    <row r="18" spans="1:15">
      <c r="A18" s="8">
        <v>2000</v>
      </c>
      <c r="B18" s="9">
        <v>1.78E-2</v>
      </c>
      <c r="C18" s="9">
        <v>1.49E-2</v>
      </c>
      <c r="D18" s="9">
        <v>7.7000000000000002E-3</v>
      </c>
      <c r="E18" s="9">
        <v>1.0800000000000001E-2</v>
      </c>
      <c r="F18" s="9">
        <v>2.0799999999999999E-2</v>
      </c>
      <c r="G18" s="9">
        <v>4.5900000000000003E-2</v>
      </c>
      <c r="H18" s="9"/>
      <c r="I18" s="9">
        <v>2000</v>
      </c>
      <c r="J18" s="9">
        <v>0.54500000000000004</v>
      </c>
      <c r="K18" s="9">
        <v>105.91</v>
      </c>
      <c r="L18" s="9">
        <v>3.15</v>
      </c>
      <c r="M18" s="9">
        <v>3.3214285714285712</v>
      </c>
      <c r="N18" s="13">
        <v>7.6156430441581202</v>
      </c>
    </row>
    <row r="19" spans="1:15">
      <c r="A19" s="8">
        <v>2001</v>
      </c>
      <c r="B19" s="9">
        <v>1.77E-2</v>
      </c>
      <c r="C19" s="9">
        <v>2.24E-2</v>
      </c>
      <c r="D19" s="9">
        <v>1.7299999999999999E-2</v>
      </c>
      <c r="E19" s="9">
        <v>5.0000000000000001E-3</v>
      </c>
      <c r="F19" s="9">
        <v>3.2300000000000002E-2</v>
      </c>
      <c r="G19" s="9">
        <v>5.5599999999999997E-2</v>
      </c>
      <c r="H19" s="9"/>
      <c r="I19" s="9">
        <v>2001</v>
      </c>
      <c r="J19" s="9">
        <v>0.53100000000000003</v>
      </c>
      <c r="K19" s="9">
        <v>103.26</v>
      </c>
      <c r="L19" s="9">
        <v>3.25</v>
      </c>
      <c r="M19" s="9">
        <v>3.4285714285714279</v>
      </c>
      <c r="N19" s="13">
        <v>7.6093001057069802</v>
      </c>
    </row>
    <row r="20" spans="1:15">
      <c r="A20" s="8">
        <v>2002</v>
      </c>
      <c r="B20" s="9">
        <v>1.54E-2</v>
      </c>
      <c r="C20" s="9">
        <v>1.23E-2</v>
      </c>
      <c r="D20" s="9">
        <v>2.12E-2</v>
      </c>
      <c r="E20" s="9">
        <v>2.3999999999999998E-3</v>
      </c>
      <c r="F20" s="9">
        <v>1.66E-2</v>
      </c>
      <c r="G20" s="9">
        <v>4.7399999999999998E-2</v>
      </c>
      <c r="H20" s="9"/>
      <c r="I20" s="9">
        <v>2002</v>
      </c>
      <c r="J20" s="9">
        <v>0.55300000000000005</v>
      </c>
      <c r="K20" s="9">
        <v>102.31</v>
      </c>
      <c r="L20" s="9">
        <v>3.34</v>
      </c>
      <c r="M20" s="9">
        <v>3.5357142857142851</v>
      </c>
      <c r="N20" s="13">
        <v>7.6600799183705002</v>
      </c>
    </row>
    <row r="21" spans="1:15">
      <c r="A21" s="8">
        <v>2003</v>
      </c>
      <c r="B21" s="9">
        <v>1.7500000000000002E-2</v>
      </c>
      <c r="C21" s="9">
        <v>1.26E-2</v>
      </c>
      <c r="D21" s="9">
        <v>2.12E-2</v>
      </c>
      <c r="E21" s="9">
        <v>2.3999999999999998E-3</v>
      </c>
      <c r="F21" s="9">
        <v>1.7000000000000001E-2</v>
      </c>
      <c r="G21" s="9">
        <v>4.07E-2</v>
      </c>
      <c r="H21" s="9"/>
      <c r="I21" s="9">
        <v>2003</v>
      </c>
      <c r="J21" s="9">
        <v>0.57999999999999996</v>
      </c>
      <c r="K21" s="9">
        <v>102.64</v>
      </c>
      <c r="L21" s="9">
        <v>3.46</v>
      </c>
      <c r="M21" s="9">
        <v>3.6607142857142851</v>
      </c>
      <c r="N21" s="13">
        <v>7.6421031128308998</v>
      </c>
    </row>
    <row r="22" spans="1:15">
      <c r="A22" s="8">
        <v>2004</v>
      </c>
      <c r="B22" s="9">
        <v>1.6199999999999999E-2</v>
      </c>
      <c r="C22" s="9">
        <v>1.41E-2</v>
      </c>
      <c r="D22" s="9">
        <v>2.12E-2</v>
      </c>
      <c r="E22" s="9">
        <v>2.3999999999999998E-3</v>
      </c>
      <c r="F22" s="9">
        <v>1.9199999999999998E-2</v>
      </c>
      <c r="G22" s="9">
        <v>4.5900000000000003E-2</v>
      </c>
      <c r="H22" s="9"/>
      <c r="I22" s="9">
        <v>2004</v>
      </c>
      <c r="J22" s="9">
        <v>0.60199999999999998</v>
      </c>
      <c r="K22" s="9">
        <v>102.97</v>
      </c>
      <c r="L22" s="9">
        <v>3.54</v>
      </c>
      <c r="M22" s="9">
        <v>3.7857142857142856</v>
      </c>
      <c r="N22" s="13">
        <v>7.4190326061177698</v>
      </c>
    </row>
    <row r="23" spans="1:15">
      <c r="A23" s="8">
        <v>2005</v>
      </c>
      <c r="B23" s="9">
        <v>1.5599999999999999E-2</v>
      </c>
      <c r="C23" s="9">
        <v>1.4200000000000001E-2</v>
      </c>
      <c r="D23" s="9">
        <v>2.1299999999999999E-2</v>
      </c>
      <c r="E23" s="9">
        <v>2.5000000000000001E-3</v>
      </c>
      <c r="F23" s="9">
        <v>1.9300000000000001E-2</v>
      </c>
      <c r="G23" s="9">
        <v>4.3299999999999998E-2</v>
      </c>
      <c r="H23" s="9"/>
      <c r="I23" s="9">
        <v>2005</v>
      </c>
      <c r="J23" s="9">
        <v>0.62</v>
      </c>
      <c r="K23" s="9">
        <v>105.18</v>
      </c>
      <c r="L23" s="9">
        <v>3.64</v>
      </c>
      <c r="M23" s="9">
        <v>3.875</v>
      </c>
      <c r="N23" s="13">
        <v>7.3200000445687801</v>
      </c>
    </row>
    <row r="24" spans="1:15" ht="13.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8"/>
    </row>
    <row r="26" spans="1:15">
      <c r="A26" s="23" t="s">
        <v>107</v>
      </c>
      <c r="F26" s="23" t="s">
        <v>280</v>
      </c>
      <c r="N26" s="4"/>
    </row>
    <row r="27" spans="1:15">
      <c r="B27" t="s">
        <v>106</v>
      </c>
      <c r="C27" s="1" t="s">
        <v>56</v>
      </c>
      <c r="D27" s="2" t="s">
        <v>94</v>
      </c>
      <c r="E27" t="s">
        <v>41</v>
      </c>
      <c r="F27" s="45" t="s">
        <v>44</v>
      </c>
      <c r="G27" s="30">
        <f>1.001*G28</f>
        <v>-0.1264611433675748</v>
      </c>
      <c r="H27" s="31">
        <v>0</v>
      </c>
      <c r="J27" t="s">
        <v>17</v>
      </c>
      <c r="L27" t="s">
        <v>8</v>
      </c>
      <c r="O27" s="4"/>
    </row>
    <row r="28" spans="1:15" ht="13.5" thickBot="1">
      <c r="A28">
        <v>1</v>
      </c>
      <c r="B28" s="4">
        <f t="shared" ref="B28:B37" si="0">K4</f>
        <v>9.3000000000000007</v>
      </c>
      <c r="C28">
        <f t="shared" ref="C28:C37" si="1">$M$30+$M$31*A28</f>
        <v>9.9303333333333317</v>
      </c>
      <c r="D28" s="4">
        <f t="shared" ref="D28:D37" si="2">B28-C28</f>
        <v>-0.63033333333333097</v>
      </c>
      <c r="E28">
        <f t="shared" ref="E28:E37" si="3">D28/C28</f>
        <v>-6.3475546305931094E-2</v>
      </c>
      <c r="F28" s="46">
        <f t="shared" ref="F28:F37" si="4">A28</f>
        <v>1</v>
      </c>
      <c r="G28" s="9">
        <f t="shared" ref="G28:G37" si="5">SMALL($E$28:$E$37,F28)</f>
        <v>-0.1263348085590158</v>
      </c>
      <c r="H28" s="33">
        <v>0.05</v>
      </c>
      <c r="O28" s="4"/>
    </row>
    <row r="29" spans="1:15">
      <c r="A29">
        <v>2</v>
      </c>
      <c r="B29" s="4">
        <f t="shared" si="0"/>
        <v>9.2899999999999991</v>
      </c>
      <c r="C29">
        <f t="shared" si="1"/>
        <v>9.6435555555555545</v>
      </c>
      <c r="D29" s="4">
        <f t="shared" si="2"/>
        <v>-0.3535555555555554</v>
      </c>
      <c r="E29">
        <f t="shared" si="3"/>
        <v>-3.666236519494883E-2</v>
      </c>
      <c r="F29" s="46">
        <f t="shared" si="4"/>
        <v>2</v>
      </c>
      <c r="G29" s="9">
        <f t="shared" si="5"/>
        <v>-6.3475546305931094E-2</v>
      </c>
      <c r="H29" s="33">
        <f t="shared" ref="H29:H37" si="6">(1/$F$37)+H28</f>
        <v>0.15000000000000002</v>
      </c>
      <c r="J29" s="21" t="s">
        <v>18</v>
      </c>
      <c r="K29" s="21"/>
      <c r="L29" s="20"/>
      <c r="M29" s="20" t="s">
        <v>25</v>
      </c>
      <c r="N29" s="20" t="s">
        <v>22</v>
      </c>
      <c r="O29" s="20" t="s">
        <v>26</v>
      </c>
    </row>
    <row r="30" spans="1:15">
      <c r="A30">
        <v>3</v>
      </c>
      <c r="B30" s="4">
        <f t="shared" si="0"/>
        <v>10.119999999999999</v>
      </c>
      <c r="C30">
        <f t="shared" si="1"/>
        <v>9.3567777777777756</v>
      </c>
      <c r="D30" s="4">
        <f t="shared" si="2"/>
        <v>0.76322222222222358</v>
      </c>
      <c r="E30">
        <f t="shared" si="3"/>
        <v>8.1568916174846684E-2</v>
      </c>
      <c r="F30" s="46">
        <f t="shared" si="4"/>
        <v>3</v>
      </c>
      <c r="G30" s="9">
        <f t="shared" si="5"/>
        <v>-5.7162090146691776E-2</v>
      </c>
      <c r="H30" s="33">
        <f t="shared" si="6"/>
        <v>0.25</v>
      </c>
      <c r="J30" s="18" t="s">
        <v>19</v>
      </c>
      <c r="K30" s="18">
        <v>0.79648607804109783</v>
      </c>
      <c r="L30" s="18" t="s">
        <v>24</v>
      </c>
      <c r="M30" s="18">
        <v>10.217111111111109</v>
      </c>
      <c r="N30" s="18">
        <v>0.47759708469445467</v>
      </c>
      <c r="O30" s="18">
        <v>21.392741787039093</v>
      </c>
    </row>
    <row r="31" spans="1:15" ht="13.5" thickBot="1">
      <c r="A31">
        <v>4</v>
      </c>
      <c r="B31" s="4">
        <f t="shared" si="0"/>
        <v>10.0375</v>
      </c>
      <c r="C31">
        <f t="shared" si="1"/>
        <v>9.0699999999999985</v>
      </c>
      <c r="D31" s="4">
        <f t="shared" si="2"/>
        <v>0.96750000000000114</v>
      </c>
      <c r="E31">
        <f t="shared" si="3"/>
        <v>0.10667034178610819</v>
      </c>
      <c r="F31" s="46">
        <f t="shared" si="4"/>
        <v>4</v>
      </c>
      <c r="G31" s="9">
        <f t="shared" si="5"/>
        <v>-4.2736831092745127E-2</v>
      </c>
      <c r="H31" s="33">
        <f t="shared" si="6"/>
        <v>0.35</v>
      </c>
      <c r="J31" s="18" t="s">
        <v>20</v>
      </c>
      <c r="K31" s="18">
        <v>0.63439007251328972</v>
      </c>
      <c r="L31" s="19" t="s">
        <v>27</v>
      </c>
      <c r="M31" s="19">
        <v>-0.28677777777777747</v>
      </c>
      <c r="N31" s="19">
        <v>7.6971739679673218E-2</v>
      </c>
      <c r="O31" s="22">
        <v>-3.7257541400419987</v>
      </c>
    </row>
    <row r="32" spans="1:15">
      <c r="A32">
        <v>5</v>
      </c>
      <c r="B32" s="4">
        <f t="shared" si="0"/>
        <v>9.3058333333333305</v>
      </c>
      <c r="C32">
        <f t="shared" si="1"/>
        <v>8.7832222222222214</v>
      </c>
      <c r="D32" s="4">
        <f t="shared" si="2"/>
        <v>0.52261111111110914</v>
      </c>
      <c r="E32">
        <f t="shared" si="3"/>
        <v>5.9501068957228842E-2</v>
      </c>
      <c r="F32" s="46">
        <f t="shared" si="4"/>
        <v>5</v>
      </c>
      <c r="G32" s="9">
        <f t="shared" si="5"/>
        <v>-3.666236519494883E-2</v>
      </c>
      <c r="H32" s="33">
        <f t="shared" si="6"/>
        <v>0.44999999999999996</v>
      </c>
      <c r="J32" s="18" t="s">
        <v>21</v>
      </c>
      <c r="K32" s="18">
        <v>0.58868883157745089</v>
      </c>
      <c r="O32" s="4"/>
    </row>
    <row r="33" spans="1:28">
      <c r="A33">
        <v>6</v>
      </c>
      <c r="B33" s="4">
        <f t="shared" si="0"/>
        <v>8.1333333333333293</v>
      </c>
      <c r="C33">
        <f t="shared" si="1"/>
        <v>8.4964444444444442</v>
      </c>
      <c r="D33" s="4">
        <f t="shared" si="2"/>
        <v>-0.36311111111111494</v>
      </c>
      <c r="E33">
        <f t="shared" si="3"/>
        <v>-4.2736831092745127E-2</v>
      </c>
      <c r="F33" s="46">
        <f t="shared" si="4"/>
        <v>6</v>
      </c>
      <c r="G33" s="9">
        <f t="shared" si="5"/>
        <v>2.7573663150236922E-2</v>
      </c>
      <c r="H33" s="33">
        <f t="shared" si="6"/>
        <v>0.54999999999999993</v>
      </c>
      <c r="J33" s="18" t="s">
        <v>22</v>
      </c>
      <c r="K33" s="18">
        <v>0.6991305446899877</v>
      </c>
      <c r="O33" s="4"/>
    </row>
    <row r="34" spans="1:28" ht="13.5" thickBot="1">
      <c r="A34">
        <v>7</v>
      </c>
      <c r="B34" s="4">
        <f t="shared" si="0"/>
        <v>7.1725000000000003</v>
      </c>
      <c r="C34">
        <f t="shared" si="1"/>
        <v>8.2096666666666671</v>
      </c>
      <c r="D34" s="4">
        <f t="shared" si="2"/>
        <v>-1.0371666666666668</v>
      </c>
      <c r="E34">
        <f t="shared" si="3"/>
        <v>-0.1263348085590158</v>
      </c>
      <c r="F34" s="46">
        <f t="shared" si="4"/>
        <v>7</v>
      </c>
      <c r="G34" s="9">
        <f t="shared" si="5"/>
        <v>5.0775580551523883E-2</v>
      </c>
      <c r="H34" s="33">
        <f t="shared" si="6"/>
        <v>0.64999999999999991</v>
      </c>
      <c r="J34" s="19" t="s">
        <v>23</v>
      </c>
      <c r="K34" s="19">
        <v>10</v>
      </c>
      <c r="O34" s="4"/>
    </row>
    <row r="35" spans="1:28">
      <c r="A35">
        <v>8</v>
      </c>
      <c r="B35" s="4">
        <f t="shared" si="0"/>
        <v>7.47</v>
      </c>
      <c r="C35">
        <f t="shared" si="1"/>
        <v>7.9228888888888891</v>
      </c>
      <c r="D35" s="4">
        <f t="shared" si="2"/>
        <v>-0.45288888888888934</v>
      </c>
      <c r="E35">
        <f t="shared" si="3"/>
        <v>-5.7162090146691776E-2</v>
      </c>
      <c r="F35" s="46">
        <f t="shared" si="4"/>
        <v>8</v>
      </c>
      <c r="G35" s="9">
        <f t="shared" si="5"/>
        <v>5.9501068957228842E-2</v>
      </c>
      <c r="H35" s="33">
        <f t="shared" si="6"/>
        <v>0.74999999999999989</v>
      </c>
      <c r="N35" s="4"/>
    </row>
    <row r="36" spans="1:28" ht="13.5" thickBot="1">
      <c r="A36">
        <v>9</v>
      </c>
      <c r="B36" s="4">
        <f t="shared" si="0"/>
        <v>7.8466666666666702</v>
      </c>
      <c r="C36">
        <f t="shared" si="1"/>
        <v>7.6361111111111111</v>
      </c>
      <c r="D36" s="4">
        <f t="shared" si="2"/>
        <v>0.21055555555555916</v>
      </c>
      <c r="E36">
        <f t="shared" si="3"/>
        <v>2.7573663150236922E-2</v>
      </c>
      <c r="F36" s="46">
        <f t="shared" si="4"/>
        <v>9</v>
      </c>
      <c r="G36" s="9">
        <f t="shared" si="5"/>
        <v>8.1568916174846684E-2</v>
      </c>
      <c r="H36" s="33">
        <f t="shared" si="6"/>
        <v>0.84999999999999987</v>
      </c>
      <c r="N36" s="4"/>
      <c r="T36" t="s">
        <v>92</v>
      </c>
    </row>
    <row r="37" spans="1:28">
      <c r="A37">
        <v>10</v>
      </c>
      <c r="B37" s="4">
        <f t="shared" si="0"/>
        <v>7.7225000000000001</v>
      </c>
      <c r="C37">
        <f t="shared" si="1"/>
        <v>7.3493333333333339</v>
      </c>
      <c r="D37" s="4">
        <f t="shared" si="2"/>
        <v>0.3731666666666662</v>
      </c>
      <c r="E37">
        <f t="shared" si="3"/>
        <v>5.0775580551523883E-2</v>
      </c>
      <c r="F37" s="46">
        <f t="shared" si="4"/>
        <v>10</v>
      </c>
      <c r="G37" s="9">
        <f t="shared" si="5"/>
        <v>0.10667034178610819</v>
      </c>
      <c r="H37" s="33">
        <f t="shared" si="6"/>
        <v>0.94999999999999984</v>
      </c>
      <c r="N37" s="4"/>
      <c r="T37" s="20"/>
      <c r="U37" s="20" t="s">
        <v>96</v>
      </c>
      <c r="V37" s="20" t="s">
        <v>97</v>
      </c>
      <c r="W37" s="20" t="s">
        <v>98</v>
      </c>
      <c r="X37" s="20" t="s">
        <v>99</v>
      </c>
      <c r="Y37" s="20" t="s">
        <v>100</v>
      </c>
    </row>
    <row r="38" spans="1:28">
      <c r="A38" t="s">
        <v>90</v>
      </c>
      <c r="B38" s="4">
        <f>AVERAGE(B28:B37)</f>
        <v>8.6398333333333319</v>
      </c>
      <c r="C38" s="4">
        <f>AVERAGE(C28:C37)</f>
        <v>8.6398333333333319</v>
      </c>
      <c r="D38" s="4">
        <f>AVERAGE(D28:D37)</f>
        <v>1.7763568394002506E-16</v>
      </c>
      <c r="F38" s="47" t="s">
        <v>45</v>
      </c>
      <c r="G38" s="35">
        <f>1.001*G37</f>
        <v>0.1067770121278943</v>
      </c>
      <c r="H38" s="36">
        <v>1</v>
      </c>
      <c r="N38" s="4"/>
      <c r="T38" s="18" t="s">
        <v>93</v>
      </c>
      <c r="U38" s="18">
        <v>1</v>
      </c>
      <c r="V38" s="18">
        <v>6.7849232407407278</v>
      </c>
      <c r="W38" s="18">
        <v>6.7849232407407278</v>
      </c>
      <c r="X38" s="18">
        <v>13.881243912040093</v>
      </c>
      <c r="Y38" s="18">
        <v>5.8231074365297994E-3</v>
      </c>
    </row>
    <row r="39" spans="1:28">
      <c r="A39" t="s">
        <v>91</v>
      </c>
      <c r="B39">
        <f>STDEV(B28:B37)</f>
        <v>1.0901167821685145</v>
      </c>
      <c r="C39">
        <f>STDEV(C28:C37)</f>
        <v>0.86826284043617685</v>
      </c>
      <c r="D39" s="54">
        <f>STDEV(D28:D37)</f>
        <v>0.65914659877991322</v>
      </c>
      <c r="N39" s="4"/>
      <c r="T39" s="18" t="s">
        <v>94</v>
      </c>
      <c r="U39" s="18">
        <v>8</v>
      </c>
      <c r="V39" s="18">
        <v>3.9102681481481518</v>
      </c>
      <c r="W39" s="18">
        <v>0.48878351851851898</v>
      </c>
      <c r="X39" s="18"/>
      <c r="Y39" s="18"/>
    </row>
    <row r="40" spans="1:28" ht="13.5" thickBot="1">
      <c r="N40" s="4"/>
      <c r="T40" s="19" t="s">
        <v>95</v>
      </c>
      <c r="U40" s="19">
        <v>9</v>
      </c>
      <c r="V40" s="19">
        <v>10.69519138888888</v>
      </c>
      <c r="W40" s="19"/>
      <c r="X40" s="19"/>
      <c r="Y40" s="19"/>
    </row>
    <row r="41" spans="1:28" ht="13.5" thickBot="1">
      <c r="N41" s="4"/>
    </row>
    <row r="42" spans="1:28">
      <c r="N42" s="4"/>
      <c r="X42" s="20" t="s">
        <v>101</v>
      </c>
      <c r="Y42" s="20" t="s">
        <v>102</v>
      </c>
      <c r="Z42" s="20" t="s">
        <v>103</v>
      </c>
      <c r="AA42" s="20" t="s">
        <v>104</v>
      </c>
      <c r="AB42" s="20" t="s">
        <v>105</v>
      </c>
    </row>
    <row r="43" spans="1:28">
      <c r="D43" s="23"/>
      <c r="N43" s="4"/>
      <c r="X43" s="18">
        <v>2.3987686656989504E-8</v>
      </c>
      <c r="Y43" s="18">
        <v>9.1157695466289947</v>
      </c>
      <c r="Z43" s="18">
        <v>11.318452675593223</v>
      </c>
      <c r="AA43" s="18">
        <v>9.1157695466289947</v>
      </c>
      <c r="AB43" s="18">
        <v>11.318452675593223</v>
      </c>
    </row>
    <row r="44" spans="1:28" ht="13.5" thickBot="1">
      <c r="N44" s="4"/>
      <c r="X44" s="19">
        <v>5.8231074365297985E-3</v>
      </c>
      <c r="Y44" s="19">
        <v>-0.46427504255684282</v>
      </c>
      <c r="Z44" s="19">
        <v>-0.10928051299871208</v>
      </c>
      <c r="AA44" s="19">
        <v>-0.46427504255684282</v>
      </c>
      <c r="AB44" s="19">
        <v>-0.10928051299871208</v>
      </c>
    </row>
    <row r="45" spans="1:28">
      <c r="A45" t="s">
        <v>17</v>
      </c>
      <c r="C45" t="s">
        <v>28</v>
      </c>
      <c r="H45" t="s">
        <v>17</v>
      </c>
      <c r="J45" t="s">
        <v>35</v>
      </c>
    </row>
    <row r="46" spans="1:28" ht="13.5" thickBot="1"/>
    <row r="47" spans="1:28">
      <c r="A47" s="21" t="s">
        <v>18</v>
      </c>
      <c r="B47" s="21"/>
      <c r="C47" s="20"/>
      <c r="D47" s="20" t="s">
        <v>25</v>
      </c>
      <c r="E47" s="20" t="s">
        <v>22</v>
      </c>
      <c r="F47" s="20" t="s">
        <v>26</v>
      </c>
      <c r="H47" s="21" t="s">
        <v>18</v>
      </c>
      <c r="I47" s="21"/>
      <c r="J47" s="20"/>
      <c r="K47" s="20" t="s">
        <v>25</v>
      </c>
      <c r="L47" s="20" t="s">
        <v>22</v>
      </c>
      <c r="M47" s="20" t="s">
        <v>26</v>
      </c>
    </row>
    <row r="48" spans="1:28">
      <c r="A48" s="18" t="s">
        <v>19</v>
      </c>
      <c r="B48" s="18">
        <v>0.61097192645066933</v>
      </c>
      <c r="C48" s="18" t="s">
        <v>24</v>
      </c>
      <c r="D48" s="18">
        <v>289.39999999999998</v>
      </c>
      <c r="E48" s="18">
        <v>66.514209008301378</v>
      </c>
      <c r="F48" s="18">
        <v>4.3509500348095713</v>
      </c>
      <c r="H48" s="18" t="s">
        <v>19</v>
      </c>
      <c r="I48" s="18">
        <v>0.21774574820294826</v>
      </c>
      <c r="J48" s="18" t="s">
        <v>24</v>
      </c>
      <c r="K48" s="18">
        <v>22.8</v>
      </c>
      <c r="L48" s="18">
        <v>6.9725218254273393</v>
      </c>
      <c r="M48" s="18">
        <v>3.2699790077175708</v>
      </c>
    </row>
    <row r="49" spans="1:13" ht="13.5" thickBot="1">
      <c r="A49" s="18" t="s">
        <v>20</v>
      </c>
      <c r="B49" s="18">
        <v>0.37328669491084215</v>
      </c>
      <c r="C49" s="19" t="s">
        <v>27</v>
      </c>
      <c r="D49" s="19">
        <v>-23.4</v>
      </c>
      <c r="E49" s="19">
        <v>10.719735410574614</v>
      </c>
      <c r="F49" s="22">
        <v>-2.1828896986502841</v>
      </c>
      <c r="H49" s="18" t="s">
        <v>20</v>
      </c>
      <c r="I49" s="18">
        <v>4.7413210860461748E-2</v>
      </c>
      <c r="J49" s="19" t="s">
        <v>27</v>
      </c>
      <c r="K49" s="19">
        <v>-0.70909090909090844</v>
      </c>
      <c r="L49" s="19">
        <v>1.1237236408195028</v>
      </c>
      <c r="M49" s="19">
        <v>-0.6310189474823068</v>
      </c>
    </row>
    <row r="50" spans="1:13">
      <c r="A50" s="18" t="s">
        <v>21</v>
      </c>
      <c r="B50" s="18">
        <v>0.2949475317746974</v>
      </c>
      <c r="H50" s="18" t="s">
        <v>21</v>
      </c>
      <c r="I50" s="18">
        <v>-7.1660137781980535E-2</v>
      </c>
    </row>
    <row r="51" spans="1:13">
      <c r="A51" s="18" t="s">
        <v>22</v>
      </c>
      <c r="B51" s="18">
        <v>97.366832134972952</v>
      </c>
      <c r="H51" s="18" t="s">
        <v>22</v>
      </c>
      <c r="I51" s="18">
        <v>10.206726837104672</v>
      </c>
    </row>
    <row r="52" spans="1:13" ht="13.5" thickBot="1">
      <c r="A52" s="19" t="s">
        <v>23</v>
      </c>
      <c r="B52" s="19">
        <v>10</v>
      </c>
      <c r="H52" s="19" t="s">
        <v>23</v>
      </c>
      <c r="I52" s="19">
        <v>10</v>
      </c>
    </row>
    <row r="55" spans="1:13">
      <c r="A55" t="s">
        <v>17</v>
      </c>
      <c r="C55" t="s">
        <v>29</v>
      </c>
      <c r="H55" t="s">
        <v>17</v>
      </c>
      <c r="J55" t="s">
        <v>30</v>
      </c>
    </row>
    <row r="56" spans="1:13" ht="13.5" thickBot="1"/>
    <row r="57" spans="1:13">
      <c r="A57" s="21" t="s">
        <v>18</v>
      </c>
      <c r="B57" s="21"/>
      <c r="C57" s="20"/>
      <c r="D57" s="20" t="s">
        <v>25</v>
      </c>
      <c r="E57" s="20" t="s">
        <v>22</v>
      </c>
      <c r="F57" s="20" t="s">
        <v>26</v>
      </c>
      <c r="H57" s="21" t="s">
        <v>18</v>
      </c>
      <c r="I57" s="21"/>
      <c r="J57" s="20"/>
      <c r="K57" s="20" t="s">
        <v>25</v>
      </c>
      <c r="L57" s="20" t="s">
        <v>22</v>
      </c>
      <c r="M57" s="20" t="s">
        <v>26</v>
      </c>
    </row>
    <row r="58" spans="1:13">
      <c r="A58" s="18" t="s">
        <v>19</v>
      </c>
      <c r="B58" s="18">
        <v>8.0576856614743689E-2</v>
      </c>
      <c r="C58" s="18" t="s">
        <v>24</v>
      </c>
      <c r="D58" s="18">
        <v>33.4</v>
      </c>
      <c r="E58" s="18">
        <v>11.348167653454414</v>
      </c>
      <c r="F58" s="18">
        <v>2.9432064294391114</v>
      </c>
      <c r="H58" s="18" t="s">
        <v>19</v>
      </c>
      <c r="I58" s="18">
        <v>0.5051840819801896</v>
      </c>
      <c r="J58" s="18" t="s">
        <v>24</v>
      </c>
      <c r="K58" s="18">
        <v>0.56633333333333258</v>
      </c>
      <c r="L58" s="18">
        <v>4.8014608467242842E-2</v>
      </c>
      <c r="M58" s="18">
        <v>11.795021378122952</v>
      </c>
    </row>
    <row r="59" spans="1:13" ht="13.5" thickBot="1">
      <c r="A59" s="18" t="s">
        <v>20</v>
      </c>
      <c r="B59" s="18">
        <v>6.4926298219129628E-3</v>
      </c>
      <c r="C59" s="19" t="s">
        <v>27</v>
      </c>
      <c r="D59" s="19">
        <v>0.4181818181818206</v>
      </c>
      <c r="E59" s="19">
        <v>1.8289228189527162</v>
      </c>
      <c r="F59" s="19">
        <v>0.22864924306717396</v>
      </c>
      <c r="H59" s="18" t="s">
        <v>20</v>
      </c>
      <c r="I59" s="18">
        <v>0.25521095668616695</v>
      </c>
      <c r="J59" s="19" t="s">
        <v>27</v>
      </c>
      <c r="K59" s="19">
        <v>1.281212121212132E-2</v>
      </c>
      <c r="L59" s="19">
        <v>7.7382548223183497E-3</v>
      </c>
      <c r="M59" s="22">
        <v>1.6556861341874058</v>
      </c>
    </row>
    <row r="60" spans="1:13">
      <c r="A60" s="18" t="s">
        <v>21</v>
      </c>
      <c r="B60" s="18">
        <v>-0.11769579145034792</v>
      </c>
      <c r="H60" s="18" t="s">
        <v>21</v>
      </c>
      <c r="I60" s="18">
        <v>0.16211232627193783</v>
      </c>
    </row>
    <row r="61" spans="1:13">
      <c r="A61" s="18" t="s">
        <v>22</v>
      </c>
      <c r="B61" s="18">
        <v>16.612016461257522</v>
      </c>
      <c r="H61" s="18" t="s">
        <v>22</v>
      </c>
      <c r="I61" s="18">
        <v>7.0286189858666318E-2</v>
      </c>
    </row>
    <row r="62" spans="1:13" ht="13.5" thickBot="1">
      <c r="A62" s="19" t="s">
        <v>23</v>
      </c>
      <c r="B62" s="19">
        <v>10</v>
      </c>
      <c r="H62" s="19" t="s">
        <v>23</v>
      </c>
      <c r="I62" s="19">
        <v>10</v>
      </c>
    </row>
    <row r="65" spans="1:13">
      <c r="A65" t="s">
        <v>17</v>
      </c>
      <c r="C65" t="s">
        <v>31</v>
      </c>
      <c r="H65" t="s">
        <v>17</v>
      </c>
      <c r="J65" t="s">
        <v>32</v>
      </c>
    </row>
    <row r="66" spans="1:13" ht="13.5" thickBot="1"/>
    <row r="67" spans="1:13">
      <c r="A67" s="21" t="s">
        <v>18</v>
      </c>
      <c r="B67" s="21"/>
      <c r="C67" s="20"/>
      <c r="D67" s="20" t="s">
        <v>25</v>
      </c>
      <c r="E67" s="20" t="s">
        <v>22</v>
      </c>
      <c r="F67" s="20" t="s">
        <v>26</v>
      </c>
      <c r="H67" s="21" t="s">
        <v>18</v>
      </c>
      <c r="I67" s="21"/>
      <c r="J67" s="20"/>
      <c r="K67" s="20" t="s">
        <v>25</v>
      </c>
      <c r="L67" s="20" t="s">
        <v>22</v>
      </c>
      <c r="M67" s="20" t="s">
        <v>26</v>
      </c>
    </row>
    <row r="68" spans="1:13">
      <c r="A68" s="18" t="s">
        <v>19</v>
      </c>
      <c r="B68" s="18">
        <v>0.30701826821303235</v>
      </c>
      <c r="C68" s="18" t="s">
        <v>24</v>
      </c>
      <c r="D68" s="18">
        <v>94.666666666666671</v>
      </c>
      <c r="E68" s="18">
        <v>11.787045619850822</v>
      </c>
      <c r="F68" s="18">
        <v>8.0314159900455859</v>
      </c>
      <c r="H68" s="18" t="s">
        <v>19</v>
      </c>
      <c r="I68" s="18">
        <v>0.62416744883375275</v>
      </c>
      <c r="J68" s="18" t="s">
        <v>24</v>
      </c>
      <c r="K68" s="18">
        <v>2.7013333333333316</v>
      </c>
      <c r="L68" s="18">
        <v>0.3697915328638256</v>
      </c>
      <c r="M68" s="18">
        <v>7.3050167277034106</v>
      </c>
    </row>
    <row r="69" spans="1:13" ht="13.5" thickBot="1">
      <c r="A69" s="18" t="s">
        <v>20</v>
      </c>
      <c r="B69" s="18">
        <v>9.4260217016529466E-2</v>
      </c>
      <c r="C69" s="19" t="s">
        <v>27</v>
      </c>
      <c r="D69" s="19">
        <v>1.7333333333333334</v>
      </c>
      <c r="E69" s="19">
        <v>1.8996544076981132</v>
      </c>
      <c r="F69" s="19">
        <v>0.91244666730391366</v>
      </c>
      <c r="H69" s="18" t="s">
        <v>20</v>
      </c>
      <c r="I69" s="18">
        <v>0.38958500418363534</v>
      </c>
      <c r="J69" s="19" t="s">
        <v>27</v>
      </c>
      <c r="K69" s="19">
        <v>0.13466666666666688</v>
      </c>
      <c r="L69" s="19">
        <v>5.9597301816763357E-2</v>
      </c>
      <c r="M69" s="22">
        <v>2.2596101259870833</v>
      </c>
    </row>
    <row r="70" spans="1:13">
      <c r="A70" s="18" t="s">
        <v>21</v>
      </c>
      <c r="B70" s="18">
        <v>-1.8957255856404356E-2</v>
      </c>
      <c r="H70" s="18" t="s">
        <v>21</v>
      </c>
      <c r="I70" s="18">
        <v>0.31328312970658978</v>
      </c>
    </row>
    <row r="71" spans="1:13">
      <c r="A71" s="18" t="s">
        <v>22</v>
      </c>
      <c r="B71" s="18">
        <v>17.25446802039016</v>
      </c>
      <c r="H71" s="18" t="s">
        <v>22</v>
      </c>
      <c r="I71" s="18">
        <v>0.54131937584633594</v>
      </c>
    </row>
    <row r="72" spans="1:13" ht="13.5" thickBot="1">
      <c r="A72" s="19" t="s">
        <v>23</v>
      </c>
      <c r="B72" s="19">
        <v>10</v>
      </c>
      <c r="H72" s="19" t="s">
        <v>23</v>
      </c>
      <c r="I72" s="19">
        <v>10</v>
      </c>
    </row>
    <row r="75" spans="1:13">
      <c r="A75" t="s">
        <v>17</v>
      </c>
      <c r="C75" t="s">
        <v>33</v>
      </c>
      <c r="H75" t="s">
        <v>17</v>
      </c>
      <c r="J75" t="s">
        <v>34</v>
      </c>
    </row>
    <row r="76" spans="1:13" ht="13.5" thickBot="1"/>
    <row r="77" spans="1:13">
      <c r="A77" s="21" t="s">
        <v>18</v>
      </c>
      <c r="B77" s="21"/>
      <c r="C77" s="20"/>
      <c r="D77" s="20" t="s">
        <v>25</v>
      </c>
      <c r="E77" s="20" t="s">
        <v>22</v>
      </c>
      <c r="F77" s="20" t="s">
        <v>26</v>
      </c>
      <c r="H77" s="21" t="s">
        <v>18</v>
      </c>
      <c r="I77" s="21"/>
      <c r="J77" s="20"/>
      <c r="K77" s="20" t="s">
        <v>25</v>
      </c>
      <c r="L77" s="20" t="s">
        <v>22</v>
      </c>
      <c r="M77" s="20" t="s">
        <v>26</v>
      </c>
    </row>
    <row r="78" spans="1:13">
      <c r="A78" s="18" t="s">
        <v>19</v>
      </c>
      <c r="B78" s="18">
        <v>0.58518016662965655</v>
      </c>
      <c r="C78" s="18" t="s">
        <v>24</v>
      </c>
      <c r="D78" s="18">
        <v>3.2321428571428572</v>
      </c>
      <c r="E78" s="18">
        <v>0.41256312648288535</v>
      </c>
      <c r="F78" s="18">
        <v>7.8342989221964281</v>
      </c>
      <c r="H78" s="18" t="s">
        <v>19</v>
      </c>
      <c r="I78" s="18">
        <v>0.79648607804109783</v>
      </c>
      <c r="J78" s="18" t="s">
        <v>24</v>
      </c>
      <c r="K78" s="18">
        <v>10.217111111111109</v>
      </c>
      <c r="L78" s="18">
        <v>0.47759708469445467</v>
      </c>
      <c r="M78" s="18">
        <v>21.392741787039093</v>
      </c>
    </row>
    <row r="79" spans="1:13" ht="13.5" thickBot="1">
      <c r="A79" s="18" t="s">
        <v>20</v>
      </c>
      <c r="B79" s="18">
        <v>0.34243582741671258</v>
      </c>
      <c r="C79" s="19" t="s">
        <v>27</v>
      </c>
      <c r="D79" s="19">
        <v>0.13571428571428565</v>
      </c>
      <c r="E79" s="19">
        <v>6.6490568286003304E-2</v>
      </c>
      <c r="F79" s="22">
        <v>2.0411058171517293</v>
      </c>
      <c r="H79" s="18" t="s">
        <v>20</v>
      </c>
      <c r="I79" s="18">
        <v>0.63439007251328972</v>
      </c>
      <c r="J79" s="19" t="s">
        <v>27</v>
      </c>
      <c r="K79" s="19">
        <v>-0.28677777777777747</v>
      </c>
      <c r="L79" s="19">
        <v>7.6971739679673218E-2</v>
      </c>
      <c r="M79" s="22">
        <v>-3.7257541400419987</v>
      </c>
    </row>
    <row r="80" spans="1:13">
      <c r="A80" s="18" t="s">
        <v>21</v>
      </c>
      <c r="B80" s="18">
        <v>0.26024030584380164</v>
      </c>
      <c r="H80" s="18" t="s">
        <v>21</v>
      </c>
      <c r="I80" s="18">
        <v>0.58868883157745089</v>
      </c>
    </row>
    <row r="81" spans="1:14">
      <c r="A81" s="18" t="s">
        <v>22</v>
      </c>
      <c r="B81" s="18">
        <v>0.60393057784578419</v>
      </c>
      <c r="H81" s="18" t="s">
        <v>22</v>
      </c>
      <c r="I81" s="18">
        <v>0.6991305446899877</v>
      </c>
    </row>
    <row r="82" spans="1:14" ht="13.5" thickBot="1">
      <c r="A82" s="19" t="s">
        <v>23</v>
      </c>
      <c r="B82" s="19">
        <v>10</v>
      </c>
      <c r="H82" s="19" t="s">
        <v>23</v>
      </c>
      <c r="I82" s="19">
        <v>10</v>
      </c>
    </row>
    <row r="84" spans="1:14">
      <c r="A84" s="23" t="s">
        <v>36</v>
      </c>
      <c r="H84" t="s">
        <v>43</v>
      </c>
      <c r="K84" t="s">
        <v>46</v>
      </c>
      <c r="M84" s="23" t="s">
        <v>154</v>
      </c>
      <c r="N84" s="23"/>
    </row>
    <row r="85" spans="1:14">
      <c r="B85" s="23" t="str">
        <f t="shared" ref="B85:B95" si="7">B3</f>
        <v>cotton</v>
      </c>
      <c r="C85" t="s">
        <v>37</v>
      </c>
      <c r="D85" t="s">
        <v>38</v>
      </c>
      <c r="E85" t="s">
        <v>41</v>
      </c>
      <c r="F85" t="s">
        <v>42</v>
      </c>
      <c r="H85" t="s">
        <v>44</v>
      </c>
      <c r="I85">
        <f>1.001*I86</f>
        <v>-0.97608400746733037</v>
      </c>
      <c r="J85">
        <v>0</v>
      </c>
      <c r="M85" s="23" t="s">
        <v>69</v>
      </c>
      <c r="N85" s="23">
        <f>C86</f>
        <v>160.69999999999999</v>
      </c>
    </row>
    <row r="86" spans="1:14">
      <c r="A86">
        <f t="shared" ref="A86:A95" si="8">A4</f>
        <v>1</v>
      </c>
      <c r="B86" s="17">
        <f t="shared" si="7"/>
        <v>295</v>
      </c>
      <c r="C86">
        <f t="shared" ref="C86:C95" si="9">$B$96</f>
        <v>160.69999999999999</v>
      </c>
      <c r="D86" s="17">
        <f t="shared" ref="D86:D95" si="10">B86-C86</f>
        <v>134.30000000000001</v>
      </c>
      <c r="E86">
        <f t="shared" ref="E86:E95" si="11">D86/C86</f>
        <v>0.83571873055382717</v>
      </c>
      <c r="F86">
        <f t="shared" ref="F86:F95" si="12">SMALL($E$86:$E$95,A86)</f>
        <v>-0.97510889856876171</v>
      </c>
      <c r="H86">
        <f t="shared" ref="H86:H95" si="13">A86</f>
        <v>1</v>
      </c>
      <c r="I86">
        <f t="shared" ref="I86:I95" si="14">F86</f>
        <v>-0.97510889856876171</v>
      </c>
      <c r="J86" s="24">
        <v>0.05</v>
      </c>
      <c r="M86" s="23" t="s">
        <v>155</v>
      </c>
      <c r="N86" s="23">
        <f>N85*(1+I85)</f>
        <v>3.843300000000009</v>
      </c>
    </row>
    <row r="87" spans="1:14">
      <c r="A87">
        <f t="shared" si="8"/>
        <v>2</v>
      </c>
      <c r="B87" s="17">
        <f t="shared" si="7"/>
        <v>354</v>
      </c>
      <c r="C87">
        <f t="shared" si="9"/>
        <v>160.69999999999999</v>
      </c>
      <c r="D87" s="17">
        <f t="shared" si="10"/>
        <v>193.3</v>
      </c>
      <c r="E87">
        <f t="shared" si="11"/>
        <v>1.2028624766645926</v>
      </c>
      <c r="F87">
        <f t="shared" si="12"/>
        <v>-0.90665836963285629</v>
      </c>
      <c r="H87">
        <f t="shared" si="13"/>
        <v>2</v>
      </c>
      <c r="I87">
        <f t="shared" si="14"/>
        <v>-0.90665836963285629</v>
      </c>
      <c r="J87">
        <f t="shared" ref="J87:J95" si="15">(1/$H$95)+J86</f>
        <v>0.15000000000000002</v>
      </c>
      <c r="M87" s="23" t="s">
        <v>156</v>
      </c>
      <c r="N87" s="23">
        <f>N85*(1+I96)</f>
        <v>354.19330000000002</v>
      </c>
    </row>
    <row r="88" spans="1:14">
      <c r="A88">
        <f t="shared" si="8"/>
        <v>3</v>
      </c>
      <c r="B88" s="17">
        <f t="shared" si="7"/>
        <v>86</v>
      </c>
      <c r="C88">
        <f t="shared" si="9"/>
        <v>160.69999999999999</v>
      </c>
      <c r="D88" s="17">
        <f t="shared" si="10"/>
        <v>-74.699999999999989</v>
      </c>
      <c r="E88">
        <f t="shared" si="11"/>
        <v>-0.46484131922837579</v>
      </c>
      <c r="F88">
        <f t="shared" si="12"/>
        <v>-0.46484131922837579</v>
      </c>
      <c r="H88">
        <f t="shared" si="13"/>
        <v>3</v>
      </c>
      <c r="I88">
        <f t="shared" si="14"/>
        <v>-0.46484131922837579</v>
      </c>
      <c r="J88">
        <f t="shared" si="15"/>
        <v>0.25</v>
      </c>
    </row>
    <row r="89" spans="1:14">
      <c r="A89">
        <f t="shared" si="8"/>
        <v>4</v>
      </c>
      <c r="B89" s="17">
        <f t="shared" si="7"/>
        <v>131</v>
      </c>
      <c r="C89">
        <f t="shared" si="9"/>
        <v>160.69999999999999</v>
      </c>
      <c r="D89" s="17">
        <f t="shared" si="10"/>
        <v>-29.699999999999989</v>
      </c>
      <c r="E89">
        <f t="shared" si="11"/>
        <v>-0.18481642812694457</v>
      </c>
      <c r="F89">
        <f t="shared" si="12"/>
        <v>-0.25948973242065954</v>
      </c>
      <c r="H89">
        <f t="shared" si="13"/>
        <v>4</v>
      </c>
      <c r="I89">
        <f t="shared" si="14"/>
        <v>-0.25948973242065954</v>
      </c>
      <c r="J89">
        <f t="shared" si="15"/>
        <v>0.35</v>
      </c>
    </row>
    <row r="90" spans="1:14">
      <c r="A90">
        <f t="shared" si="8"/>
        <v>5</v>
      </c>
      <c r="B90" s="17">
        <f t="shared" si="7"/>
        <v>266</v>
      </c>
      <c r="C90">
        <f t="shared" si="9"/>
        <v>160.69999999999999</v>
      </c>
      <c r="D90" s="17">
        <f t="shared" si="10"/>
        <v>105.30000000000001</v>
      </c>
      <c r="E90">
        <f t="shared" si="11"/>
        <v>0.65525824517734921</v>
      </c>
      <c r="F90">
        <f t="shared" si="12"/>
        <v>-0.18481642812694457</v>
      </c>
      <c r="H90">
        <f t="shared" si="13"/>
        <v>5</v>
      </c>
      <c r="I90">
        <f t="shared" si="14"/>
        <v>-0.18481642812694457</v>
      </c>
      <c r="J90">
        <f t="shared" si="15"/>
        <v>0.44999999999999996</v>
      </c>
    </row>
    <row r="91" spans="1:14">
      <c r="A91">
        <f t="shared" si="8"/>
        <v>6</v>
      </c>
      <c r="B91" s="17">
        <f t="shared" si="7"/>
        <v>4</v>
      </c>
      <c r="C91">
        <f t="shared" si="9"/>
        <v>160.69999999999999</v>
      </c>
      <c r="D91" s="17">
        <f t="shared" si="10"/>
        <v>-156.69999999999999</v>
      </c>
      <c r="E91">
        <f t="shared" si="11"/>
        <v>-0.97510889856876171</v>
      </c>
      <c r="F91">
        <f t="shared" si="12"/>
        <v>-4.1692594897324138E-2</v>
      </c>
      <c r="H91">
        <f t="shared" si="13"/>
        <v>6</v>
      </c>
      <c r="I91">
        <f t="shared" si="14"/>
        <v>-4.1692594897324138E-2</v>
      </c>
      <c r="J91">
        <f t="shared" si="15"/>
        <v>0.54999999999999993</v>
      </c>
    </row>
    <row r="92" spans="1:14">
      <c r="A92">
        <f t="shared" si="8"/>
        <v>7</v>
      </c>
      <c r="B92" s="17">
        <f t="shared" si="7"/>
        <v>183</v>
      </c>
      <c r="C92">
        <f t="shared" si="9"/>
        <v>160.69999999999999</v>
      </c>
      <c r="D92" s="17">
        <f t="shared" si="10"/>
        <v>22.300000000000011</v>
      </c>
      <c r="E92">
        <f t="shared" si="11"/>
        <v>0.13876789047915378</v>
      </c>
      <c r="F92">
        <f t="shared" si="12"/>
        <v>0.13876789047915378</v>
      </c>
      <c r="H92">
        <f t="shared" si="13"/>
        <v>7</v>
      </c>
      <c r="I92">
        <f t="shared" si="14"/>
        <v>0.13876789047915378</v>
      </c>
      <c r="J92">
        <f t="shared" si="15"/>
        <v>0.64999999999999991</v>
      </c>
    </row>
    <row r="93" spans="1:14">
      <c r="A93">
        <f t="shared" si="8"/>
        <v>8</v>
      </c>
      <c r="B93" s="17">
        <f t="shared" si="7"/>
        <v>119</v>
      </c>
      <c r="C93">
        <f t="shared" si="9"/>
        <v>160.69999999999999</v>
      </c>
      <c r="D93" s="17">
        <f t="shared" si="10"/>
        <v>-41.699999999999989</v>
      </c>
      <c r="E93">
        <f t="shared" si="11"/>
        <v>-0.25948973242065954</v>
      </c>
      <c r="F93">
        <f t="shared" si="12"/>
        <v>0.65525824517734921</v>
      </c>
      <c r="H93">
        <f t="shared" si="13"/>
        <v>8</v>
      </c>
      <c r="I93">
        <f t="shared" si="14"/>
        <v>0.65525824517734921</v>
      </c>
      <c r="J93">
        <f t="shared" si="15"/>
        <v>0.74999999999999989</v>
      </c>
    </row>
    <row r="94" spans="1:14">
      <c r="A94">
        <f t="shared" si="8"/>
        <v>9</v>
      </c>
      <c r="B94" s="17">
        <f t="shared" si="7"/>
        <v>154</v>
      </c>
      <c r="C94">
        <f t="shared" si="9"/>
        <v>160.69999999999999</v>
      </c>
      <c r="D94" s="17">
        <f t="shared" si="10"/>
        <v>-6.6999999999999886</v>
      </c>
      <c r="E94">
        <f t="shared" si="11"/>
        <v>-4.1692594897324138E-2</v>
      </c>
      <c r="F94">
        <f t="shared" si="12"/>
        <v>0.83571873055382717</v>
      </c>
      <c r="H94">
        <f t="shared" si="13"/>
        <v>9</v>
      </c>
      <c r="I94">
        <f t="shared" si="14"/>
        <v>0.83571873055382717</v>
      </c>
      <c r="J94">
        <f t="shared" si="15"/>
        <v>0.84999999999999987</v>
      </c>
    </row>
    <row r="95" spans="1:14">
      <c r="A95">
        <f t="shared" si="8"/>
        <v>10</v>
      </c>
      <c r="B95" s="17">
        <f t="shared" si="7"/>
        <v>15</v>
      </c>
      <c r="C95">
        <f t="shared" si="9"/>
        <v>160.69999999999999</v>
      </c>
      <c r="D95" s="17">
        <f t="shared" si="10"/>
        <v>-145.69999999999999</v>
      </c>
      <c r="E95">
        <f t="shared" si="11"/>
        <v>-0.90665836963285629</v>
      </c>
      <c r="F95">
        <f t="shared" si="12"/>
        <v>1.2028624766645926</v>
      </c>
      <c r="H95">
        <f t="shared" si="13"/>
        <v>10</v>
      </c>
      <c r="I95">
        <f t="shared" si="14"/>
        <v>1.2028624766645926</v>
      </c>
      <c r="J95">
        <f t="shared" si="15"/>
        <v>0.94999999999999984</v>
      </c>
    </row>
    <row r="96" spans="1:14">
      <c r="A96" t="s">
        <v>39</v>
      </c>
      <c r="B96" s="17">
        <f>AVERAGE(B86:B95)</f>
        <v>160.69999999999999</v>
      </c>
      <c r="C96">
        <f>AVERAGE(C86:C95)</f>
        <v>160.70000000000002</v>
      </c>
      <c r="D96" s="17">
        <f>AVERAGE(D86:D95)</f>
        <v>1.1368683772161604E-14</v>
      </c>
      <c r="E96">
        <f>AVERAGE(E86:E95)</f>
        <v>8.8817841970012528E-17</v>
      </c>
      <c r="F96">
        <f>AVERAGE(F86:F95)</f>
        <v>6.661338147750939E-17</v>
      </c>
      <c r="H96" t="s">
        <v>45</v>
      </c>
      <c r="I96">
        <f>1.001*I95</f>
        <v>1.204065339141257</v>
      </c>
      <c r="J96">
        <v>1</v>
      </c>
    </row>
    <row r="97" spans="1:14">
      <c r="A97" t="s">
        <v>40</v>
      </c>
      <c r="B97">
        <f>STDEV(B86:B95)</f>
        <v>115.95789465721312</v>
      </c>
      <c r="C97">
        <f>STDEV(C86:C95)</f>
        <v>2.995911226518785E-14</v>
      </c>
      <c r="D97">
        <f>STDEV(D86:D95)</f>
        <v>115.9578946572131</v>
      </c>
      <c r="E97">
        <f>STDEV(E86:E95)</f>
        <v>0.72157992941638527</v>
      </c>
    </row>
    <row r="98" spans="1:14">
      <c r="H98" t="s">
        <v>43</v>
      </c>
      <c r="K98" t="s">
        <v>47</v>
      </c>
      <c r="M98" s="23" t="s">
        <v>154</v>
      </c>
      <c r="N98" s="23"/>
    </row>
    <row r="99" spans="1:14">
      <c r="B99" s="23" t="str">
        <f t="shared" ref="B99:B109" si="16">C3</f>
        <v>wheat</v>
      </c>
      <c r="C99" t="s">
        <v>37</v>
      </c>
      <c r="D99" t="s">
        <v>38</v>
      </c>
      <c r="E99" t="s">
        <v>41</v>
      </c>
      <c r="F99" t="str">
        <f>F85</f>
        <v>S(Res/Yhat)</v>
      </c>
      <c r="H99" t="s">
        <v>44</v>
      </c>
      <c r="I99">
        <f>1.001*I100</f>
        <v>-0.68322222222222218</v>
      </c>
      <c r="J99">
        <v>0</v>
      </c>
      <c r="M99" s="23" t="s">
        <v>69</v>
      </c>
      <c r="N99" s="23">
        <f>C100</f>
        <v>18.899999999999999</v>
      </c>
    </row>
    <row r="100" spans="1:14">
      <c r="A100">
        <f t="shared" ref="A100:A109" si="17">A86</f>
        <v>1</v>
      </c>
      <c r="B100" s="17">
        <f t="shared" si="16"/>
        <v>6</v>
      </c>
      <c r="C100">
        <f t="shared" ref="C100:C109" si="18">$B$110</f>
        <v>18.899999999999999</v>
      </c>
      <c r="D100" s="17">
        <f t="shared" ref="D100:D109" si="19">B100-C100</f>
        <v>-12.899999999999999</v>
      </c>
      <c r="E100">
        <f t="shared" ref="E100:E109" si="20">D100/C100</f>
        <v>-0.68253968253968256</v>
      </c>
      <c r="F100">
        <f t="shared" ref="F100:F109" si="21">SMALL(E$100:E$109,A100)</f>
        <v>-0.68253968253968256</v>
      </c>
      <c r="H100">
        <f t="shared" ref="H100:H109" si="22">A100</f>
        <v>1</v>
      </c>
      <c r="I100">
        <f t="shared" ref="I100:I109" si="23">F100</f>
        <v>-0.68253968253968256</v>
      </c>
      <c r="J100" s="24">
        <v>0.05</v>
      </c>
      <c r="M100" s="23" t="s">
        <v>155</v>
      </c>
      <c r="N100" s="23">
        <f>N99*(1+I99)</f>
        <v>5.9871000000000008</v>
      </c>
    </row>
    <row r="101" spans="1:14">
      <c r="A101">
        <f t="shared" si="17"/>
        <v>2</v>
      </c>
      <c r="B101" s="17">
        <f t="shared" si="16"/>
        <v>31</v>
      </c>
      <c r="C101">
        <f t="shared" si="18"/>
        <v>18.899999999999999</v>
      </c>
      <c r="D101" s="17">
        <f t="shared" si="19"/>
        <v>12.100000000000001</v>
      </c>
      <c r="E101">
        <f t="shared" si="20"/>
        <v>0.64021164021164034</v>
      </c>
      <c r="F101">
        <f t="shared" si="21"/>
        <v>-0.62962962962962965</v>
      </c>
      <c r="H101">
        <f t="shared" si="22"/>
        <v>2</v>
      </c>
      <c r="I101">
        <f t="shared" si="23"/>
        <v>-0.62962962962962965</v>
      </c>
      <c r="J101">
        <f t="shared" ref="J101:J109" si="24">(1/$H$95)+J100</f>
        <v>0.15000000000000002</v>
      </c>
      <c r="M101" s="23" t="s">
        <v>156</v>
      </c>
      <c r="N101" s="23">
        <f>N99*(1+I110)</f>
        <v>36.017099999999999</v>
      </c>
    </row>
    <row r="102" spans="1:14">
      <c r="A102">
        <f t="shared" si="17"/>
        <v>3</v>
      </c>
      <c r="B102" s="17">
        <f t="shared" si="16"/>
        <v>36</v>
      </c>
      <c r="C102">
        <f t="shared" si="18"/>
        <v>18.899999999999999</v>
      </c>
      <c r="D102" s="17">
        <f t="shared" si="19"/>
        <v>17.100000000000001</v>
      </c>
      <c r="E102">
        <f t="shared" si="20"/>
        <v>0.90476190476190488</v>
      </c>
      <c r="F102">
        <f t="shared" si="21"/>
        <v>-0.36507936507936506</v>
      </c>
      <c r="H102">
        <f t="shared" si="22"/>
        <v>3</v>
      </c>
      <c r="I102">
        <f t="shared" si="23"/>
        <v>-0.36507936507936506</v>
      </c>
      <c r="J102">
        <f t="shared" si="24"/>
        <v>0.25</v>
      </c>
    </row>
    <row r="103" spans="1:14">
      <c r="A103">
        <f t="shared" si="17"/>
        <v>4</v>
      </c>
      <c r="B103" s="17">
        <f t="shared" si="16"/>
        <v>12</v>
      </c>
      <c r="C103">
        <f t="shared" si="18"/>
        <v>18.899999999999999</v>
      </c>
      <c r="D103" s="17">
        <f t="shared" si="19"/>
        <v>-6.8999999999999986</v>
      </c>
      <c r="E103">
        <f t="shared" si="20"/>
        <v>-0.36507936507936506</v>
      </c>
      <c r="F103">
        <f t="shared" si="21"/>
        <v>-0.25925925925925919</v>
      </c>
      <c r="H103">
        <f t="shared" si="22"/>
        <v>4</v>
      </c>
      <c r="I103">
        <f t="shared" si="23"/>
        <v>-0.25925925925925919</v>
      </c>
      <c r="J103">
        <f t="shared" si="24"/>
        <v>0.35</v>
      </c>
    </row>
    <row r="104" spans="1:14">
      <c r="A104">
        <f t="shared" si="17"/>
        <v>5</v>
      </c>
      <c r="B104" s="17">
        <f t="shared" si="16"/>
        <v>26</v>
      </c>
      <c r="C104">
        <f t="shared" si="18"/>
        <v>18.899999999999999</v>
      </c>
      <c r="D104" s="17">
        <f t="shared" si="19"/>
        <v>7.1000000000000014</v>
      </c>
      <c r="E104">
        <f t="shared" si="20"/>
        <v>0.37566137566137575</v>
      </c>
      <c r="F104">
        <f t="shared" si="21"/>
        <v>-4.7619047619047547E-2</v>
      </c>
      <c r="H104">
        <f t="shared" si="22"/>
        <v>5</v>
      </c>
      <c r="I104">
        <f t="shared" si="23"/>
        <v>-4.7619047619047547E-2</v>
      </c>
      <c r="J104">
        <f t="shared" si="24"/>
        <v>0.44999999999999996</v>
      </c>
    </row>
    <row r="105" spans="1:14">
      <c r="A105">
        <f t="shared" si="17"/>
        <v>6</v>
      </c>
      <c r="B105" s="17">
        <f t="shared" si="16"/>
        <v>14</v>
      </c>
      <c r="C105">
        <f t="shared" si="18"/>
        <v>18.899999999999999</v>
      </c>
      <c r="D105" s="17">
        <f t="shared" si="19"/>
        <v>-4.8999999999999986</v>
      </c>
      <c r="E105">
        <f t="shared" si="20"/>
        <v>-0.25925925925925919</v>
      </c>
      <c r="F105">
        <f t="shared" si="21"/>
        <v>-4.7619047619047547E-2</v>
      </c>
      <c r="H105">
        <f t="shared" si="22"/>
        <v>6</v>
      </c>
      <c r="I105">
        <f t="shared" si="23"/>
        <v>-4.7619047619047547E-2</v>
      </c>
      <c r="J105">
        <f t="shared" si="24"/>
        <v>0.54999999999999993</v>
      </c>
    </row>
    <row r="106" spans="1:14">
      <c r="A106">
        <f t="shared" si="17"/>
        <v>7</v>
      </c>
      <c r="B106" s="17">
        <f t="shared" si="16"/>
        <v>18</v>
      </c>
      <c r="C106">
        <f t="shared" si="18"/>
        <v>18.899999999999999</v>
      </c>
      <c r="D106" s="17">
        <f t="shared" si="19"/>
        <v>-0.89999999999999858</v>
      </c>
      <c r="E106">
        <f t="shared" si="20"/>
        <v>-4.7619047619047547E-2</v>
      </c>
      <c r="F106">
        <f t="shared" si="21"/>
        <v>0.11111111111111119</v>
      </c>
      <c r="H106">
        <f t="shared" si="22"/>
        <v>7</v>
      </c>
      <c r="I106">
        <f t="shared" si="23"/>
        <v>0.11111111111111119</v>
      </c>
      <c r="J106">
        <f t="shared" si="24"/>
        <v>0.64999999999999991</v>
      </c>
    </row>
    <row r="107" spans="1:14">
      <c r="A107">
        <f t="shared" si="17"/>
        <v>8</v>
      </c>
      <c r="B107" s="17">
        <f t="shared" si="16"/>
        <v>18</v>
      </c>
      <c r="C107">
        <f t="shared" si="18"/>
        <v>18.899999999999999</v>
      </c>
      <c r="D107" s="17">
        <f t="shared" si="19"/>
        <v>-0.89999999999999858</v>
      </c>
      <c r="E107">
        <f t="shared" si="20"/>
        <v>-4.7619047619047547E-2</v>
      </c>
      <c r="F107">
        <f t="shared" si="21"/>
        <v>0.37566137566137575</v>
      </c>
      <c r="H107">
        <f t="shared" si="22"/>
        <v>8</v>
      </c>
      <c r="I107">
        <f t="shared" si="23"/>
        <v>0.37566137566137575</v>
      </c>
      <c r="J107">
        <f t="shared" si="24"/>
        <v>0.74999999999999989</v>
      </c>
    </row>
    <row r="108" spans="1:14">
      <c r="A108">
        <f t="shared" si="17"/>
        <v>9</v>
      </c>
      <c r="B108" s="17">
        <f t="shared" si="16"/>
        <v>7</v>
      </c>
      <c r="C108">
        <f t="shared" si="18"/>
        <v>18.899999999999999</v>
      </c>
      <c r="D108" s="17">
        <f t="shared" si="19"/>
        <v>-11.899999999999999</v>
      </c>
      <c r="E108">
        <f t="shared" si="20"/>
        <v>-0.62962962962962965</v>
      </c>
      <c r="F108">
        <f t="shared" si="21"/>
        <v>0.64021164021164034</v>
      </c>
      <c r="H108">
        <f t="shared" si="22"/>
        <v>9</v>
      </c>
      <c r="I108">
        <f t="shared" si="23"/>
        <v>0.64021164021164034</v>
      </c>
      <c r="J108">
        <f t="shared" si="24"/>
        <v>0.84999999999999987</v>
      </c>
    </row>
    <row r="109" spans="1:14">
      <c r="A109">
        <f t="shared" si="17"/>
        <v>10</v>
      </c>
      <c r="B109" s="17">
        <f t="shared" si="16"/>
        <v>21</v>
      </c>
      <c r="C109">
        <f t="shared" si="18"/>
        <v>18.899999999999999</v>
      </c>
      <c r="D109" s="17">
        <f t="shared" si="19"/>
        <v>2.1000000000000014</v>
      </c>
      <c r="E109">
        <f t="shared" si="20"/>
        <v>0.11111111111111119</v>
      </c>
      <c r="F109">
        <f t="shared" si="21"/>
        <v>0.90476190476190488</v>
      </c>
      <c r="H109">
        <f t="shared" si="22"/>
        <v>10</v>
      </c>
      <c r="I109">
        <f t="shared" si="23"/>
        <v>0.90476190476190488</v>
      </c>
      <c r="J109">
        <f t="shared" si="24"/>
        <v>0.94999999999999984</v>
      </c>
    </row>
    <row r="110" spans="1:14">
      <c r="A110" t="s">
        <v>39</v>
      </c>
      <c r="B110" s="17">
        <f>AVERAGE(B100:B109)</f>
        <v>18.899999999999999</v>
      </c>
      <c r="C110">
        <f>AVERAGE(C100:C109)</f>
        <v>18.900000000000002</v>
      </c>
      <c r="D110">
        <f>AVERAGE(C100:C109)</f>
        <v>18.900000000000002</v>
      </c>
      <c r="E110">
        <f>AVERAGE(E100:E109)</f>
        <v>5.8286708792820721E-17</v>
      </c>
      <c r="F110">
        <f>AVERAGE(F100:F109)</f>
        <v>9.9920072216264091E-17</v>
      </c>
      <c r="H110" t="s">
        <v>45</v>
      </c>
      <c r="I110">
        <f>1.001*I109</f>
        <v>0.90566666666666673</v>
      </c>
      <c r="J110">
        <v>1</v>
      </c>
    </row>
    <row r="111" spans="1:14">
      <c r="A111" t="s">
        <v>40</v>
      </c>
      <c r="B111">
        <f>STDEV(B100:B109)</f>
        <v>9.8595695195637791</v>
      </c>
      <c r="C111">
        <f>STDEV(C100:C109)</f>
        <v>3.7448890331484813E-15</v>
      </c>
      <c r="D111">
        <f>STDEV(C100:C109)</f>
        <v>3.7448890331484813E-15</v>
      </c>
      <c r="E111">
        <f>STDEV(E100:E109)</f>
        <v>0.52167034495046438</v>
      </c>
      <c r="F111">
        <f>STDEV(F100:F109)</f>
        <v>0.52167034495046438</v>
      </c>
    </row>
    <row r="112" spans="1:14">
      <c r="H112" t="s">
        <v>43</v>
      </c>
      <c r="K112" t="s">
        <v>48</v>
      </c>
      <c r="M112" s="23" t="s">
        <v>154</v>
      </c>
      <c r="N112" s="23"/>
    </row>
    <row r="113" spans="1:14">
      <c r="B113" s="23" t="str">
        <f t="shared" ref="B113:B123" si="25">D3</f>
        <v>sorghum</v>
      </c>
      <c r="C113" t="str">
        <f>C99</f>
        <v>Y Hats</v>
      </c>
      <c r="D113" t="str">
        <f>D99</f>
        <v>Residuals</v>
      </c>
      <c r="E113" t="str">
        <f>E99</f>
        <v>Res/Yhat</v>
      </c>
      <c r="F113" t="str">
        <f>F99</f>
        <v>S(Res/Yhat)</v>
      </c>
      <c r="H113" t="s">
        <v>44</v>
      </c>
      <c r="I113">
        <f>1.001*I114</f>
        <v>-0.58041176470588229</v>
      </c>
      <c r="J113">
        <v>0</v>
      </c>
      <c r="M113" s="23" t="s">
        <v>69</v>
      </c>
      <c r="N113" s="23">
        <f>C114</f>
        <v>35.700000000000003</v>
      </c>
    </row>
    <row r="114" spans="1:14">
      <c r="A114">
        <f t="shared" ref="A114:A123" si="26">A100</f>
        <v>1</v>
      </c>
      <c r="B114" s="17">
        <f t="shared" si="25"/>
        <v>33</v>
      </c>
      <c r="C114">
        <f t="shared" ref="C114:C123" si="27">$B$124</f>
        <v>35.700000000000003</v>
      </c>
      <c r="D114" s="17">
        <f t="shared" ref="D114:D123" si="28">B114-C114</f>
        <v>-2.7000000000000028</v>
      </c>
      <c r="E114">
        <f t="shared" ref="E114:E123" si="29">D114/C114</f>
        <v>-7.5630252100840414E-2</v>
      </c>
      <c r="F114">
        <f t="shared" ref="F114:F123" si="30">SMALL($E$114:$E$123,A114)</f>
        <v>-0.57983193277310929</v>
      </c>
      <c r="H114">
        <f t="shared" ref="H114:H123" si="31">A114</f>
        <v>1</v>
      </c>
      <c r="I114">
        <f t="shared" ref="I114:I123" si="32">F114</f>
        <v>-0.57983193277310929</v>
      </c>
      <c r="J114" s="24">
        <v>0.05</v>
      </c>
      <c r="M114" s="23" t="s">
        <v>155</v>
      </c>
      <c r="N114" s="23">
        <f>N113*(1+I113)</f>
        <v>14.979300000000004</v>
      </c>
    </row>
    <row r="115" spans="1:14">
      <c r="A115">
        <f t="shared" si="26"/>
        <v>2</v>
      </c>
      <c r="B115" s="17">
        <f t="shared" si="25"/>
        <v>22</v>
      </c>
      <c r="C115">
        <f t="shared" si="27"/>
        <v>35.700000000000003</v>
      </c>
      <c r="D115" s="17">
        <f t="shared" si="28"/>
        <v>-13.700000000000003</v>
      </c>
      <c r="E115">
        <f t="shared" si="29"/>
        <v>-0.38375350140056025</v>
      </c>
      <c r="F115">
        <f t="shared" si="30"/>
        <v>-0.38375350140056025</v>
      </c>
      <c r="H115">
        <f t="shared" si="31"/>
        <v>2</v>
      </c>
      <c r="I115">
        <f t="shared" si="32"/>
        <v>-0.38375350140056025</v>
      </c>
      <c r="J115">
        <f t="shared" ref="J115:J123" si="33">(1/$H$95)+J114</f>
        <v>0.15000000000000002</v>
      </c>
      <c r="M115" s="23" t="s">
        <v>156</v>
      </c>
      <c r="N115" s="23">
        <f>N113*(1+I124)</f>
        <v>71.035299999999992</v>
      </c>
    </row>
    <row r="116" spans="1:14">
      <c r="A116">
        <f t="shared" si="26"/>
        <v>3</v>
      </c>
      <c r="B116" s="17">
        <f t="shared" si="25"/>
        <v>30</v>
      </c>
      <c r="C116">
        <f t="shared" si="27"/>
        <v>35.700000000000003</v>
      </c>
      <c r="D116" s="17">
        <f t="shared" si="28"/>
        <v>-5.7000000000000028</v>
      </c>
      <c r="E116">
        <f t="shared" si="29"/>
        <v>-0.15966386554621856</v>
      </c>
      <c r="F116">
        <f t="shared" si="30"/>
        <v>-0.24369747899159669</v>
      </c>
      <c r="H116">
        <f t="shared" si="31"/>
        <v>3</v>
      </c>
      <c r="I116">
        <f t="shared" si="32"/>
        <v>-0.24369747899159669</v>
      </c>
      <c r="J116">
        <f t="shared" si="33"/>
        <v>0.25</v>
      </c>
    </row>
    <row r="117" spans="1:14">
      <c r="A117">
        <f t="shared" si="26"/>
        <v>4</v>
      </c>
      <c r="B117" s="17">
        <f t="shared" si="25"/>
        <v>43</v>
      </c>
      <c r="C117">
        <f t="shared" si="27"/>
        <v>35.700000000000003</v>
      </c>
      <c r="D117" s="17">
        <f t="shared" si="28"/>
        <v>7.2999999999999972</v>
      </c>
      <c r="E117">
        <f t="shared" si="29"/>
        <v>0.20448179271708675</v>
      </c>
      <c r="F117">
        <f t="shared" si="30"/>
        <v>-0.18767507002801126</v>
      </c>
      <c r="H117">
        <f t="shared" si="31"/>
        <v>4</v>
      </c>
      <c r="I117">
        <f t="shared" si="32"/>
        <v>-0.18767507002801126</v>
      </c>
      <c r="J117">
        <f t="shared" si="33"/>
        <v>0.35</v>
      </c>
    </row>
    <row r="118" spans="1:14">
      <c r="A118">
        <f t="shared" si="26"/>
        <v>5</v>
      </c>
      <c r="B118" s="17">
        <f t="shared" si="25"/>
        <v>27</v>
      </c>
      <c r="C118">
        <f t="shared" si="27"/>
        <v>35.700000000000003</v>
      </c>
      <c r="D118" s="17">
        <f t="shared" si="28"/>
        <v>-8.7000000000000028</v>
      </c>
      <c r="E118">
        <f t="shared" si="29"/>
        <v>-0.24369747899159669</v>
      </c>
      <c r="F118">
        <f t="shared" si="30"/>
        <v>-0.15966386554621856</v>
      </c>
      <c r="H118">
        <f t="shared" si="31"/>
        <v>5</v>
      </c>
      <c r="I118">
        <f t="shared" si="32"/>
        <v>-0.15966386554621856</v>
      </c>
      <c r="J118">
        <f t="shared" si="33"/>
        <v>0.44999999999999996</v>
      </c>
    </row>
    <row r="119" spans="1:14">
      <c r="A119">
        <f t="shared" si="26"/>
        <v>6</v>
      </c>
      <c r="B119" s="17">
        <f t="shared" si="25"/>
        <v>47</v>
      </c>
      <c r="C119">
        <f t="shared" si="27"/>
        <v>35.700000000000003</v>
      </c>
      <c r="D119" s="17">
        <f t="shared" si="28"/>
        <v>11.299999999999997</v>
      </c>
      <c r="E119">
        <f t="shared" si="29"/>
        <v>0.31652661064425758</v>
      </c>
      <c r="F119">
        <f t="shared" si="30"/>
        <v>-7.5630252100840414E-2</v>
      </c>
      <c r="H119">
        <f t="shared" si="31"/>
        <v>6</v>
      </c>
      <c r="I119">
        <f t="shared" si="32"/>
        <v>-7.5630252100840414E-2</v>
      </c>
      <c r="J119">
        <f t="shared" si="33"/>
        <v>0.54999999999999993</v>
      </c>
    </row>
    <row r="120" spans="1:14">
      <c r="A120">
        <f t="shared" si="26"/>
        <v>7</v>
      </c>
      <c r="B120" s="17">
        <f t="shared" si="25"/>
        <v>71</v>
      </c>
      <c r="C120">
        <f t="shared" si="27"/>
        <v>35.700000000000003</v>
      </c>
      <c r="D120" s="17">
        <f t="shared" si="28"/>
        <v>35.299999999999997</v>
      </c>
      <c r="E120">
        <f t="shared" si="29"/>
        <v>0.98879551820728273</v>
      </c>
      <c r="F120">
        <f t="shared" si="30"/>
        <v>0.12044817927170859</v>
      </c>
      <c r="H120">
        <f t="shared" si="31"/>
        <v>7</v>
      </c>
      <c r="I120">
        <f t="shared" si="32"/>
        <v>0.12044817927170859</v>
      </c>
      <c r="J120">
        <f t="shared" si="33"/>
        <v>0.64999999999999991</v>
      </c>
    </row>
    <row r="121" spans="1:14">
      <c r="A121">
        <f t="shared" si="26"/>
        <v>8</v>
      </c>
      <c r="B121" s="17">
        <f t="shared" si="25"/>
        <v>40</v>
      </c>
      <c r="C121">
        <f t="shared" si="27"/>
        <v>35.700000000000003</v>
      </c>
      <c r="D121" s="17">
        <f t="shared" si="28"/>
        <v>4.2999999999999972</v>
      </c>
      <c r="E121">
        <f t="shared" si="29"/>
        <v>0.12044817927170859</v>
      </c>
      <c r="F121">
        <f t="shared" si="30"/>
        <v>0.20448179271708675</v>
      </c>
      <c r="H121">
        <f t="shared" si="31"/>
        <v>8</v>
      </c>
      <c r="I121">
        <f t="shared" si="32"/>
        <v>0.20448179271708675</v>
      </c>
      <c r="J121">
        <f t="shared" si="33"/>
        <v>0.74999999999999989</v>
      </c>
    </row>
    <row r="122" spans="1:14">
      <c r="A122">
        <f t="shared" si="26"/>
        <v>9</v>
      </c>
      <c r="B122" s="17">
        <f t="shared" si="25"/>
        <v>15</v>
      </c>
      <c r="C122">
        <f t="shared" si="27"/>
        <v>35.700000000000003</v>
      </c>
      <c r="D122" s="17">
        <f t="shared" si="28"/>
        <v>-20.700000000000003</v>
      </c>
      <c r="E122">
        <f t="shared" si="29"/>
        <v>-0.57983193277310929</v>
      </c>
      <c r="F122">
        <f t="shared" si="30"/>
        <v>0.31652661064425758</v>
      </c>
      <c r="H122">
        <f t="shared" si="31"/>
        <v>9</v>
      </c>
      <c r="I122">
        <f t="shared" si="32"/>
        <v>0.31652661064425758</v>
      </c>
      <c r="J122">
        <f t="shared" si="33"/>
        <v>0.84999999999999987</v>
      </c>
    </row>
    <row r="123" spans="1:14">
      <c r="A123">
        <f t="shared" si="26"/>
        <v>10</v>
      </c>
      <c r="B123" s="17">
        <f t="shared" si="25"/>
        <v>29</v>
      </c>
      <c r="C123">
        <f t="shared" si="27"/>
        <v>35.700000000000003</v>
      </c>
      <c r="D123" s="17">
        <f t="shared" si="28"/>
        <v>-6.7000000000000028</v>
      </c>
      <c r="E123">
        <f t="shared" si="29"/>
        <v>-0.18767507002801126</v>
      </c>
      <c r="F123">
        <f t="shared" si="30"/>
        <v>0.98879551820728273</v>
      </c>
      <c r="H123">
        <f t="shared" si="31"/>
        <v>10</v>
      </c>
      <c r="I123">
        <f t="shared" si="32"/>
        <v>0.98879551820728273</v>
      </c>
      <c r="J123">
        <f t="shared" si="33"/>
        <v>0.94999999999999984</v>
      </c>
    </row>
    <row r="124" spans="1:14">
      <c r="A124" t="s">
        <v>39</v>
      </c>
      <c r="B124" s="17">
        <f>AVERAGE(B114:B123)</f>
        <v>35.700000000000003</v>
      </c>
      <c r="C124">
        <f>AVERAGE(C114:C123)</f>
        <v>35.699999999999996</v>
      </c>
      <c r="D124" s="17">
        <f>AVERAGE(D114:D123)</f>
        <v>-2.8421709430404009E-15</v>
      </c>
      <c r="E124">
        <f>AVERAGE(E114:E123)</f>
        <v>-7.2164496600635178E-17</v>
      </c>
      <c r="F124">
        <f>AVERAGE(F114:F123)</f>
        <v>-7.7715611723760953E-17</v>
      </c>
      <c r="H124" t="s">
        <v>45</v>
      </c>
      <c r="I124">
        <f>1.001*I123</f>
        <v>0.98978431372548992</v>
      </c>
      <c r="J124">
        <v>1</v>
      </c>
    </row>
    <row r="125" spans="1:14">
      <c r="A125" t="s">
        <v>40</v>
      </c>
      <c r="B125">
        <f>STDEV(B114:B123)</f>
        <v>15.713051899615174</v>
      </c>
      <c r="C125">
        <f>STDEV(C114:C123)</f>
        <v>7.4897780662969626E-15</v>
      </c>
      <c r="D125">
        <f>STDEV(D114:D123)</f>
        <v>15.713051899615172</v>
      </c>
      <c r="E125">
        <f>STDEV(E114:E123)</f>
        <v>0.44014150979314204</v>
      </c>
      <c r="F125">
        <f>STDEV(F114:F123)</f>
        <v>0.44014150979314204</v>
      </c>
    </row>
    <row r="127" spans="1:14">
      <c r="A127" s="23" t="s">
        <v>49</v>
      </c>
    </row>
    <row r="128" spans="1:14">
      <c r="A128" t="s">
        <v>50</v>
      </c>
      <c r="B128" t="s">
        <v>51</v>
      </c>
      <c r="C128" t="s">
        <v>52</v>
      </c>
      <c r="D128" t="s">
        <v>53</v>
      </c>
    </row>
    <row r="129" spans="1:24">
      <c r="A129">
        <f t="shared" ref="A129:A138" si="34">A114</f>
        <v>1</v>
      </c>
      <c r="B129" s="4">
        <f t="shared" ref="B129:B138" si="35">D86</f>
        <v>134.30000000000001</v>
      </c>
      <c r="C129" s="4">
        <f t="shared" ref="C129:C138" si="36">D100</f>
        <v>-12.899999999999999</v>
      </c>
      <c r="D129" s="4">
        <f t="shared" ref="D129:D138" si="37">D114</f>
        <v>-2.7000000000000028</v>
      </c>
    </row>
    <row r="130" spans="1:24">
      <c r="A130">
        <f t="shared" si="34"/>
        <v>2</v>
      </c>
      <c r="B130" s="4">
        <f t="shared" si="35"/>
        <v>193.3</v>
      </c>
      <c r="C130" s="4">
        <f t="shared" si="36"/>
        <v>12.100000000000001</v>
      </c>
      <c r="D130" s="4">
        <f t="shared" si="37"/>
        <v>-13.700000000000003</v>
      </c>
    </row>
    <row r="131" spans="1:24">
      <c r="A131">
        <f t="shared" si="34"/>
        <v>3</v>
      </c>
      <c r="B131" s="4">
        <f t="shared" si="35"/>
        <v>-74.699999999999989</v>
      </c>
      <c r="C131" s="4">
        <f t="shared" si="36"/>
        <v>17.100000000000001</v>
      </c>
      <c r="D131" s="4">
        <f t="shared" si="37"/>
        <v>-5.7000000000000028</v>
      </c>
    </row>
    <row r="132" spans="1:24">
      <c r="A132">
        <f t="shared" si="34"/>
        <v>4</v>
      </c>
      <c r="B132" s="4">
        <f t="shared" si="35"/>
        <v>-29.699999999999989</v>
      </c>
      <c r="C132" s="4">
        <f t="shared" si="36"/>
        <v>-6.8999999999999986</v>
      </c>
      <c r="D132" s="4">
        <f t="shared" si="37"/>
        <v>7.2999999999999972</v>
      </c>
      <c r="G132" s="23" t="s">
        <v>54</v>
      </c>
    </row>
    <row r="133" spans="1:24">
      <c r="A133">
        <f t="shared" si="34"/>
        <v>5</v>
      </c>
      <c r="B133" s="4">
        <f t="shared" si="35"/>
        <v>105.30000000000001</v>
      </c>
      <c r="C133" s="4">
        <f t="shared" si="36"/>
        <v>7.1000000000000014</v>
      </c>
      <c r="D133" s="4">
        <f t="shared" si="37"/>
        <v>-8.7000000000000028</v>
      </c>
      <c r="H133" t="s">
        <v>51</v>
      </c>
      <c r="I133" t="s">
        <v>52</v>
      </c>
      <c r="J133" t="s">
        <v>53</v>
      </c>
      <c r="K133" t="str">
        <f>H133</f>
        <v>Cotton</v>
      </c>
      <c r="L133" t="str">
        <f>I133</f>
        <v>Wheat</v>
      </c>
      <c r="M133" t="str">
        <f>J133</f>
        <v>Sorghum</v>
      </c>
    </row>
    <row r="134" spans="1:24">
      <c r="A134">
        <f t="shared" si="34"/>
        <v>6</v>
      </c>
      <c r="B134" s="4">
        <f t="shared" si="35"/>
        <v>-156.69999999999999</v>
      </c>
      <c r="C134" s="4">
        <f t="shared" si="36"/>
        <v>-4.8999999999999986</v>
      </c>
      <c r="D134" s="4">
        <f t="shared" si="37"/>
        <v>11.299999999999997</v>
      </c>
      <c r="G134" t="s">
        <v>51</v>
      </c>
      <c r="H134">
        <f>CORREL($B$129:$B$138,B$129:B$138)</f>
        <v>1.0000000000000002</v>
      </c>
      <c r="I134">
        <f>CORREL($B$129:$B$138,C$129:C$138)</f>
        <v>8.1703425051148804E-2</v>
      </c>
      <c r="J134">
        <f>CORREL($B$129:$B$138,D$129:D$138)</f>
        <v>-0.22964944885663982</v>
      </c>
      <c r="K134">
        <f>CORREL(B130:B138,B129:B137)</f>
        <v>-6.9396855194171547E-2</v>
      </c>
    </row>
    <row r="135" spans="1:24">
      <c r="A135">
        <f t="shared" si="34"/>
        <v>7</v>
      </c>
      <c r="B135" s="4">
        <f t="shared" si="35"/>
        <v>22.300000000000011</v>
      </c>
      <c r="C135" s="4">
        <f t="shared" si="36"/>
        <v>-0.89999999999999858</v>
      </c>
      <c r="D135" s="4">
        <f t="shared" si="37"/>
        <v>35.299999999999997</v>
      </c>
      <c r="G135" t="s">
        <v>52</v>
      </c>
      <c r="I135">
        <f>CORREL($C$129:$C$138,C$129:C$138)</f>
        <v>1.0000000000000002</v>
      </c>
      <c r="J135">
        <f>CORREL($C$129:$C$138,D$129:D$138)</f>
        <v>-0.14293753580843541</v>
      </c>
      <c r="L135">
        <f>CORREL(C130:C138,C129:C137)</f>
        <v>-0.20263547591331915</v>
      </c>
    </row>
    <row r="136" spans="1:24">
      <c r="A136">
        <f t="shared" si="34"/>
        <v>8</v>
      </c>
      <c r="B136" s="4">
        <f t="shared" si="35"/>
        <v>-41.699999999999989</v>
      </c>
      <c r="C136" s="4">
        <f t="shared" si="36"/>
        <v>-0.89999999999999858</v>
      </c>
      <c r="D136" s="4">
        <f t="shared" si="37"/>
        <v>4.2999999999999972</v>
      </c>
      <c r="G136" t="s">
        <v>53</v>
      </c>
      <c r="J136">
        <v>1</v>
      </c>
      <c r="M136">
        <f>CORREL(D130:D138,D129:D137)</f>
        <v>0.23255690645558319</v>
      </c>
    </row>
    <row r="137" spans="1:24">
      <c r="A137">
        <f t="shared" si="34"/>
        <v>9</v>
      </c>
      <c r="B137" s="4">
        <f t="shared" si="35"/>
        <v>-6.6999999999999886</v>
      </c>
      <c r="C137" s="4">
        <f t="shared" si="36"/>
        <v>-11.899999999999999</v>
      </c>
      <c r="D137" s="4">
        <f t="shared" si="37"/>
        <v>-20.700000000000003</v>
      </c>
    </row>
    <row r="138" spans="1:24">
      <c r="A138">
        <f t="shared" si="34"/>
        <v>10</v>
      </c>
      <c r="B138" s="4">
        <f t="shared" si="35"/>
        <v>-145.69999999999999</v>
      </c>
      <c r="C138" s="4">
        <f t="shared" si="36"/>
        <v>2.1000000000000014</v>
      </c>
      <c r="D138" s="4">
        <f t="shared" si="37"/>
        <v>-6.7000000000000028</v>
      </c>
    </row>
    <row r="139" spans="1:24" ht="13.5" thickBot="1"/>
    <row r="140" spans="1:24">
      <c r="A140" s="25" t="s">
        <v>63</v>
      </c>
      <c r="B140" s="6"/>
      <c r="C140" s="6"/>
      <c r="D140" s="6"/>
      <c r="E140" s="6"/>
      <c r="F140" s="6"/>
      <c r="G140" s="6"/>
      <c r="H140" s="9"/>
      <c r="I140" s="28" t="str">
        <f>G132</f>
        <v>Correlation Matrix</v>
      </c>
      <c r="J140" s="9"/>
    </row>
    <row r="141" spans="1:24" ht="13.5" thickBot="1">
      <c r="A141" s="8"/>
      <c r="B141" s="9" t="s">
        <v>51</v>
      </c>
      <c r="C141" s="9" t="s">
        <v>64</v>
      </c>
      <c r="D141" s="9" t="s">
        <v>52</v>
      </c>
      <c r="E141" s="9" t="s">
        <v>53</v>
      </c>
      <c r="F141" s="9" t="s">
        <v>65</v>
      </c>
      <c r="G141" s="9"/>
      <c r="H141" s="9"/>
      <c r="I141" s="9" t="str">
        <f t="shared" ref="I141:K142" si="38">H133</f>
        <v>Cotton</v>
      </c>
      <c r="J141" s="9" t="str">
        <f t="shared" si="38"/>
        <v>Wheat</v>
      </c>
      <c r="K141" t="str">
        <f t="shared" si="38"/>
        <v>Sorghum</v>
      </c>
      <c r="X141" t="s">
        <v>279</v>
      </c>
    </row>
    <row r="142" spans="1:24">
      <c r="A142" s="8" t="str">
        <f t="shared" ref="A142:A153" si="39">H113</f>
        <v>Pmin</v>
      </c>
      <c r="B142" s="9">
        <f t="shared" ref="B142:B153" si="40">I85</f>
        <v>-0.97608400746733037</v>
      </c>
      <c r="C142" s="9">
        <f t="shared" ref="C142:C153" si="41">B142</f>
        <v>-0.97608400746733037</v>
      </c>
      <c r="D142" s="9">
        <f t="shared" ref="D142:D153" si="42">I99</f>
        <v>-0.68322222222222218</v>
      </c>
      <c r="E142" s="9">
        <f t="shared" ref="E142:E153" si="43">I113</f>
        <v>-0.58041176470588229</v>
      </c>
      <c r="F142" s="9">
        <f t="shared" ref="F142:F153" si="44">J113</f>
        <v>0</v>
      </c>
      <c r="G142" s="9"/>
      <c r="H142" s="9">
        <v>1</v>
      </c>
      <c r="I142" s="5">
        <f t="shared" si="38"/>
        <v>1.0000000000000002</v>
      </c>
      <c r="J142" s="6">
        <f t="shared" si="38"/>
        <v>8.1703425051148804E-2</v>
      </c>
      <c r="K142" s="37">
        <f t="shared" si="38"/>
        <v>-0.22964944885663982</v>
      </c>
      <c r="L142" s="6">
        <f>K134</f>
        <v>-6.9396855194171547E-2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>
        <f ca="1">_xll.NORM()</f>
        <v>1.6382028178899932</v>
      </c>
    </row>
    <row r="143" spans="1:24">
      <c r="A143" s="8">
        <f t="shared" si="39"/>
        <v>1</v>
      </c>
      <c r="B143" s="9">
        <f t="shared" si="40"/>
        <v>-0.97510889856876171</v>
      </c>
      <c r="C143" s="9">
        <f t="shared" si="41"/>
        <v>-0.97510889856876171</v>
      </c>
      <c r="D143" s="9">
        <f t="shared" si="42"/>
        <v>-0.68253968253968256</v>
      </c>
      <c r="E143" s="9">
        <f t="shared" si="43"/>
        <v>-0.57983193277310929</v>
      </c>
      <c r="F143" s="76">
        <f t="shared" si="44"/>
        <v>0.05</v>
      </c>
      <c r="G143" s="9"/>
      <c r="H143" s="9">
        <v>2</v>
      </c>
      <c r="I143" s="8"/>
      <c r="J143" s="9">
        <f>I135</f>
        <v>1.0000000000000002</v>
      </c>
      <c r="K143" s="33">
        <f>J135</f>
        <v>-0.14293753580843541</v>
      </c>
      <c r="L143" s="9"/>
      <c r="M143" s="9">
        <f>L135</f>
        <v>-0.20263547591331915</v>
      </c>
      <c r="N143" s="9"/>
      <c r="O143" s="9"/>
      <c r="P143" s="9"/>
      <c r="Q143" s="9"/>
      <c r="R143" s="9"/>
      <c r="S143" s="9"/>
      <c r="T143" s="9"/>
      <c r="U143" s="9"/>
      <c r="V143" s="9"/>
      <c r="W143" s="12"/>
      <c r="X143">
        <f ca="1">_xll.NORM()</f>
        <v>-0.25944996455801927</v>
      </c>
    </row>
    <row r="144" spans="1:24">
      <c r="A144" s="8">
        <f t="shared" si="39"/>
        <v>2</v>
      </c>
      <c r="B144" s="9">
        <f t="shared" si="40"/>
        <v>-0.90665836963285629</v>
      </c>
      <c r="C144" s="9">
        <f t="shared" si="41"/>
        <v>-0.90665836963285629</v>
      </c>
      <c r="D144" s="9">
        <f t="shared" si="42"/>
        <v>-0.62962962962962965</v>
      </c>
      <c r="E144" s="9">
        <f t="shared" si="43"/>
        <v>-0.38375350140056025</v>
      </c>
      <c r="F144" s="9">
        <f t="shared" si="44"/>
        <v>0.15000000000000002</v>
      </c>
      <c r="G144" s="9"/>
      <c r="H144" s="9">
        <v>3</v>
      </c>
      <c r="I144" s="38"/>
      <c r="J144" s="35"/>
      <c r="K144" s="36">
        <f>J136</f>
        <v>1</v>
      </c>
      <c r="L144" s="9"/>
      <c r="M144" s="9"/>
      <c r="N144" s="9">
        <f>M136</f>
        <v>0.23255690645558319</v>
      </c>
      <c r="O144" s="9"/>
      <c r="P144" s="9"/>
      <c r="Q144" s="9"/>
      <c r="R144" s="9"/>
      <c r="S144" s="9"/>
      <c r="T144" s="9"/>
      <c r="U144" s="9"/>
      <c r="V144" s="9"/>
      <c r="W144" s="12"/>
      <c r="X144">
        <f ca="1">_xll.NORM()</f>
        <v>-1.255353151552046</v>
      </c>
    </row>
    <row r="145" spans="1:24">
      <c r="A145" s="8">
        <f t="shared" si="39"/>
        <v>3</v>
      </c>
      <c r="B145" s="9">
        <f t="shared" si="40"/>
        <v>-0.46484131922837579</v>
      </c>
      <c r="C145" s="9">
        <f t="shared" si="41"/>
        <v>-0.46484131922837579</v>
      </c>
      <c r="D145" s="9">
        <f t="shared" si="42"/>
        <v>-0.36507936507936506</v>
      </c>
      <c r="E145" s="9">
        <f t="shared" si="43"/>
        <v>-0.24369747899159669</v>
      </c>
      <c r="F145" s="9">
        <f t="shared" si="44"/>
        <v>0.25</v>
      </c>
      <c r="G145" s="9"/>
      <c r="H145" s="28">
        <v>4</v>
      </c>
      <c r="I145" s="8"/>
      <c r="J145" s="9"/>
      <c r="K145" s="9"/>
      <c r="L145" s="29">
        <f>I142</f>
        <v>1.0000000000000002</v>
      </c>
      <c r="M145" s="30">
        <f>J142</f>
        <v>8.1703425051148804E-2</v>
      </c>
      <c r="N145" s="31">
        <f>K142</f>
        <v>-0.22964944885663982</v>
      </c>
      <c r="O145" s="9">
        <f>K134</f>
        <v>-6.9396855194171547E-2</v>
      </c>
      <c r="P145" s="9"/>
      <c r="Q145" s="9"/>
      <c r="R145" s="9"/>
      <c r="S145" s="9"/>
      <c r="T145" s="9"/>
      <c r="U145" s="9"/>
      <c r="V145" s="9"/>
      <c r="W145" s="12"/>
      <c r="X145">
        <f ca="1">_xll.NORM()</f>
        <v>2.1186666172854349</v>
      </c>
    </row>
    <row r="146" spans="1:24">
      <c r="A146" s="8">
        <f t="shared" si="39"/>
        <v>4</v>
      </c>
      <c r="B146" s="9">
        <f t="shared" si="40"/>
        <v>-0.25948973242065954</v>
      </c>
      <c r="C146" s="9">
        <f t="shared" si="41"/>
        <v>-0.25948973242065954</v>
      </c>
      <c r="D146" s="9">
        <f t="shared" si="42"/>
        <v>-0.25925925925925919</v>
      </c>
      <c r="E146" s="9">
        <f t="shared" si="43"/>
        <v>-0.18767507002801126</v>
      </c>
      <c r="F146" s="9">
        <f t="shared" si="44"/>
        <v>0.35</v>
      </c>
      <c r="G146" s="9"/>
      <c r="H146" s="28">
        <v>5</v>
      </c>
      <c r="I146" s="8"/>
      <c r="J146" s="9"/>
      <c r="K146" s="9"/>
      <c r="L146" s="32"/>
      <c r="M146" s="9">
        <f>J143</f>
        <v>1.0000000000000002</v>
      </c>
      <c r="N146" s="33">
        <f>K143</f>
        <v>-0.14293753580843541</v>
      </c>
      <c r="O146" s="9"/>
      <c r="P146" s="9">
        <f>L135</f>
        <v>-0.20263547591331915</v>
      </c>
      <c r="Q146" s="9"/>
      <c r="R146" s="9"/>
      <c r="S146" s="9"/>
      <c r="T146" s="9"/>
      <c r="U146" s="9"/>
      <c r="V146" s="9"/>
      <c r="W146" s="12"/>
      <c r="X146">
        <f ca="1">_xll.NORM()</f>
        <v>-0.186035403825346</v>
      </c>
    </row>
    <row r="147" spans="1:24">
      <c r="A147" s="8">
        <f t="shared" si="39"/>
        <v>5</v>
      </c>
      <c r="B147" s="9">
        <f t="shared" si="40"/>
        <v>-0.18481642812694457</v>
      </c>
      <c r="C147" s="9">
        <f t="shared" si="41"/>
        <v>-0.18481642812694457</v>
      </c>
      <c r="D147" s="9">
        <f t="shared" si="42"/>
        <v>-4.7619047619047547E-2</v>
      </c>
      <c r="E147" s="9">
        <f t="shared" si="43"/>
        <v>-0.15966386554621856</v>
      </c>
      <c r="F147" s="9">
        <f t="shared" si="44"/>
        <v>0.44999999999999996</v>
      </c>
      <c r="G147" s="9"/>
      <c r="H147" s="28">
        <v>6</v>
      </c>
      <c r="I147" s="8"/>
      <c r="J147" s="9"/>
      <c r="K147" s="9"/>
      <c r="L147" s="34"/>
      <c r="M147" s="35"/>
      <c r="N147" s="36">
        <f>K144</f>
        <v>1</v>
      </c>
      <c r="O147" s="9"/>
      <c r="P147" s="9"/>
      <c r="Q147" s="9">
        <f>M136</f>
        <v>0.23255690645558319</v>
      </c>
      <c r="R147" s="9"/>
      <c r="S147" s="9"/>
      <c r="T147" s="9"/>
      <c r="U147" s="9"/>
      <c r="V147" s="9"/>
      <c r="W147" s="12"/>
      <c r="X147">
        <f ca="1">_xll.NORM()</f>
        <v>2.2184056471385993E-3</v>
      </c>
    </row>
    <row r="148" spans="1:24">
      <c r="A148" s="8">
        <f t="shared" si="39"/>
        <v>6</v>
      </c>
      <c r="B148" s="9">
        <f t="shared" si="40"/>
        <v>-4.1692594897324138E-2</v>
      </c>
      <c r="C148" s="9">
        <f t="shared" si="41"/>
        <v>-4.1692594897324138E-2</v>
      </c>
      <c r="D148" s="9">
        <f t="shared" si="42"/>
        <v>-4.7619047619047547E-2</v>
      </c>
      <c r="E148" s="9">
        <f t="shared" si="43"/>
        <v>-7.5630252100840414E-2</v>
      </c>
      <c r="F148" s="9">
        <f t="shared" si="44"/>
        <v>0.54999999999999993</v>
      </c>
      <c r="G148" s="9"/>
      <c r="H148" s="9">
        <v>7</v>
      </c>
      <c r="I148" s="8"/>
      <c r="J148" s="9"/>
      <c r="K148" s="9"/>
      <c r="L148" s="9"/>
      <c r="M148" s="9"/>
      <c r="N148" s="9"/>
      <c r="O148" s="29">
        <f>L145</f>
        <v>1.0000000000000002</v>
      </c>
      <c r="P148" s="30">
        <f>M145</f>
        <v>8.1703425051148804E-2</v>
      </c>
      <c r="Q148" s="31">
        <f>N145</f>
        <v>-0.22964944885663982</v>
      </c>
      <c r="R148" s="9">
        <f>K134</f>
        <v>-6.9396855194171547E-2</v>
      </c>
      <c r="S148" s="9"/>
      <c r="T148" s="9"/>
      <c r="U148" s="9"/>
      <c r="V148" s="9"/>
      <c r="W148" s="12"/>
      <c r="X148">
        <f ca="1">_xll.NORM()</f>
        <v>0.42056568615393086</v>
      </c>
    </row>
    <row r="149" spans="1:24">
      <c r="A149" s="8">
        <f t="shared" si="39"/>
        <v>7</v>
      </c>
      <c r="B149" s="9">
        <f t="shared" si="40"/>
        <v>0.13876789047915378</v>
      </c>
      <c r="C149" s="9">
        <f t="shared" si="41"/>
        <v>0.13876789047915378</v>
      </c>
      <c r="D149" s="9">
        <f t="shared" si="42"/>
        <v>0.11111111111111119</v>
      </c>
      <c r="E149" s="9">
        <f t="shared" si="43"/>
        <v>0.12044817927170859</v>
      </c>
      <c r="F149" s="9">
        <f t="shared" si="44"/>
        <v>0.64999999999999991</v>
      </c>
      <c r="G149" s="9"/>
      <c r="H149" s="9">
        <v>8</v>
      </c>
      <c r="I149" s="8"/>
      <c r="J149" s="9"/>
      <c r="K149" s="9"/>
      <c r="L149" s="9"/>
      <c r="M149" s="9"/>
      <c r="N149" s="9"/>
      <c r="O149" s="32"/>
      <c r="P149" s="9">
        <f>M146</f>
        <v>1.0000000000000002</v>
      </c>
      <c r="Q149" s="33">
        <f>N146</f>
        <v>-0.14293753580843541</v>
      </c>
      <c r="R149" s="9"/>
      <c r="S149" s="9">
        <f>L135</f>
        <v>-0.20263547591331915</v>
      </c>
      <c r="T149" s="9"/>
      <c r="U149" s="9"/>
      <c r="V149" s="9"/>
      <c r="W149" s="12"/>
      <c r="X149">
        <f ca="1">_xll.NORM()</f>
        <v>-0.60713367486288217</v>
      </c>
    </row>
    <row r="150" spans="1:24">
      <c r="A150" s="8">
        <f t="shared" si="39"/>
        <v>8</v>
      </c>
      <c r="B150" s="9">
        <f t="shared" si="40"/>
        <v>0.65525824517734921</v>
      </c>
      <c r="C150" s="9">
        <f t="shared" si="41"/>
        <v>0.65525824517734921</v>
      </c>
      <c r="D150" s="9">
        <f t="shared" si="42"/>
        <v>0.37566137566137575</v>
      </c>
      <c r="E150" s="9">
        <f t="shared" si="43"/>
        <v>0.20448179271708675</v>
      </c>
      <c r="F150" s="9">
        <f t="shared" si="44"/>
        <v>0.74999999999999989</v>
      </c>
      <c r="G150" s="9"/>
      <c r="H150" s="9">
        <v>9</v>
      </c>
      <c r="I150" s="8"/>
      <c r="J150" s="9"/>
      <c r="K150" s="9"/>
      <c r="L150" s="9"/>
      <c r="M150" s="9"/>
      <c r="N150" s="9"/>
      <c r="O150" s="34"/>
      <c r="P150" s="35"/>
      <c r="Q150" s="36">
        <f>N147</f>
        <v>1</v>
      </c>
      <c r="R150" s="9"/>
      <c r="S150" s="9"/>
      <c r="T150" s="9">
        <f>M136</f>
        <v>0.23255690645558319</v>
      </c>
      <c r="U150" s="9"/>
      <c r="V150" s="9"/>
      <c r="W150" s="12"/>
      <c r="X150">
        <f ca="1">_xll.NORM()</f>
        <v>4.2621290879673701E-2</v>
      </c>
    </row>
    <row r="151" spans="1:24">
      <c r="A151" s="8">
        <f t="shared" si="39"/>
        <v>9</v>
      </c>
      <c r="B151" s="9">
        <f t="shared" si="40"/>
        <v>0.83571873055382717</v>
      </c>
      <c r="C151" s="9">
        <f t="shared" si="41"/>
        <v>0.83571873055382717</v>
      </c>
      <c r="D151" s="9">
        <f t="shared" si="42"/>
        <v>0.64021164021164034</v>
      </c>
      <c r="E151" s="9">
        <f t="shared" si="43"/>
        <v>0.31652661064425758</v>
      </c>
      <c r="F151" s="9">
        <f t="shared" si="44"/>
        <v>0.84999999999999987</v>
      </c>
      <c r="G151" s="9"/>
      <c r="H151" s="28">
        <v>10</v>
      </c>
      <c r="I151" s="8"/>
      <c r="J151" s="9"/>
      <c r="K151" s="9"/>
      <c r="L151" s="9"/>
      <c r="M151" s="9"/>
      <c r="N151" s="9"/>
      <c r="O151" s="9"/>
      <c r="P151" s="9"/>
      <c r="Q151" s="9"/>
      <c r="R151" s="29">
        <f>O148</f>
        <v>1.0000000000000002</v>
      </c>
      <c r="S151" s="30">
        <f>P148</f>
        <v>8.1703425051148804E-2</v>
      </c>
      <c r="T151" s="31">
        <f>Q148</f>
        <v>-0.22964944885663982</v>
      </c>
      <c r="U151" s="9">
        <f>K134</f>
        <v>-6.9396855194171547E-2</v>
      </c>
      <c r="V151" s="9"/>
      <c r="W151" s="12"/>
      <c r="X151">
        <f ca="1">_xll.NORM()</f>
        <v>0.99206257912284868</v>
      </c>
    </row>
    <row r="152" spans="1:24">
      <c r="A152" s="8">
        <f t="shared" si="39"/>
        <v>10</v>
      </c>
      <c r="B152" s="9">
        <f t="shared" si="40"/>
        <v>1.2028624766645926</v>
      </c>
      <c r="C152" s="9">
        <f t="shared" si="41"/>
        <v>1.2028624766645926</v>
      </c>
      <c r="D152" s="9">
        <f t="shared" si="42"/>
        <v>0.90476190476190488</v>
      </c>
      <c r="E152" s="9">
        <f t="shared" si="43"/>
        <v>0.98879551820728273</v>
      </c>
      <c r="F152" s="9">
        <f t="shared" si="44"/>
        <v>0.94999999999999984</v>
      </c>
      <c r="G152" s="9"/>
      <c r="H152" s="28">
        <v>11</v>
      </c>
      <c r="I152" s="8"/>
      <c r="J152" s="9"/>
      <c r="K152" s="9"/>
      <c r="L152" s="9"/>
      <c r="M152" s="9"/>
      <c r="N152" s="9"/>
      <c r="O152" s="9"/>
      <c r="P152" s="9"/>
      <c r="Q152" s="9"/>
      <c r="R152" s="32"/>
      <c r="S152" s="9">
        <f>P149</f>
        <v>1.0000000000000002</v>
      </c>
      <c r="T152" s="33">
        <f>Q149</f>
        <v>-0.14293753580843541</v>
      </c>
      <c r="U152" s="9"/>
      <c r="V152" s="9">
        <f>L135</f>
        <v>-0.20263547591331915</v>
      </c>
      <c r="W152" s="12"/>
      <c r="X152">
        <f ca="1">_xll.NORM()</f>
        <v>-1.8106798265749455</v>
      </c>
    </row>
    <row r="153" spans="1:24" ht="13.5" thickBot="1">
      <c r="A153" s="14" t="str">
        <f t="shared" si="39"/>
        <v>Pmax</v>
      </c>
      <c r="B153" s="15">
        <f t="shared" si="40"/>
        <v>1.204065339141257</v>
      </c>
      <c r="C153" s="15">
        <f t="shared" si="41"/>
        <v>1.204065339141257</v>
      </c>
      <c r="D153" s="15">
        <f t="shared" si="42"/>
        <v>0.90566666666666673</v>
      </c>
      <c r="E153" s="15">
        <f t="shared" si="43"/>
        <v>0.98978431372548992</v>
      </c>
      <c r="F153" s="15">
        <f t="shared" si="44"/>
        <v>1</v>
      </c>
      <c r="G153" s="15"/>
      <c r="H153" s="41">
        <v>12</v>
      </c>
      <c r="I153" s="8"/>
      <c r="J153" s="9"/>
      <c r="K153" s="9"/>
      <c r="L153" s="9"/>
      <c r="M153" s="9"/>
      <c r="N153" s="9"/>
      <c r="O153" s="9"/>
      <c r="P153" s="9"/>
      <c r="Q153" s="9"/>
      <c r="R153" s="34"/>
      <c r="S153" s="35"/>
      <c r="T153" s="36">
        <f>Q150</f>
        <v>1</v>
      </c>
      <c r="U153" s="9"/>
      <c r="V153" s="9"/>
      <c r="W153" s="12">
        <f>M136</f>
        <v>0.23255690645558319</v>
      </c>
      <c r="X153">
        <f ca="1">_xll.NORM()</f>
        <v>-0.3187198554433861</v>
      </c>
    </row>
    <row r="154" spans="1:24">
      <c r="H154">
        <v>13</v>
      </c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29">
        <f>R151</f>
        <v>1.0000000000000002</v>
      </c>
      <c r="V154" s="30">
        <f>S151</f>
        <v>8.1703425051148804E-2</v>
      </c>
      <c r="W154" s="39">
        <f>T151</f>
        <v>-0.22964944885663982</v>
      </c>
      <c r="X154">
        <f ca="1">_xll.NORM()</f>
        <v>0.97272804278683567</v>
      </c>
    </row>
    <row r="155" spans="1:24">
      <c r="H155">
        <v>14</v>
      </c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32"/>
      <c r="V155" s="9">
        <f>S152</f>
        <v>1.0000000000000002</v>
      </c>
      <c r="W155" s="12">
        <f>T152</f>
        <v>-0.14293753580843541</v>
      </c>
      <c r="X155">
        <f ca="1">_xll.NORM()</f>
        <v>-6.2001631740553842E-2</v>
      </c>
    </row>
    <row r="156" spans="1:24" ht="13.5" thickBot="1">
      <c r="H156">
        <v>15</v>
      </c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40"/>
      <c r="V156" s="15"/>
      <c r="W156" s="27">
        <f>T153</f>
        <v>1</v>
      </c>
      <c r="X156">
        <f ca="1">_xll.NORM()</f>
        <v>0.64077715252438283</v>
      </c>
    </row>
    <row r="157" spans="1:24">
      <c r="A157" s="23" t="s">
        <v>55</v>
      </c>
    </row>
    <row r="159" spans="1:24">
      <c r="A159" t="str">
        <f t="shared" ref="A159:A169" si="45">F3</f>
        <v>Years</v>
      </c>
      <c r="B159" s="23" t="str">
        <f t="shared" ref="B159:B169" si="46">G3</f>
        <v>cotton</v>
      </c>
      <c r="C159" t="s">
        <v>56</v>
      </c>
      <c r="D159" t="s">
        <v>38</v>
      </c>
      <c r="I159" t="s">
        <v>17</v>
      </c>
      <c r="K159" t="s">
        <v>30</v>
      </c>
    </row>
    <row r="160" spans="1:24" ht="13.5" thickBot="1">
      <c r="A160">
        <f t="shared" si="45"/>
        <v>1987</v>
      </c>
      <c r="B160" s="4">
        <f t="shared" si="46"/>
        <v>0.63700000000000001</v>
      </c>
      <c r="C160">
        <f t="shared" ref="C160:C169" si="47">$L$162+$L$163*A129</f>
        <v>0.57914545454545385</v>
      </c>
      <c r="D160" s="4">
        <f t="shared" ref="D160:D169" si="48">C160-B160</f>
        <v>-5.7854545454546158E-2</v>
      </c>
    </row>
    <row r="161" spans="1:14">
      <c r="A161">
        <f t="shared" si="45"/>
        <v>1988</v>
      </c>
      <c r="B161" s="4">
        <f t="shared" si="46"/>
        <v>0.55600000000000005</v>
      </c>
      <c r="C161">
        <f t="shared" si="47"/>
        <v>0.59195757575757524</v>
      </c>
      <c r="D161" s="4">
        <f t="shared" si="48"/>
        <v>3.5957575757575189E-2</v>
      </c>
      <c r="I161" s="21" t="s">
        <v>18</v>
      </c>
      <c r="J161" s="21"/>
      <c r="K161" s="20"/>
      <c r="L161" s="20" t="s">
        <v>25</v>
      </c>
      <c r="M161" s="20" t="s">
        <v>22</v>
      </c>
      <c r="N161" s="20" t="s">
        <v>26</v>
      </c>
    </row>
    <row r="162" spans="1:14">
      <c r="A162">
        <f t="shared" si="45"/>
        <v>1989</v>
      </c>
      <c r="B162" s="4">
        <f t="shared" si="46"/>
        <v>0.63600000000000001</v>
      </c>
      <c r="C162">
        <f t="shared" si="47"/>
        <v>0.60476969696969651</v>
      </c>
      <c r="D162" s="4">
        <f t="shared" si="48"/>
        <v>-3.1230303030303497E-2</v>
      </c>
      <c r="I162" s="18" t="s">
        <v>19</v>
      </c>
      <c r="J162" s="18">
        <v>0.5051840819801896</v>
      </c>
      <c r="K162" s="18" t="s">
        <v>24</v>
      </c>
      <c r="L162" s="18">
        <v>0.56633333333333258</v>
      </c>
      <c r="M162" s="18">
        <v>4.8014608467242842E-2</v>
      </c>
      <c r="N162" s="18">
        <v>11.795021378122952</v>
      </c>
    </row>
    <row r="163" spans="1:14" ht="13.5" thickBot="1">
      <c r="A163">
        <f t="shared" si="45"/>
        <v>1990</v>
      </c>
      <c r="B163" s="4">
        <f t="shared" si="46"/>
        <v>0.67100000000000004</v>
      </c>
      <c r="C163">
        <f t="shared" si="47"/>
        <v>0.6175818181818179</v>
      </c>
      <c r="D163" s="4">
        <f t="shared" si="48"/>
        <v>-5.3418181818182142E-2</v>
      </c>
      <c r="I163" s="18" t="s">
        <v>20</v>
      </c>
      <c r="J163" s="18">
        <v>0.25521095668616695</v>
      </c>
      <c r="K163" s="19" t="s">
        <v>27</v>
      </c>
      <c r="L163" s="19">
        <v>1.281212121212132E-2</v>
      </c>
      <c r="M163" s="19">
        <v>7.7382548223183497E-3</v>
      </c>
      <c r="N163" s="22">
        <v>1.6556861341874058</v>
      </c>
    </row>
    <row r="164" spans="1:14">
      <c r="A164">
        <f t="shared" si="45"/>
        <v>1991</v>
      </c>
      <c r="B164" s="4">
        <f t="shared" si="46"/>
        <v>0.56799999999999995</v>
      </c>
      <c r="C164">
        <f t="shared" si="47"/>
        <v>0.63039393939393917</v>
      </c>
      <c r="D164" s="4">
        <f t="shared" si="48"/>
        <v>6.2393939393939224E-2</v>
      </c>
      <c r="I164" s="18" t="s">
        <v>21</v>
      </c>
      <c r="J164" s="18">
        <v>0.16211232627193783</v>
      </c>
    </row>
    <row r="165" spans="1:14">
      <c r="A165">
        <f t="shared" si="45"/>
        <v>1992</v>
      </c>
      <c r="B165" s="4">
        <f t="shared" si="46"/>
        <v>0.53700000000000003</v>
      </c>
      <c r="C165">
        <f t="shared" si="47"/>
        <v>0.64320606060606056</v>
      </c>
      <c r="D165" s="4">
        <f t="shared" si="48"/>
        <v>0.10620606060606053</v>
      </c>
      <c r="I165" s="18" t="s">
        <v>22</v>
      </c>
      <c r="J165" s="18">
        <v>7.0286189858666318E-2</v>
      </c>
    </row>
    <row r="166" spans="1:14" ht="13.5" thickBot="1">
      <c r="A166">
        <f t="shared" si="45"/>
        <v>1993</v>
      </c>
      <c r="B166" s="4">
        <f t="shared" si="46"/>
        <v>0.58099999999999996</v>
      </c>
      <c r="C166">
        <f t="shared" si="47"/>
        <v>0.65601818181818183</v>
      </c>
      <c r="D166" s="4">
        <f t="shared" si="48"/>
        <v>7.5018181818181873E-2</v>
      </c>
      <c r="I166" s="19" t="s">
        <v>23</v>
      </c>
      <c r="J166" s="19">
        <v>10</v>
      </c>
    </row>
    <row r="167" spans="1:14">
      <c r="A167">
        <f t="shared" si="45"/>
        <v>1994</v>
      </c>
      <c r="B167" s="4">
        <f t="shared" si="46"/>
        <v>0.72</v>
      </c>
      <c r="C167">
        <f t="shared" si="47"/>
        <v>0.66883030303030311</v>
      </c>
      <c r="D167" s="4">
        <f t="shared" si="48"/>
        <v>-5.1169696969696865E-2</v>
      </c>
    </row>
    <row r="168" spans="1:14">
      <c r="A168">
        <f t="shared" si="45"/>
        <v>1995</v>
      </c>
      <c r="B168" s="4">
        <f t="shared" si="46"/>
        <v>0.76900000000000002</v>
      </c>
      <c r="C168">
        <f t="shared" si="47"/>
        <v>0.68164242424242449</v>
      </c>
      <c r="D168" s="4">
        <f t="shared" si="48"/>
        <v>-8.7357575757575523E-2</v>
      </c>
    </row>
    <row r="169" spans="1:14">
      <c r="A169">
        <f t="shared" si="45"/>
        <v>1996</v>
      </c>
      <c r="B169" s="4">
        <f t="shared" si="46"/>
        <v>0.69299999999999995</v>
      </c>
      <c r="C169">
        <f t="shared" si="47"/>
        <v>0.69445454545454577</v>
      </c>
      <c r="D169" s="4">
        <f t="shared" si="48"/>
        <v>1.4545454545458192E-3</v>
      </c>
    </row>
    <row r="170" spans="1:14">
      <c r="A170" t="s">
        <v>39</v>
      </c>
      <c r="B170" s="4">
        <f>AVERAGE(B160:B169)</f>
        <v>0.63679999999999992</v>
      </c>
      <c r="C170">
        <f>AVERAGE(C160:C169)</f>
        <v>0.63679999999999981</v>
      </c>
      <c r="D170" s="4">
        <f>AVERAGE(D160:D169)</f>
        <v>-1.5543122344752191E-16</v>
      </c>
    </row>
    <row r="171" spans="1:14">
      <c r="A171" t="s">
        <v>40</v>
      </c>
      <c r="B171">
        <f>STDEV(B160:B169)</f>
        <v>7.6785125874453242E-2</v>
      </c>
      <c r="C171">
        <f>STDEV(C160:C169)</f>
        <v>3.8790623324618585E-2</v>
      </c>
      <c r="D171">
        <f>STDEV(D160:D169)</f>
        <v>6.6266455297104135E-2</v>
      </c>
    </row>
    <row r="173" spans="1:14">
      <c r="A173" t="str">
        <f t="shared" ref="A173:A183" si="49">A159</f>
        <v>Years</v>
      </c>
      <c r="B173" s="23" t="str">
        <f t="shared" ref="B173:B183" si="50">H3</f>
        <v>cottonseed</v>
      </c>
      <c r="C173" t="str">
        <f>C159</f>
        <v>Predicted</v>
      </c>
      <c r="D173" t="str">
        <f>D159</f>
        <v>Residuals</v>
      </c>
      <c r="I173" t="s">
        <v>17</v>
      </c>
      <c r="K173" t="s">
        <v>31</v>
      </c>
    </row>
    <row r="174" spans="1:14" ht="13.5" thickBot="1">
      <c r="A174">
        <f t="shared" si="49"/>
        <v>1987</v>
      </c>
      <c r="B174" s="4">
        <f t="shared" si="50"/>
        <v>83</v>
      </c>
      <c r="C174">
        <f t="shared" ref="C174:C183" si="51">$L$176+$L$177*A129</f>
        <v>96.4</v>
      </c>
      <c r="D174" s="4">
        <f t="shared" ref="D174:D183" si="52">C174-B174</f>
        <v>13.400000000000006</v>
      </c>
    </row>
    <row r="175" spans="1:14">
      <c r="A175">
        <f t="shared" si="49"/>
        <v>1988</v>
      </c>
      <c r="B175" s="4">
        <f t="shared" si="50"/>
        <v>118</v>
      </c>
      <c r="C175">
        <f t="shared" si="51"/>
        <v>98.13333333333334</v>
      </c>
      <c r="D175" s="4">
        <f t="shared" si="52"/>
        <v>-19.86666666666666</v>
      </c>
      <c r="I175" s="21" t="s">
        <v>18</v>
      </c>
      <c r="J175" s="21"/>
      <c r="K175" s="20"/>
      <c r="L175" s="20" t="s">
        <v>25</v>
      </c>
      <c r="M175" s="20" t="s">
        <v>22</v>
      </c>
      <c r="N175" s="20" t="s">
        <v>26</v>
      </c>
    </row>
    <row r="176" spans="1:14">
      <c r="A176">
        <f t="shared" si="49"/>
        <v>1989</v>
      </c>
      <c r="B176" s="4">
        <f t="shared" si="50"/>
        <v>105</v>
      </c>
      <c r="C176">
        <f t="shared" si="51"/>
        <v>99.866666666666674</v>
      </c>
      <c r="D176" s="4">
        <f t="shared" si="52"/>
        <v>-5.1333333333333258</v>
      </c>
      <c r="I176" s="18" t="s">
        <v>19</v>
      </c>
      <c r="J176" s="18">
        <v>0.30701826821303235</v>
      </c>
      <c r="K176" s="18" t="s">
        <v>24</v>
      </c>
      <c r="L176" s="18">
        <v>94.666666666666671</v>
      </c>
      <c r="M176" s="18">
        <v>11.787045619850822</v>
      </c>
      <c r="N176" s="18">
        <v>8.0314159900455859</v>
      </c>
    </row>
    <row r="177" spans="1:16" ht="13.5" thickBot="1">
      <c r="A177">
        <f t="shared" si="49"/>
        <v>1990</v>
      </c>
      <c r="B177" s="4">
        <f t="shared" si="50"/>
        <v>121</v>
      </c>
      <c r="C177">
        <f t="shared" si="51"/>
        <v>101.60000000000001</v>
      </c>
      <c r="D177" s="4">
        <f t="shared" si="52"/>
        <v>-19.399999999999991</v>
      </c>
      <c r="I177" s="18" t="s">
        <v>20</v>
      </c>
      <c r="J177" s="18">
        <v>9.4260217016529466E-2</v>
      </c>
      <c r="K177" s="19" t="s">
        <v>27</v>
      </c>
      <c r="L177" s="19">
        <v>1.7333333333333334</v>
      </c>
      <c r="M177" s="19">
        <v>1.8996544076981132</v>
      </c>
      <c r="N177" s="19">
        <v>0.91244666730391366</v>
      </c>
    </row>
    <row r="178" spans="1:16">
      <c r="A178">
        <f t="shared" si="49"/>
        <v>1991</v>
      </c>
      <c r="B178" s="4">
        <f t="shared" si="50"/>
        <v>71</v>
      </c>
      <c r="C178">
        <f t="shared" si="51"/>
        <v>103.33333333333334</v>
      </c>
      <c r="D178" s="4">
        <f t="shared" si="52"/>
        <v>32.333333333333343</v>
      </c>
      <c r="I178" s="18" t="s">
        <v>21</v>
      </c>
      <c r="J178" s="18">
        <v>-1.8957255856404356E-2</v>
      </c>
    </row>
    <row r="179" spans="1:16">
      <c r="A179">
        <f t="shared" si="49"/>
        <v>1992</v>
      </c>
      <c r="B179" s="4">
        <f t="shared" si="50"/>
        <v>98</v>
      </c>
      <c r="C179">
        <f t="shared" si="51"/>
        <v>105.06666666666668</v>
      </c>
      <c r="D179" s="4">
        <f t="shared" si="52"/>
        <v>7.0666666666666771</v>
      </c>
      <c r="I179" s="18" t="s">
        <v>22</v>
      </c>
      <c r="J179" s="18">
        <v>17.25446802039016</v>
      </c>
    </row>
    <row r="180" spans="1:16" ht="13.5" thickBot="1">
      <c r="A180">
        <f t="shared" si="49"/>
        <v>1993</v>
      </c>
      <c r="B180" s="4">
        <f t="shared" si="50"/>
        <v>113</v>
      </c>
      <c r="C180">
        <f t="shared" si="51"/>
        <v>106.80000000000001</v>
      </c>
      <c r="D180" s="4">
        <f t="shared" si="52"/>
        <v>-6.1999999999999886</v>
      </c>
      <c r="I180" s="19" t="s">
        <v>23</v>
      </c>
      <c r="J180" s="19">
        <v>10</v>
      </c>
    </row>
    <row r="181" spans="1:16">
      <c r="A181">
        <f t="shared" si="49"/>
        <v>1994</v>
      </c>
      <c r="B181" s="4">
        <f t="shared" si="50"/>
        <v>101</v>
      </c>
      <c r="C181">
        <f t="shared" si="51"/>
        <v>108.53333333333333</v>
      </c>
      <c r="D181" s="4">
        <f t="shared" si="52"/>
        <v>7.5333333333333314</v>
      </c>
    </row>
    <row r="182" spans="1:16">
      <c r="A182">
        <f t="shared" si="49"/>
        <v>1995</v>
      </c>
      <c r="B182" s="4">
        <f t="shared" si="50"/>
        <v>106</v>
      </c>
      <c r="C182">
        <f t="shared" si="51"/>
        <v>110.26666666666668</v>
      </c>
      <c r="D182" s="4">
        <f t="shared" si="52"/>
        <v>4.2666666666666799</v>
      </c>
    </row>
    <row r="183" spans="1:16">
      <c r="A183">
        <f t="shared" si="49"/>
        <v>1996</v>
      </c>
      <c r="B183" s="4">
        <f t="shared" si="50"/>
        <v>126</v>
      </c>
      <c r="C183">
        <f t="shared" si="51"/>
        <v>112</v>
      </c>
      <c r="D183" s="4">
        <f t="shared" si="52"/>
        <v>-14</v>
      </c>
    </row>
    <row r="184" spans="1:16">
      <c r="A184" t="s">
        <v>39</v>
      </c>
      <c r="B184" s="4">
        <f>AVERAGE(B174:B183)</f>
        <v>104.2</v>
      </c>
      <c r="C184">
        <f>AVERAGE(C174:C183)</f>
        <v>104.2</v>
      </c>
      <c r="D184" s="4">
        <f>AVERAGE(D174:D183)</f>
        <v>7.1054273576010019E-15</v>
      </c>
    </row>
    <row r="185" spans="1:16">
      <c r="A185" t="s">
        <v>40</v>
      </c>
      <c r="B185">
        <f>STDEV(B174:B183)</f>
        <v>17.093208527885526</v>
      </c>
      <c r="C185">
        <f>STDEV(C174:C183)</f>
        <v>5.2479272804359809</v>
      </c>
      <c r="D185">
        <f>STDEV(D174:D183)</f>
        <v>16.267668457312411</v>
      </c>
    </row>
    <row r="187" spans="1:16">
      <c r="A187" t="str">
        <f t="shared" ref="A187:A197" si="53">A173</f>
        <v>Years</v>
      </c>
      <c r="B187" s="23" t="str">
        <f t="shared" ref="B187:B197" si="54">I3</f>
        <v>wheat</v>
      </c>
      <c r="C187" t="str">
        <f>C173</f>
        <v>Predicted</v>
      </c>
      <c r="D187" t="str">
        <f>D173</f>
        <v>Residuals</v>
      </c>
      <c r="K187" t="str">
        <f>H65</f>
        <v>SUMMARY OUTPUT</v>
      </c>
      <c r="M187" t="str">
        <f>J65</f>
        <v>Wheat Price</v>
      </c>
    </row>
    <row r="188" spans="1:16">
      <c r="A188">
        <f t="shared" si="53"/>
        <v>1987</v>
      </c>
      <c r="B188" s="4">
        <f t="shared" si="54"/>
        <v>2.57</v>
      </c>
      <c r="C188">
        <f t="shared" ref="C188:C197" si="55">$N$190+$N$191*A129</f>
        <v>2.8359999999999985</v>
      </c>
      <c r="D188" s="4">
        <f t="shared" ref="D188:D197" si="56">B188-C188</f>
        <v>-0.26599999999999868</v>
      </c>
    </row>
    <row r="189" spans="1:16">
      <c r="A189">
        <f t="shared" si="53"/>
        <v>1988</v>
      </c>
      <c r="B189" s="4">
        <f t="shared" si="54"/>
        <v>3.72</v>
      </c>
      <c r="C189">
        <f t="shared" si="55"/>
        <v>2.9706666666666655</v>
      </c>
      <c r="D189" s="4">
        <f t="shared" si="56"/>
        <v>0.74933333333333474</v>
      </c>
      <c r="K189" t="str">
        <f t="shared" ref="K189:K194" si="57">H67</f>
        <v>Regression Statistics</v>
      </c>
      <c r="N189" t="str">
        <f t="shared" ref="N189:P191" si="58">K67</f>
        <v>Coefficients</v>
      </c>
      <c r="O189" t="str">
        <f t="shared" si="58"/>
        <v>Standard Error</v>
      </c>
      <c r="P189" t="str">
        <f t="shared" si="58"/>
        <v>t Stat</v>
      </c>
    </row>
    <row r="190" spans="1:16">
      <c r="A190">
        <f t="shared" si="53"/>
        <v>1989</v>
      </c>
      <c r="B190" s="4">
        <f t="shared" si="54"/>
        <v>3.72</v>
      </c>
      <c r="C190">
        <f t="shared" si="55"/>
        <v>3.1053333333333324</v>
      </c>
      <c r="D190" s="4">
        <f t="shared" si="56"/>
        <v>0.6146666666666678</v>
      </c>
      <c r="K190" t="str">
        <f t="shared" si="57"/>
        <v>Multiple R</v>
      </c>
      <c r="L190">
        <f>I68</f>
        <v>0.62416744883375275</v>
      </c>
      <c r="M190" t="str">
        <f>J68</f>
        <v>Intercept</v>
      </c>
      <c r="N190">
        <f t="shared" si="58"/>
        <v>2.7013333333333316</v>
      </c>
      <c r="O190">
        <f t="shared" si="58"/>
        <v>0.3697915328638256</v>
      </c>
      <c r="P190">
        <f t="shared" si="58"/>
        <v>7.3050167277034106</v>
      </c>
    </row>
    <row r="191" spans="1:16">
      <c r="A191">
        <f t="shared" si="53"/>
        <v>1990</v>
      </c>
      <c r="B191" s="4">
        <f t="shared" si="54"/>
        <v>2.61</v>
      </c>
      <c r="C191">
        <f t="shared" si="55"/>
        <v>3.2399999999999993</v>
      </c>
      <c r="D191" s="4">
        <f t="shared" si="56"/>
        <v>-0.62999999999999945</v>
      </c>
      <c r="K191" t="str">
        <f t="shared" si="57"/>
        <v>R Square</v>
      </c>
      <c r="L191">
        <f>I69</f>
        <v>0.38958500418363534</v>
      </c>
      <c r="M191" t="str">
        <f>J69</f>
        <v>X Variable 1</v>
      </c>
      <c r="N191">
        <f t="shared" si="58"/>
        <v>0.13466666666666688</v>
      </c>
      <c r="O191">
        <f t="shared" si="58"/>
        <v>5.9597301816763357E-2</v>
      </c>
      <c r="P191">
        <f t="shared" si="58"/>
        <v>2.2596101259870833</v>
      </c>
    </row>
    <row r="192" spans="1:16">
      <c r="A192">
        <f t="shared" si="53"/>
        <v>1991</v>
      </c>
      <c r="B192" s="4">
        <f t="shared" si="54"/>
        <v>3</v>
      </c>
      <c r="C192">
        <f t="shared" si="55"/>
        <v>3.3746666666666663</v>
      </c>
      <c r="D192" s="4">
        <f t="shared" si="56"/>
        <v>-0.37466666666666626</v>
      </c>
      <c r="K192" t="str">
        <f t="shared" si="57"/>
        <v>Adjusted R Square</v>
      </c>
      <c r="L192">
        <f>I70</f>
        <v>0.31328312970658978</v>
      </c>
    </row>
    <row r="193" spans="1:16">
      <c r="A193">
        <f t="shared" si="53"/>
        <v>1992</v>
      </c>
      <c r="B193" s="4">
        <f t="shared" si="54"/>
        <v>3.24</v>
      </c>
      <c r="C193">
        <f t="shared" si="55"/>
        <v>3.5093333333333327</v>
      </c>
      <c r="D193" s="4">
        <f t="shared" si="56"/>
        <v>-0.26933333333333254</v>
      </c>
      <c r="K193" t="str">
        <f t="shared" si="57"/>
        <v>Standard Error</v>
      </c>
      <c r="L193">
        <f>I71</f>
        <v>0.54131937584633594</v>
      </c>
    </row>
    <row r="194" spans="1:16">
      <c r="A194">
        <f t="shared" si="53"/>
        <v>1993</v>
      </c>
      <c r="B194" s="4">
        <f t="shared" si="54"/>
        <v>3.26</v>
      </c>
      <c r="C194">
        <f t="shared" si="55"/>
        <v>3.6439999999999997</v>
      </c>
      <c r="D194" s="4">
        <f t="shared" si="56"/>
        <v>-0.3839999999999999</v>
      </c>
      <c r="K194" t="str">
        <f t="shared" si="57"/>
        <v>Observations</v>
      </c>
      <c r="L194">
        <f>I72</f>
        <v>10</v>
      </c>
    </row>
    <row r="195" spans="1:16">
      <c r="A195">
        <f t="shared" si="53"/>
        <v>1994</v>
      </c>
      <c r="B195" s="4">
        <f t="shared" si="54"/>
        <v>3.45</v>
      </c>
      <c r="C195">
        <f t="shared" si="55"/>
        <v>3.7786666666666666</v>
      </c>
      <c r="D195" s="4">
        <f t="shared" si="56"/>
        <v>-0.32866666666666644</v>
      </c>
    </row>
    <row r="196" spans="1:16">
      <c r="A196">
        <f t="shared" si="53"/>
        <v>1995</v>
      </c>
      <c r="B196" s="4">
        <f t="shared" si="54"/>
        <v>4.55</v>
      </c>
      <c r="C196">
        <f t="shared" si="55"/>
        <v>3.9133333333333336</v>
      </c>
      <c r="D196" s="4">
        <f t="shared" si="56"/>
        <v>0.63666666666666627</v>
      </c>
    </row>
    <row r="197" spans="1:16">
      <c r="A197">
        <f t="shared" si="53"/>
        <v>1996</v>
      </c>
      <c r="B197" s="4">
        <f t="shared" si="54"/>
        <v>4.3</v>
      </c>
      <c r="C197">
        <f t="shared" si="55"/>
        <v>4.048</v>
      </c>
      <c r="D197" s="4">
        <f t="shared" si="56"/>
        <v>0.25199999999999978</v>
      </c>
    </row>
    <row r="198" spans="1:16">
      <c r="A198" t="s">
        <v>39</v>
      </c>
      <c r="B198" s="4">
        <f>AVERAGE(B188:B197)</f>
        <v>3.4419999999999993</v>
      </c>
      <c r="C198">
        <f>AVERAGE(C188:C197)</f>
        <v>3.4419999999999993</v>
      </c>
      <c r="D198" s="4">
        <f>AVERAGE(D188:D197)</f>
        <v>5.3290705182007512E-16</v>
      </c>
    </row>
    <row r="199" spans="1:16">
      <c r="A199" t="s">
        <v>40</v>
      </c>
      <c r="B199">
        <f>STDEV(B188:B197)</f>
        <v>0.65322788264637921</v>
      </c>
      <c r="C199">
        <f>STDEV(C188:C197)</f>
        <v>0.40772358101846334</v>
      </c>
      <c r="D199">
        <f>STDEV(D188:D197)</f>
        <v>0.51036080193148481</v>
      </c>
    </row>
    <row r="201" spans="1:16">
      <c r="A201" t="str">
        <f t="shared" ref="A201:A211" si="59">A187</f>
        <v>Years</v>
      </c>
      <c r="B201" s="23" t="str">
        <f t="shared" ref="B201:B211" si="60">J3</f>
        <v>sorghum</v>
      </c>
      <c r="C201" t="str">
        <f>C187</f>
        <v>Predicted</v>
      </c>
      <c r="D201" t="str">
        <f>D187</f>
        <v>Residuals</v>
      </c>
      <c r="K201" t="s">
        <v>17</v>
      </c>
      <c r="M201" t="s">
        <v>33</v>
      </c>
    </row>
    <row r="202" spans="1:16" ht="13.5" thickBot="1">
      <c r="A202">
        <f t="shared" si="59"/>
        <v>1987</v>
      </c>
      <c r="B202" s="4">
        <f t="shared" si="60"/>
        <v>3.0357142857142851</v>
      </c>
      <c r="C202">
        <f t="shared" ref="C202:C211" si="61">$N$204+$N$205*A129</f>
        <v>3.3678571428571429</v>
      </c>
      <c r="D202" s="4">
        <f t="shared" ref="D202:D211" si="62">B202-C202</f>
        <v>-0.33214285714285774</v>
      </c>
    </row>
    <row r="203" spans="1:16">
      <c r="A203">
        <f t="shared" si="59"/>
        <v>1988</v>
      </c>
      <c r="B203" s="4">
        <f t="shared" si="60"/>
        <v>4.0535714285714279</v>
      </c>
      <c r="C203">
        <f t="shared" si="61"/>
        <v>3.5035714285714286</v>
      </c>
      <c r="D203" s="4">
        <f t="shared" si="62"/>
        <v>0.54999999999999938</v>
      </c>
      <c r="K203" s="21" t="s">
        <v>18</v>
      </c>
      <c r="L203" s="21"/>
      <c r="M203" s="20"/>
      <c r="N203" s="20" t="s">
        <v>25</v>
      </c>
      <c r="O203" s="20" t="s">
        <v>22</v>
      </c>
      <c r="P203" s="20" t="s">
        <v>26</v>
      </c>
    </row>
    <row r="204" spans="1:16">
      <c r="A204">
        <f t="shared" si="59"/>
        <v>1989</v>
      </c>
      <c r="B204" s="4">
        <f t="shared" si="60"/>
        <v>3.75</v>
      </c>
      <c r="C204">
        <f t="shared" si="61"/>
        <v>3.6392857142857142</v>
      </c>
      <c r="D204" s="4">
        <f t="shared" si="62"/>
        <v>0.11071428571428577</v>
      </c>
      <c r="K204" s="18" t="s">
        <v>19</v>
      </c>
      <c r="L204" s="18">
        <v>0.58518016662965655</v>
      </c>
      <c r="M204" s="18" t="s">
        <v>24</v>
      </c>
      <c r="N204" s="18">
        <v>3.2321428571428572</v>
      </c>
      <c r="O204" s="18">
        <v>0.41256312648288535</v>
      </c>
      <c r="P204" s="18">
        <v>7.8342989221964281</v>
      </c>
    </row>
    <row r="205" spans="1:16" ht="13.5" thickBot="1">
      <c r="A205">
        <f t="shared" si="59"/>
        <v>1990</v>
      </c>
      <c r="B205" s="4">
        <f t="shared" si="60"/>
        <v>3.7857142857142856</v>
      </c>
      <c r="C205">
        <f t="shared" si="61"/>
        <v>3.7749999999999999</v>
      </c>
      <c r="D205" s="4">
        <f t="shared" si="62"/>
        <v>1.0714285714285676E-2</v>
      </c>
      <c r="K205" s="18" t="s">
        <v>20</v>
      </c>
      <c r="L205" s="18">
        <v>0.34243582741671258</v>
      </c>
      <c r="M205" s="19" t="s">
        <v>27</v>
      </c>
      <c r="N205" s="19">
        <v>0.13571428571428565</v>
      </c>
      <c r="O205" s="19">
        <v>6.6490568286003304E-2</v>
      </c>
      <c r="P205" s="22">
        <v>2.0411058171517293</v>
      </c>
    </row>
    <row r="206" spans="1:16">
      <c r="A206">
        <f t="shared" si="59"/>
        <v>1991</v>
      </c>
      <c r="B206" s="4">
        <f t="shared" si="60"/>
        <v>4.0178571428571423</v>
      </c>
      <c r="C206">
        <f t="shared" si="61"/>
        <v>3.9107142857142856</v>
      </c>
      <c r="D206" s="4">
        <f t="shared" si="62"/>
        <v>0.10714285714285676</v>
      </c>
      <c r="K206" s="18" t="s">
        <v>21</v>
      </c>
      <c r="L206" s="18">
        <v>0.26024030584380164</v>
      </c>
    </row>
    <row r="207" spans="1:16">
      <c r="A207">
        <f t="shared" si="59"/>
        <v>1992</v>
      </c>
      <c r="B207" s="4">
        <f t="shared" si="60"/>
        <v>3.339285714285714</v>
      </c>
      <c r="C207">
        <f t="shared" si="61"/>
        <v>4.0464285714285708</v>
      </c>
      <c r="D207" s="4">
        <f t="shared" si="62"/>
        <v>-0.70714285714285685</v>
      </c>
      <c r="K207" s="18" t="s">
        <v>22</v>
      </c>
      <c r="L207" s="18">
        <v>0.60393057784578419</v>
      </c>
    </row>
    <row r="208" spans="1:16" ht="13.5" thickBot="1">
      <c r="A208">
        <f t="shared" si="59"/>
        <v>1993</v>
      </c>
      <c r="B208" s="4">
        <f t="shared" si="60"/>
        <v>4.125</v>
      </c>
      <c r="C208">
        <f t="shared" si="61"/>
        <v>4.1821428571428569</v>
      </c>
      <c r="D208" s="4">
        <f t="shared" si="62"/>
        <v>-5.714285714285694E-2</v>
      </c>
      <c r="K208" s="19" t="s">
        <v>23</v>
      </c>
      <c r="L208" s="19">
        <v>10</v>
      </c>
    </row>
    <row r="209" spans="1:29">
      <c r="A209">
        <f t="shared" si="59"/>
        <v>1994</v>
      </c>
      <c r="B209" s="4">
        <f t="shared" si="60"/>
        <v>3.8035714285714279</v>
      </c>
      <c r="C209">
        <f t="shared" si="61"/>
        <v>4.3178571428571422</v>
      </c>
      <c r="D209" s="4">
        <f t="shared" si="62"/>
        <v>-0.51428571428571423</v>
      </c>
    </row>
    <row r="210" spans="1:29">
      <c r="A210">
        <f t="shared" si="59"/>
        <v>1995</v>
      </c>
      <c r="B210" s="4">
        <f t="shared" si="60"/>
        <v>5.6964285714285712</v>
      </c>
      <c r="C210">
        <f t="shared" si="61"/>
        <v>4.4535714285714283</v>
      </c>
      <c r="D210" s="4">
        <f t="shared" si="62"/>
        <v>1.2428571428571429</v>
      </c>
    </row>
    <row r="211" spans="1:29">
      <c r="A211">
        <f t="shared" si="59"/>
        <v>1996</v>
      </c>
      <c r="B211" s="4">
        <f t="shared" si="60"/>
        <v>4.1785714285714279</v>
      </c>
      <c r="C211">
        <f t="shared" si="61"/>
        <v>4.5892857142857135</v>
      </c>
      <c r="D211" s="4">
        <f t="shared" si="62"/>
        <v>-0.41071428571428559</v>
      </c>
    </row>
    <row r="212" spans="1:29">
      <c r="A212" t="s">
        <v>39</v>
      </c>
      <c r="B212">
        <f>AVERAGE(B201:B210)</f>
        <v>3.9563492063492061</v>
      </c>
      <c r="C212">
        <f>AVERAGE(C201:C210)</f>
        <v>3.9107142857142856</v>
      </c>
      <c r="D212">
        <f>AVERAGE(D201:D210)</f>
        <v>4.5634920634920521E-2</v>
      </c>
    </row>
    <row r="213" spans="1:29">
      <c r="A213" t="s">
        <v>40</v>
      </c>
      <c r="B213">
        <f>STDEV(B202:B211)</f>
        <v>0.70216905601141077</v>
      </c>
      <c r="C213">
        <f>STDEV(C202:C211)</f>
        <v>0.41089540519894258</v>
      </c>
      <c r="D213">
        <f>STDEV(D202:D211)</f>
        <v>0.56939120928088549</v>
      </c>
    </row>
    <row r="215" spans="1:29">
      <c r="A215" s="23" t="s">
        <v>57</v>
      </c>
      <c r="B215" s="23"/>
      <c r="C215" s="23"/>
      <c r="D215" s="23"/>
    </row>
    <row r="216" spans="1:29">
      <c r="A216" s="23"/>
      <c r="B216" s="23"/>
      <c r="C216" s="23" t="s">
        <v>62</v>
      </c>
      <c r="D216" s="23"/>
      <c r="I216" s="23" t="s">
        <v>54</v>
      </c>
    </row>
    <row r="217" spans="1:29" ht="13.5" thickBot="1">
      <c r="A217" t="s">
        <v>60</v>
      </c>
      <c r="B217" s="23" t="s">
        <v>58</v>
      </c>
      <c r="C217" s="23" t="s">
        <v>59</v>
      </c>
      <c r="D217" s="23" t="s">
        <v>52</v>
      </c>
      <c r="E217" s="23" t="s">
        <v>53</v>
      </c>
      <c r="I217" t="str">
        <f>B217</f>
        <v>Cott Lint</v>
      </c>
      <c r="J217" t="str">
        <f>C217</f>
        <v>Cott Seed</v>
      </c>
      <c r="K217" t="str">
        <f>D217</f>
        <v>Wheat</v>
      </c>
      <c r="L217" t="str">
        <f>E217</f>
        <v>Sorghum</v>
      </c>
      <c r="AC217" t="s">
        <v>279</v>
      </c>
    </row>
    <row r="218" spans="1:29">
      <c r="A218">
        <f t="shared" ref="A218:A227" si="63">A202</f>
        <v>1987</v>
      </c>
      <c r="B218" s="80">
        <f t="shared" ref="B218:B227" si="64">D160</f>
        <v>-5.7854545454546158E-2</v>
      </c>
      <c r="C218" s="80">
        <f t="shared" ref="C218:C227" si="65">D174</f>
        <v>13.400000000000006</v>
      </c>
      <c r="D218" s="80">
        <f t="shared" ref="D218:D227" si="66">D188</f>
        <v>-0.26599999999999868</v>
      </c>
      <c r="E218" s="80">
        <f t="shared" ref="E218:E227" si="67">D202</f>
        <v>-0.33214285714285774</v>
      </c>
      <c r="G218" t="s">
        <v>58</v>
      </c>
      <c r="H218">
        <v>1</v>
      </c>
      <c r="I218" s="5">
        <f>CORREL($B$218:$B$227,B$218:B$227)</f>
        <v>1.0000000000000002</v>
      </c>
      <c r="J218" s="6">
        <f>CORREL($B$218:$B$227,C$218:C$227)</f>
        <v>0.1269084558883925</v>
      </c>
      <c r="K218" s="6">
        <f>CORREL($B$218:$B$227,D$218:D$227)</f>
        <v>-0.20511104604473837</v>
      </c>
      <c r="L218" s="7">
        <f>CORREL($B$218:$B$227,E$218:E$227)</f>
        <v>-0.35513006356657578</v>
      </c>
      <c r="M218" s="6">
        <f>CORREL(B219:B228,B218:B227)</f>
        <v>0.2629533982162881</v>
      </c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7"/>
      <c r="AC218">
        <f ca="1">_xll.NORM()</f>
        <v>0.58847520098263617</v>
      </c>
    </row>
    <row r="219" spans="1:29">
      <c r="A219">
        <f t="shared" si="63"/>
        <v>1988</v>
      </c>
      <c r="B219" s="80">
        <f t="shared" si="64"/>
        <v>3.5957575757575189E-2</v>
      </c>
      <c r="C219" s="80">
        <f t="shared" si="65"/>
        <v>-19.86666666666666</v>
      </c>
      <c r="D219" s="80">
        <f t="shared" si="66"/>
        <v>0.74933333333333474</v>
      </c>
      <c r="E219" s="80">
        <f t="shared" si="67"/>
        <v>0.54999999999999938</v>
      </c>
      <c r="G219" t="s">
        <v>59</v>
      </c>
      <c r="H219">
        <v>2</v>
      </c>
      <c r="I219" s="8"/>
      <c r="J219" s="9">
        <f>CORREL($C$218:$C$227,C$218:C$227)</f>
        <v>1</v>
      </c>
      <c r="K219" s="9">
        <f>CORREL($C$218:$C$227,D$218:D$227)</f>
        <v>-0.32532392627715312</v>
      </c>
      <c r="L219" s="12">
        <f>CORREL($C$218:$C$227,E$218:E$227)</f>
        <v>-0.12179802562453186</v>
      </c>
      <c r="M219" s="9"/>
      <c r="N219" s="9">
        <f>CORREL(C219:C228,C218:C227)</f>
        <v>-0.3339313017113088</v>
      </c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2"/>
      <c r="AC219">
        <f ca="1">_xll.NORM()</f>
        <v>-7.0971522053866476E-2</v>
      </c>
    </row>
    <row r="220" spans="1:29">
      <c r="A220">
        <f t="shared" si="63"/>
        <v>1989</v>
      </c>
      <c r="B220" s="80">
        <f t="shared" si="64"/>
        <v>-3.1230303030303497E-2</v>
      </c>
      <c r="C220" s="80">
        <f t="shared" si="65"/>
        <v>-5.1333333333333258</v>
      </c>
      <c r="D220" s="80">
        <f t="shared" si="66"/>
        <v>0.6146666666666678</v>
      </c>
      <c r="E220" s="80">
        <f t="shared" si="67"/>
        <v>0.11071428571428577</v>
      </c>
      <c r="G220" t="s">
        <v>52</v>
      </c>
      <c r="H220">
        <v>3</v>
      </c>
      <c r="I220" s="8"/>
      <c r="J220" s="9"/>
      <c r="K220" s="9">
        <f>CORREL($D$218:$D$227,D$218:D$227)</f>
        <v>0.99999999999999989</v>
      </c>
      <c r="L220" s="12">
        <v>0</v>
      </c>
      <c r="M220" s="9"/>
      <c r="N220" s="9"/>
      <c r="O220" s="9">
        <f>CORREL(D219:D228,D218:D227)</f>
        <v>0.21611127940251321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12"/>
      <c r="AC220">
        <f ca="1">_xll.NORM()</f>
        <v>0.69294783842411678</v>
      </c>
    </row>
    <row r="221" spans="1:29" ht="13.5" thickBot="1">
      <c r="A221">
        <f t="shared" si="63"/>
        <v>1990</v>
      </c>
      <c r="B221" s="80">
        <f t="shared" si="64"/>
        <v>-5.3418181818182142E-2</v>
      </c>
      <c r="C221" s="80">
        <f t="shared" si="65"/>
        <v>-19.399999999999991</v>
      </c>
      <c r="D221" s="80">
        <f t="shared" si="66"/>
        <v>-0.62999999999999945</v>
      </c>
      <c r="E221" s="80">
        <f t="shared" si="67"/>
        <v>1.0714285714285676E-2</v>
      </c>
      <c r="G221" t="s">
        <v>53</v>
      </c>
      <c r="H221" s="184">
        <v>4</v>
      </c>
      <c r="I221" s="14"/>
      <c r="J221" s="15"/>
      <c r="K221" s="15"/>
      <c r="L221" s="27">
        <f>CORREL($E$218:$E$227,E$218:E$227)</f>
        <v>1</v>
      </c>
      <c r="M221" s="9"/>
      <c r="N221" s="9"/>
      <c r="O221" s="9"/>
      <c r="P221" s="9">
        <f>CORREL(E219:E228,E218:E227)</f>
        <v>-0.5057678288712294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12"/>
      <c r="AC221">
        <f ca="1">_xll.NORM()</f>
        <v>-0.11030130556051798</v>
      </c>
    </row>
    <row r="222" spans="1:29">
      <c r="A222">
        <f t="shared" si="63"/>
        <v>1991</v>
      </c>
      <c r="B222" s="80">
        <f t="shared" si="64"/>
        <v>6.2393939393939224E-2</v>
      </c>
      <c r="C222" s="80">
        <f t="shared" si="65"/>
        <v>32.333333333333343</v>
      </c>
      <c r="D222" s="80">
        <f t="shared" si="66"/>
        <v>-0.37466666666666626</v>
      </c>
      <c r="E222" s="80">
        <f t="shared" si="67"/>
        <v>0.10714285714285676</v>
      </c>
      <c r="G222" s="9" t="str">
        <f t="shared" ref="G222:G237" si="68">G218</f>
        <v>Cott Lint</v>
      </c>
      <c r="H222" s="23">
        <v>5</v>
      </c>
      <c r="I222" s="8"/>
      <c r="J222" s="9"/>
      <c r="K222" s="9"/>
      <c r="L222" s="9"/>
      <c r="M222" s="9">
        <f>I218</f>
        <v>1.0000000000000002</v>
      </c>
      <c r="N222" s="9">
        <f>J218</f>
        <v>0.1269084558883925</v>
      </c>
      <c r="O222" s="9">
        <f>K218</f>
        <v>-0.20511104604473837</v>
      </c>
      <c r="P222" s="9">
        <f>L218</f>
        <v>-0.35513006356657578</v>
      </c>
      <c r="Q222" s="9">
        <f>M218</f>
        <v>0.2629533982162881</v>
      </c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2"/>
      <c r="AC222">
        <f ca="1">_xll.NORM()</f>
        <v>0.47391703329537527</v>
      </c>
    </row>
    <row r="223" spans="1:29">
      <c r="A223">
        <f t="shared" si="63"/>
        <v>1992</v>
      </c>
      <c r="B223" s="80">
        <f t="shared" si="64"/>
        <v>0.10620606060606053</v>
      </c>
      <c r="C223" s="80">
        <f t="shared" si="65"/>
        <v>7.0666666666666771</v>
      </c>
      <c r="D223" s="80">
        <f t="shared" si="66"/>
        <v>-0.26933333333333254</v>
      </c>
      <c r="E223" s="80">
        <f t="shared" si="67"/>
        <v>-0.70714285714285685</v>
      </c>
      <c r="G223" s="9" t="str">
        <f t="shared" si="68"/>
        <v>Cott Seed</v>
      </c>
      <c r="H223" s="23">
        <v>6</v>
      </c>
      <c r="I223" s="8"/>
      <c r="J223" s="9"/>
      <c r="K223" s="9"/>
      <c r="L223" s="9"/>
      <c r="M223" s="9"/>
      <c r="N223" s="9">
        <f>J219</f>
        <v>1</v>
      </c>
      <c r="O223" s="9">
        <f>K219</f>
        <v>-0.32532392627715312</v>
      </c>
      <c r="P223" s="9">
        <f>L219</f>
        <v>-0.12179802562453186</v>
      </c>
      <c r="Q223" s="9"/>
      <c r="R223" s="9">
        <f>N219</f>
        <v>-0.3339313017113088</v>
      </c>
      <c r="S223" s="9"/>
      <c r="T223" s="9"/>
      <c r="U223" s="9"/>
      <c r="V223" s="9"/>
      <c r="W223" s="9"/>
      <c r="X223" s="9"/>
      <c r="Y223" s="9"/>
      <c r="Z223" s="9"/>
      <c r="AA223" s="9"/>
      <c r="AB223" s="12"/>
      <c r="AC223">
        <f ca="1">_xll.NORM()</f>
        <v>0.12447404123327677</v>
      </c>
    </row>
    <row r="224" spans="1:29">
      <c r="A224">
        <f t="shared" si="63"/>
        <v>1993</v>
      </c>
      <c r="B224" s="80">
        <f t="shared" si="64"/>
        <v>7.5018181818181873E-2</v>
      </c>
      <c r="C224" s="80">
        <f t="shared" si="65"/>
        <v>-6.1999999999999886</v>
      </c>
      <c r="D224" s="80">
        <f t="shared" si="66"/>
        <v>-0.3839999999999999</v>
      </c>
      <c r="E224" s="80">
        <f t="shared" si="67"/>
        <v>-5.714285714285694E-2</v>
      </c>
      <c r="G224" s="9" t="str">
        <f t="shared" si="68"/>
        <v>Wheat</v>
      </c>
      <c r="H224" s="23">
        <v>7</v>
      </c>
      <c r="I224" s="8"/>
      <c r="J224" s="9"/>
      <c r="K224" s="9"/>
      <c r="L224" s="9"/>
      <c r="M224" s="9"/>
      <c r="N224" s="9"/>
      <c r="O224" s="9">
        <f>K220</f>
        <v>0.99999999999999989</v>
      </c>
      <c r="P224" s="9">
        <f>L220</f>
        <v>0</v>
      </c>
      <c r="Q224" s="9"/>
      <c r="R224" s="9"/>
      <c r="S224" s="9">
        <f>O220</f>
        <v>0.21611127940251321</v>
      </c>
      <c r="T224" s="9"/>
      <c r="U224" s="9"/>
      <c r="V224" s="9"/>
      <c r="W224" s="9"/>
      <c r="X224" s="9"/>
      <c r="Y224" s="9"/>
      <c r="Z224" s="9"/>
      <c r="AA224" s="9"/>
      <c r="AB224" s="12"/>
      <c r="AC224">
        <f ca="1">_xll.NORM()</f>
        <v>0.17313052075044033</v>
      </c>
    </row>
    <row r="225" spans="1:29">
      <c r="A225">
        <f t="shared" si="63"/>
        <v>1994</v>
      </c>
      <c r="B225" s="80">
        <f t="shared" si="64"/>
        <v>-5.1169696969696865E-2</v>
      </c>
      <c r="C225" s="80">
        <f t="shared" si="65"/>
        <v>7.5333333333333314</v>
      </c>
      <c r="D225" s="80">
        <f t="shared" si="66"/>
        <v>-0.32866666666666644</v>
      </c>
      <c r="E225" s="80">
        <f t="shared" si="67"/>
        <v>-0.51428571428571423</v>
      </c>
      <c r="G225" s="9" t="str">
        <f t="shared" si="68"/>
        <v>Sorghum</v>
      </c>
      <c r="H225" s="185">
        <v>8</v>
      </c>
      <c r="I225" s="8"/>
      <c r="J225" s="9"/>
      <c r="K225" s="9"/>
      <c r="L225" s="9"/>
      <c r="M225" s="9"/>
      <c r="N225" s="9"/>
      <c r="O225" s="9"/>
      <c r="P225" s="9">
        <f>L221</f>
        <v>1</v>
      </c>
      <c r="Q225" s="9"/>
      <c r="R225" s="9"/>
      <c r="S225" s="9"/>
      <c r="T225" s="9">
        <f>P221</f>
        <v>-0.5057678288712294</v>
      </c>
      <c r="U225" s="9"/>
      <c r="V225" s="9"/>
      <c r="W225" s="9"/>
      <c r="X225" s="9"/>
      <c r="Y225" s="9"/>
      <c r="Z225" s="9"/>
      <c r="AA225" s="9"/>
      <c r="AB225" s="12"/>
      <c r="AC225">
        <f ca="1">_xll.NORM()</f>
        <v>0.16940445062915299</v>
      </c>
    </row>
    <row r="226" spans="1:29">
      <c r="A226">
        <f t="shared" si="63"/>
        <v>1995</v>
      </c>
      <c r="B226" s="80">
        <f t="shared" si="64"/>
        <v>-8.7357575757575523E-2</v>
      </c>
      <c r="C226" s="80">
        <f t="shared" si="65"/>
        <v>4.2666666666666799</v>
      </c>
      <c r="D226" s="80">
        <f t="shared" si="66"/>
        <v>0.63666666666666627</v>
      </c>
      <c r="E226" s="80">
        <f t="shared" si="67"/>
        <v>1.2428571428571429</v>
      </c>
      <c r="G226" s="9" t="str">
        <f t="shared" si="68"/>
        <v>Cott Lint</v>
      </c>
      <c r="H226">
        <v>9</v>
      </c>
      <c r="I226" s="8"/>
      <c r="J226" s="9"/>
      <c r="K226" s="9"/>
      <c r="L226" s="9"/>
      <c r="M226" s="9"/>
      <c r="N226" s="9"/>
      <c r="O226" s="9"/>
      <c r="P226" s="9"/>
      <c r="Q226" s="9">
        <f>M222</f>
        <v>1.0000000000000002</v>
      </c>
      <c r="R226" s="9">
        <f>N222</f>
        <v>0.1269084558883925</v>
      </c>
      <c r="S226" s="9">
        <f>O222</f>
        <v>-0.20511104604473837</v>
      </c>
      <c r="T226" s="9">
        <f>P222</f>
        <v>-0.35513006356657578</v>
      </c>
      <c r="U226" s="9">
        <f>Q222</f>
        <v>0.2629533982162881</v>
      </c>
      <c r="V226" s="9"/>
      <c r="W226" s="9"/>
      <c r="X226" s="9"/>
      <c r="Y226" s="9"/>
      <c r="Z226" s="9"/>
      <c r="AA226" s="9"/>
      <c r="AB226" s="12"/>
      <c r="AC226">
        <f ca="1">_xll.NORM()</f>
        <v>-0.58411482420461036</v>
      </c>
    </row>
    <row r="227" spans="1:29">
      <c r="A227">
        <f t="shared" si="63"/>
        <v>1996</v>
      </c>
      <c r="B227" s="80">
        <f t="shared" si="64"/>
        <v>1.4545454545458192E-3</v>
      </c>
      <c r="C227" s="80">
        <f t="shared" si="65"/>
        <v>-14</v>
      </c>
      <c r="D227" s="80">
        <f t="shared" si="66"/>
        <v>0.25199999999999978</v>
      </c>
      <c r="E227" s="80">
        <f t="shared" si="67"/>
        <v>-0.41071428571428559</v>
      </c>
      <c r="G227" s="9" t="str">
        <f t="shared" si="68"/>
        <v>Cott Seed</v>
      </c>
      <c r="H227">
        <v>10</v>
      </c>
      <c r="I227" s="8"/>
      <c r="J227" s="9"/>
      <c r="K227" s="9"/>
      <c r="L227" s="9"/>
      <c r="M227" s="9"/>
      <c r="N227" s="9"/>
      <c r="O227" s="9"/>
      <c r="P227" s="9"/>
      <c r="Q227" s="9"/>
      <c r="R227" s="9">
        <f>N223</f>
        <v>1</v>
      </c>
      <c r="S227" s="9">
        <f>O223</f>
        <v>-0.32532392627715312</v>
      </c>
      <c r="T227" s="9">
        <f>P223</f>
        <v>-0.12179802562453186</v>
      </c>
      <c r="U227" s="9"/>
      <c r="V227" s="9">
        <f>R223</f>
        <v>-0.3339313017113088</v>
      </c>
      <c r="W227" s="9"/>
      <c r="X227" s="9"/>
      <c r="Y227" s="9"/>
      <c r="Z227" s="9"/>
      <c r="AA227" s="9"/>
      <c r="AB227" s="12"/>
      <c r="AC227">
        <f ca="1">_xll.NORM()</f>
        <v>-0.53076585058025616</v>
      </c>
    </row>
    <row r="228" spans="1:29">
      <c r="A228" t="s">
        <v>40</v>
      </c>
      <c r="B228" s="80">
        <f>STDEV(B218:B227)</f>
        <v>6.6266455297104135E-2</v>
      </c>
      <c r="C228" s="80">
        <f>STDEV(C218:C227)</f>
        <v>16.267668457312411</v>
      </c>
      <c r="D228" s="80">
        <f>STDEV(D218:D227)</f>
        <v>0.51036080193148481</v>
      </c>
      <c r="E228" s="80">
        <f>STDEV(E218:E227)</f>
        <v>0.56939120928088549</v>
      </c>
      <c r="G228" s="9" t="str">
        <f t="shared" si="68"/>
        <v>Wheat</v>
      </c>
      <c r="H228">
        <v>11</v>
      </c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>
        <f>O224</f>
        <v>0.99999999999999989</v>
      </c>
      <c r="T228" s="9">
        <f>P224</f>
        <v>0</v>
      </c>
      <c r="U228" s="9"/>
      <c r="V228" s="9"/>
      <c r="W228" s="9">
        <f>S224</f>
        <v>0.21611127940251321</v>
      </c>
      <c r="X228" s="9"/>
      <c r="Y228" s="9"/>
      <c r="Z228" s="9"/>
      <c r="AA228" s="9"/>
      <c r="AB228" s="12"/>
      <c r="AC228">
        <f ca="1">_xll.NORM()</f>
        <v>-0.33769148261068982</v>
      </c>
    </row>
    <row r="229" spans="1:29">
      <c r="A229" s="23" t="s">
        <v>151</v>
      </c>
      <c r="G229" s="9" t="str">
        <f t="shared" si="68"/>
        <v>Sorghum</v>
      </c>
      <c r="H229" s="184">
        <v>12</v>
      </c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>
        <f>P225</f>
        <v>1</v>
      </c>
      <c r="U229" s="9"/>
      <c r="V229" s="9"/>
      <c r="W229" s="9"/>
      <c r="X229" s="9">
        <f>T225</f>
        <v>-0.5057678288712294</v>
      </c>
      <c r="Y229" s="9"/>
      <c r="Z229" s="9"/>
      <c r="AA229" s="9"/>
      <c r="AB229" s="12"/>
      <c r="AC229">
        <f ca="1">_xll.NORM()</f>
        <v>-0.23893340030165944</v>
      </c>
    </row>
    <row r="230" spans="1:29" ht="13.5" thickBot="1">
      <c r="A230" s="23" t="s">
        <v>152</v>
      </c>
      <c r="G230" s="9" t="str">
        <f t="shared" si="68"/>
        <v>Cott Lint</v>
      </c>
      <c r="H230" s="23">
        <v>13</v>
      </c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>
        <f>Q226</f>
        <v>1.0000000000000002</v>
      </c>
      <c r="V230" s="9">
        <f>R226</f>
        <v>0.1269084558883925</v>
      </c>
      <c r="W230" s="9">
        <f>S226</f>
        <v>-0.20511104604473837</v>
      </c>
      <c r="X230" s="9">
        <f>T226</f>
        <v>-0.35513006356657578</v>
      </c>
      <c r="Y230" s="9">
        <f>U226</f>
        <v>0.2629533982162881</v>
      </c>
      <c r="Z230" s="9"/>
      <c r="AA230" s="9"/>
      <c r="AB230" s="12"/>
      <c r="AC230">
        <f ca="1">_xll.NORM()</f>
        <v>-0.47648622656532069</v>
      </c>
    </row>
    <row r="231" spans="1:29">
      <c r="A231" s="25" t="s">
        <v>24</v>
      </c>
      <c r="B231" s="26" t="s">
        <v>61</v>
      </c>
      <c r="C231" s="6"/>
      <c r="D231" s="26" t="s">
        <v>40</v>
      </c>
      <c r="E231" s="6"/>
      <c r="F231" s="6"/>
      <c r="G231" s="9" t="str">
        <f t="shared" si="68"/>
        <v>Cott Seed</v>
      </c>
      <c r="H231" s="23">
        <v>14</v>
      </c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>
        <f>R227</f>
        <v>1</v>
      </c>
      <c r="W231" s="9">
        <f>S227</f>
        <v>-0.32532392627715312</v>
      </c>
      <c r="X231" s="9">
        <f>T227</f>
        <v>-0.12179802562453186</v>
      </c>
      <c r="Y231" s="9"/>
      <c r="Z231" s="9">
        <f>V227</f>
        <v>-0.3339313017113088</v>
      </c>
      <c r="AA231" s="9"/>
      <c r="AB231" s="12"/>
      <c r="AC231">
        <f ca="1">_xll.NORM()</f>
        <v>1.4142531176718844</v>
      </c>
    </row>
    <row r="232" spans="1:29">
      <c r="A232" s="53" t="s">
        <v>30</v>
      </c>
      <c r="B232" s="9"/>
      <c r="C232" s="9"/>
      <c r="D232" s="9"/>
      <c r="E232" s="9"/>
      <c r="F232" s="9"/>
      <c r="G232" s="9" t="str">
        <f t="shared" si="68"/>
        <v>Wheat</v>
      </c>
      <c r="H232" s="23">
        <v>15</v>
      </c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>
        <f>S228</f>
        <v>0.99999999999999989</v>
      </c>
      <c r="X232" s="9">
        <f>T228</f>
        <v>0</v>
      </c>
      <c r="Y232" s="9"/>
      <c r="Z232" s="9"/>
      <c r="AA232" s="9">
        <f>W228</f>
        <v>0.21611127940251321</v>
      </c>
      <c r="AB232" s="12"/>
      <c r="AC232">
        <f ca="1">_xll.NORM()</f>
        <v>-1.1600395126506018</v>
      </c>
    </row>
    <row r="233" spans="1:29">
      <c r="A233" s="8">
        <f>L162</f>
        <v>0.56633333333333258</v>
      </c>
      <c r="B233" s="9">
        <f>L163</f>
        <v>1.281212121212132E-2</v>
      </c>
      <c r="C233" s="9"/>
      <c r="D233" s="186">
        <f>B228</f>
        <v>6.6266455297104135E-2</v>
      </c>
      <c r="E233" s="9"/>
      <c r="G233" s="9" t="str">
        <f t="shared" si="68"/>
        <v>Sorghum</v>
      </c>
      <c r="H233" s="185">
        <v>16</v>
      </c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>
        <f>T229</f>
        <v>1</v>
      </c>
      <c r="Y233" s="9"/>
      <c r="Z233" s="9"/>
      <c r="AA233" s="9"/>
      <c r="AB233" s="12">
        <f>X229</f>
        <v>-0.5057678288712294</v>
      </c>
      <c r="AC233">
        <f ca="1">_xll.NORM()</f>
        <v>-0.85605423619135779</v>
      </c>
    </row>
    <row r="234" spans="1:29">
      <c r="A234" s="8"/>
      <c r="B234" s="9"/>
      <c r="C234" s="9"/>
      <c r="D234" s="9"/>
      <c r="E234" s="9"/>
      <c r="G234" s="9" t="str">
        <f t="shared" si="68"/>
        <v>Cott Lint</v>
      </c>
      <c r="H234">
        <v>17</v>
      </c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>
        <f>U230</f>
        <v>1.0000000000000002</v>
      </c>
      <c r="Z234" s="9">
        <f>V230</f>
        <v>0.1269084558883925</v>
      </c>
      <c r="AA234" s="9">
        <f>W230</f>
        <v>-0.20511104604473837</v>
      </c>
      <c r="AB234" s="12">
        <f>X230</f>
        <v>-0.35513006356657578</v>
      </c>
      <c r="AC234">
        <f ca="1">_xll.NORM()</f>
        <v>1.023458069395482</v>
      </c>
    </row>
    <row r="235" spans="1:29">
      <c r="A235" s="53" t="s">
        <v>31</v>
      </c>
      <c r="B235" s="9"/>
      <c r="C235" s="9"/>
      <c r="D235" s="9"/>
      <c r="E235" s="9"/>
      <c r="G235" s="9" t="str">
        <f t="shared" si="68"/>
        <v>Cott Seed</v>
      </c>
      <c r="H235">
        <v>18</v>
      </c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>
        <f>V231</f>
        <v>1</v>
      </c>
      <c r="AA235" s="9">
        <f>W231</f>
        <v>-0.32532392627715312</v>
      </c>
      <c r="AB235" s="12">
        <f>X231</f>
        <v>-0.12179802562453186</v>
      </c>
      <c r="AC235">
        <f ca="1">_xll.NORM()</f>
        <v>0.71046311784085869</v>
      </c>
    </row>
    <row r="236" spans="1:29">
      <c r="A236" s="8">
        <f>L176</f>
        <v>94.666666666666671</v>
      </c>
      <c r="B236" s="9">
        <f>L177</f>
        <v>1.7333333333333334</v>
      </c>
      <c r="C236" s="9"/>
      <c r="D236" s="186">
        <f>C228</f>
        <v>16.267668457312411</v>
      </c>
      <c r="E236" s="9"/>
      <c r="G236" s="9" t="str">
        <f t="shared" si="68"/>
        <v>Wheat</v>
      </c>
      <c r="H236">
        <v>19</v>
      </c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>W232</f>
        <v>0.99999999999999989</v>
      </c>
      <c r="AB236" s="12">
        <f>X232</f>
        <v>0</v>
      </c>
      <c r="AC236">
        <f ca="1">_xll.NORM()</f>
        <v>-0.39620262420190078</v>
      </c>
    </row>
    <row r="237" spans="1:29" ht="13.5" thickBot="1">
      <c r="A237" s="8"/>
      <c r="B237" s="9"/>
      <c r="C237" s="9"/>
      <c r="D237" s="9"/>
      <c r="E237" s="9"/>
      <c r="F237" s="9"/>
      <c r="G237" s="9" t="str">
        <f t="shared" si="68"/>
        <v>Sorghum</v>
      </c>
      <c r="H237">
        <v>20</v>
      </c>
      <c r="I237" s="14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27">
        <f>X233</f>
        <v>1</v>
      </c>
      <c r="AC237">
        <f ca="1">_xll.NORM()</f>
        <v>0.61885673952524289</v>
      </c>
    </row>
    <row r="238" spans="1:29">
      <c r="A238" s="53" t="s">
        <v>32</v>
      </c>
      <c r="B238" s="9"/>
      <c r="C238" s="9"/>
      <c r="D238" s="9"/>
      <c r="E238" s="9"/>
      <c r="F238" s="9"/>
      <c r="G238" s="9"/>
      <c r="I238">
        <v>1</v>
      </c>
      <c r="J238">
        <v>2</v>
      </c>
      <c r="K238">
        <v>3</v>
      </c>
      <c r="L238">
        <v>4</v>
      </c>
      <c r="M238">
        <v>5</v>
      </c>
      <c r="N238">
        <v>6</v>
      </c>
      <c r="O238">
        <v>7</v>
      </c>
      <c r="P238">
        <v>8</v>
      </c>
      <c r="Q238">
        <v>9</v>
      </c>
      <c r="R238">
        <v>10</v>
      </c>
      <c r="S238">
        <v>11</v>
      </c>
      <c r="T238">
        <v>12</v>
      </c>
      <c r="U238">
        <v>13</v>
      </c>
      <c r="V238">
        <v>14</v>
      </c>
      <c r="W238">
        <v>15</v>
      </c>
      <c r="X238">
        <v>16</v>
      </c>
      <c r="Y238">
        <v>17</v>
      </c>
      <c r="Z238">
        <v>18</v>
      </c>
      <c r="AA238">
        <v>19</v>
      </c>
      <c r="AB238">
        <v>20</v>
      </c>
    </row>
    <row r="239" spans="1:29">
      <c r="A239" s="8">
        <f>N190</f>
        <v>2.7013333333333316</v>
      </c>
      <c r="B239" s="9">
        <f>N191</f>
        <v>0.13466666666666688</v>
      </c>
      <c r="C239" s="9"/>
      <c r="D239" s="186">
        <f>D228</f>
        <v>0.51036080193148481</v>
      </c>
      <c r="E239" s="9"/>
      <c r="F239" s="9"/>
      <c r="G239" s="9"/>
    </row>
    <row r="240" spans="1:29">
      <c r="A240" s="8"/>
      <c r="B240" s="9"/>
      <c r="C240" s="9"/>
      <c r="D240" s="9"/>
      <c r="E240" s="9"/>
      <c r="F240" s="9"/>
      <c r="G240" s="9"/>
    </row>
    <row r="241" spans="1:9">
      <c r="A241" s="53" t="s">
        <v>33</v>
      </c>
      <c r="B241" s="9"/>
      <c r="C241" s="9"/>
      <c r="D241" s="9"/>
      <c r="E241" s="9"/>
      <c r="F241" s="9"/>
      <c r="G241" s="9"/>
    </row>
    <row r="242" spans="1:9" ht="13.5" thickBot="1">
      <c r="A242" s="14">
        <f>N204</f>
        <v>3.2321428571428572</v>
      </c>
      <c r="B242" s="15">
        <f>N205</f>
        <v>0.13571428571428565</v>
      </c>
      <c r="C242" s="15"/>
      <c r="D242" s="187">
        <f>E228</f>
        <v>0.56939120928088549</v>
      </c>
      <c r="E242" s="15"/>
      <c r="F242" s="15"/>
      <c r="G242" s="15"/>
    </row>
    <row r="244" spans="1:9">
      <c r="E244" s="23" t="s">
        <v>153</v>
      </c>
      <c r="F244" s="23"/>
    </row>
    <row r="245" spans="1:9">
      <c r="A245" s="23" t="s">
        <v>66</v>
      </c>
      <c r="B245" s="23"/>
      <c r="C245" s="23"/>
      <c r="E245" s="23" t="s">
        <v>278</v>
      </c>
      <c r="F245" s="23"/>
      <c r="H245" s="23"/>
      <c r="I245" s="23"/>
    </row>
    <row r="246" spans="1:9">
      <c r="A246" s="23" t="s">
        <v>67</v>
      </c>
      <c r="B246" s="23" t="s">
        <v>68</v>
      </c>
      <c r="C246" s="42" t="s">
        <v>69</v>
      </c>
      <c r="D246" s="23"/>
      <c r="E246" s="23" t="s">
        <v>83</v>
      </c>
      <c r="G246" s="23" t="s">
        <v>157</v>
      </c>
      <c r="H246" s="23"/>
      <c r="I246" s="23"/>
    </row>
    <row r="247" spans="1:9">
      <c r="A247">
        <v>1999</v>
      </c>
      <c r="B247">
        <v>11</v>
      </c>
      <c r="C247">
        <f>Model!$D$47</f>
        <v>160</v>
      </c>
      <c r="D247" t="s">
        <v>75</v>
      </c>
      <c r="E247" s="170">
        <f ca="1">C247+C247*_xll.EMPIRICAL($B$142:$B$153,$F$142:$F$153,_xll.CUSD($I$142:$W$156,$X$142:$X$156,G247))</f>
        <v>352.48388222927406</v>
      </c>
      <c r="G247">
        <v>1</v>
      </c>
      <c r="H247" s="23"/>
      <c r="I247" s="44"/>
    </row>
    <row r="248" spans="1:9">
      <c r="A248">
        <v>2000</v>
      </c>
      <c r="B248">
        <v>12</v>
      </c>
      <c r="C248">
        <f>Model!$D$47</f>
        <v>160</v>
      </c>
      <c r="D248" t="s">
        <v>75</v>
      </c>
      <c r="E248" s="170">
        <f ca="1">C248+C248*_xll.EMPIRICAL($B$142:$B$153,$F$142:$F$153,_xll.CUSD($I$142:$W$156,$X$142:$X$156,G248))</f>
        <v>352.56528150986998</v>
      </c>
      <c r="G248">
        <v>4</v>
      </c>
      <c r="H248" s="23"/>
      <c r="I248" s="44"/>
    </row>
    <row r="249" spans="1:9">
      <c r="A249">
        <v>2001</v>
      </c>
      <c r="B249">
        <v>13</v>
      </c>
      <c r="C249">
        <f>Model!$D$47</f>
        <v>160</v>
      </c>
      <c r="D249" t="s">
        <v>75</v>
      </c>
      <c r="E249" s="170">
        <f ca="1">C249+C249*_xll.EMPIRICAL($B$142:$B$153,$F$142:$F$153,_xll.CUSD($I$142:$W$156,$X$142:$X$156,G249))</f>
        <v>172.39785334722671</v>
      </c>
      <c r="G249">
        <v>7</v>
      </c>
      <c r="H249" s="23"/>
      <c r="I249" s="44"/>
    </row>
    <row r="250" spans="1:9">
      <c r="A250">
        <v>2002</v>
      </c>
      <c r="B250">
        <v>14</v>
      </c>
      <c r="C250">
        <f>Model!$D$47</f>
        <v>160</v>
      </c>
      <c r="D250" t="s">
        <v>75</v>
      </c>
      <c r="E250" s="170">
        <f ca="1">C250+C250*_xll.EMPIRICAL($B$142:$B$153,$F$142:$F$153,_xll.CUSD($I$142:$W$156,$X$142:$X$156,G250))</f>
        <v>281.75795680846505</v>
      </c>
      <c r="G250">
        <v>10</v>
      </c>
      <c r="H250" s="23"/>
      <c r="I250" s="44"/>
    </row>
    <row r="251" spans="1:9">
      <c r="A251">
        <v>2003</v>
      </c>
      <c r="B251">
        <v>15</v>
      </c>
      <c r="C251">
        <f>Model!$D$47</f>
        <v>160</v>
      </c>
      <c r="D251" t="s">
        <v>75</v>
      </c>
      <c r="E251" s="170">
        <f ca="1">C251+C251*_xll.EMPIRICAL($B$142:$B$153,$F$142:$F$153,_xll.CUSD($I$142:$W$156,$X$142:$X$156,G251))</f>
        <v>275.46077665810179</v>
      </c>
      <c r="G251">
        <v>13</v>
      </c>
      <c r="H251" s="23"/>
      <c r="I251" s="44"/>
    </row>
    <row r="252" spans="1:9">
      <c r="C252" t="s">
        <v>69</v>
      </c>
      <c r="H252" s="23"/>
      <c r="I252" s="44"/>
    </row>
    <row r="253" spans="1:9">
      <c r="A253" s="23" t="s">
        <v>70</v>
      </c>
      <c r="C253">
        <v>8.275862068965517E-4</v>
      </c>
      <c r="D253" t="s">
        <v>74</v>
      </c>
      <c r="H253" s="23"/>
      <c r="I253" s="44"/>
    </row>
    <row r="254" spans="1:9">
      <c r="A254">
        <v>1999</v>
      </c>
      <c r="B254">
        <v>11</v>
      </c>
      <c r="C254">
        <f>$C$253*C247</f>
        <v>0.13241379310344828</v>
      </c>
      <c r="D254" t="s">
        <v>76</v>
      </c>
      <c r="E254" s="169">
        <f ca="1">$C$253*E247</f>
        <v>0.29171079908629577</v>
      </c>
      <c r="G254" s="2"/>
      <c r="H254" s="23"/>
      <c r="I254" s="44"/>
    </row>
    <row r="255" spans="1:9">
      <c r="A255">
        <v>2000</v>
      </c>
      <c r="B255">
        <v>12</v>
      </c>
      <c r="C255">
        <f>$C$253*C248</f>
        <v>0.13241379310344828</v>
      </c>
      <c r="D255" t="s">
        <v>76</v>
      </c>
      <c r="E255" s="169">
        <f ca="1">$C$253*E248</f>
        <v>0.29177816400816825</v>
      </c>
      <c r="G255" s="2"/>
      <c r="H255" s="23"/>
      <c r="I255" s="44"/>
    </row>
    <row r="256" spans="1:9">
      <c r="A256">
        <v>2001</v>
      </c>
      <c r="B256">
        <v>13</v>
      </c>
      <c r="C256">
        <f>$C$253*C249</f>
        <v>0.13241379310344828</v>
      </c>
      <c r="D256" t="s">
        <v>76</v>
      </c>
      <c r="E256" s="169">
        <f ca="1">$C$253*E249</f>
        <v>0.14267408552873934</v>
      </c>
      <c r="G256" s="2"/>
      <c r="H256" s="23"/>
      <c r="I256" s="44"/>
    </row>
    <row r="257" spans="1:9">
      <c r="A257">
        <v>2002</v>
      </c>
      <c r="B257">
        <v>14</v>
      </c>
      <c r="C257">
        <f>$C$253*C250</f>
        <v>0.13241379310344828</v>
      </c>
      <c r="D257" t="s">
        <v>76</v>
      </c>
      <c r="E257" s="169">
        <f ca="1">$C$253*E250</f>
        <v>0.23317899873804004</v>
      </c>
      <c r="G257" s="2"/>
      <c r="H257" s="23"/>
      <c r="I257" s="44"/>
    </row>
    <row r="258" spans="1:9">
      <c r="A258">
        <v>2003</v>
      </c>
      <c r="B258">
        <v>15</v>
      </c>
      <c r="C258">
        <f>$C$253*C251</f>
        <v>0.13241379310344828</v>
      </c>
      <c r="D258" t="s">
        <v>76</v>
      </c>
      <c r="E258" s="169">
        <f ca="1">$C$253*E251</f>
        <v>0.22796753930325664</v>
      </c>
      <c r="G258" s="2"/>
      <c r="H258" s="23"/>
      <c r="I258" s="44"/>
    </row>
    <row r="259" spans="1:9">
      <c r="H259" s="23"/>
      <c r="I259" s="44"/>
    </row>
    <row r="260" spans="1:9">
      <c r="A260" s="23" t="s">
        <v>52</v>
      </c>
      <c r="C260" t="s">
        <v>69</v>
      </c>
      <c r="H260" s="23"/>
      <c r="I260" s="44"/>
    </row>
    <row r="261" spans="1:9">
      <c r="A261">
        <v>1999</v>
      </c>
      <c r="B261">
        <v>11</v>
      </c>
      <c r="C261">
        <f>Model!$E$47</f>
        <v>25</v>
      </c>
      <c r="D261" t="s">
        <v>77</v>
      </c>
      <c r="E261" s="169">
        <f ca="1">C261+C261*_xll.EMPIRICAL($D$142:$D$153,$F$142:$F$153,_xll.CUSD($I$142:$W$156,$X$142:$X$156,G261))</f>
        <v>23.80952380952381</v>
      </c>
      <c r="G261">
        <v>2</v>
      </c>
      <c r="H261" s="23"/>
      <c r="I261" s="44"/>
    </row>
    <row r="262" spans="1:9">
      <c r="A262">
        <v>2000</v>
      </c>
      <c r="B262">
        <v>12</v>
      </c>
      <c r="C262">
        <f>Model!$E$47</f>
        <v>25</v>
      </c>
      <c r="D262" t="s">
        <v>77</v>
      </c>
      <c r="E262" s="169">
        <f ca="1">C262+C262*_xll.EMPIRICAL($D$142:$D$153,$F$142:$F$153,_xll.CUSD($I$142:$W$156,$X$142:$X$156,G262))</f>
        <v>23.80952380952381</v>
      </c>
      <c r="G262">
        <v>5</v>
      </c>
      <c r="H262" s="23"/>
      <c r="I262" s="44"/>
    </row>
    <row r="263" spans="1:9">
      <c r="A263">
        <v>2001</v>
      </c>
      <c r="B263">
        <v>13</v>
      </c>
      <c r="C263">
        <f>Model!$E$47</f>
        <v>25</v>
      </c>
      <c r="D263" t="s">
        <v>77</v>
      </c>
      <c r="E263" s="169">
        <f ca="1">C263+C263*_xll.EMPIRICAL($D$142:$D$153,$F$142:$F$153,_xll.CUSD($I$142:$W$156,$X$142:$X$156,G263))</f>
        <v>22.185293018307128</v>
      </c>
      <c r="G263">
        <v>8</v>
      </c>
      <c r="H263" s="23"/>
      <c r="I263" s="44"/>
    </row>
    <row r="264" spans="1:9">
      <c r="A264">
        <v>2002</v>
      </c>
      <c r="B264">
        <v>14</v>
      </c>
      <c r="C264">
        <f>Model!$E$47</f>
        <v>25</v>
      </c>
      <c r="D264" t="s">
        <v>77</v>
      </c>
      <c r="E264" s="169">
        <f ca="1">C264+C264*_xll.EMPIRICAL($D$142:$D$153,$F$142:$F$153,_xll.CUSD($I$142:$W$156,$X$142:$X$156,G264))</f>
        <v>7.9351039017184846</v>
      </c>
      <c r="G264">
        <v>11</v>
      </c>
      <c r="H264" s="23"/>
      <c r="I264" s="44"/>
    </row>
    <row r="265" spans="1:9">
      <c r="A265">
        <v>2003</v>
      </c>
      <c r="B265">
        <v>15</v>
      </c>
      <c r="C265">
        <f>Model!$E$47</f>
        <v>25</v>
      </c>
      <c r="D265" t="s">
        <v>77</v>
      </c>
      <c r="E265" s="169">
        <f ca="1">C265+C265*_xll.EMPIRICAL($D$142:$D$153,$F$142:$F$153,_xll.CUSD($I$142:$W$156,$X$142:$X$156,G265))</f>
        <v>23.238964809640937</v>
      </c>
      <c r="G265">
        <v>14</v>
      </c>
      <c r="H265" s="23"/>
      <c r="I265" s="44"/>
    </row>
    <row r="266" spans="1:9">
      <c r="H266" s="23"/>
      <c r="I266" s="44"/>
    </row>
    <row r="267" spans="1:9">
      <c r="A267" s="23" t="s">
        <v>53</v>
      </c>
      <c r="C267" t="s">
        <v>69</v>
      </c>
      <c r="H267" s="23"/>
      <c r="I267" s="44"/>
    </row>
    <row r="268" spans="1:9">
      <c r="A268">
        <v>1999</v>
      </c>
      <c r="B268">
        <v>11</v>
      </c>
      <c r="C268">
        <f>Model!$F$47</f>
        <v>35.700000000000003</v>
      </c>
      <c r="D268" t="s">
        <v>78</v>
      </c>
      <c r="E268" s="169">
        <f ca="1">C268+C268*_xll.EMPIRICAL($E$142:$E$153,$F$142:$F$153,_xll.CUSD($I$142:$W$156,$X$142:$X$156,G268))</f>
        <v>20.946111561646845</v>
      </c>
      <c r="G268">
        <v>3</v>
      </c>
      <c r="H268" s="23"/>
      <c r="I268" s="44"/>
    </row>
    <row r="269" spans="1:9">
      <c r="A269">
        <v>2000</v>
      </c>
      <c r="B269">
        <v>12</v>
      </c>
      <c r="C269">
        <f>Model!$F$47</f>
        <v>35.700000000000003</v>
      </c>
      <c r="D269" t="s">
        <v>78</v>
      </c>
      <c r="E269" s="169">
        <f ca="1">C269+C269*_xll.EMPIRICAL($E$142:$E$153,$F$142:$F$153,_xll.CUSD($I$142:$W$156,$X$142:$X$156,G269))</f>
        <v>31.675908717568916</v>
      </c>
      <c r="G269">
        <v>6</v>
      </c>
      <c r="H269" s="23"/>
      <c r="I269" s="44"/>
    </row>
    <row r="270" spans="1:9">
      <c r="A270">
        <v>2001</v>
      </c>
      <c r="B270">
        <v>13</v>
      </c>
      <c r="C270">
        <f>Model!$F$47</f>
        <v>35.700000000000003</v>
      </c>
      <c r="D270" t="s">
        <v>78</v>
      </c>
      <c r="E270" s="169">
        <f ca="1">C270+C270*_xll.EMPIRICAL($E$142:$E$153,$F$142:$F$153,_xll.CUSD($I$142:$W$156,$X$142:$X$156,G270))</f>
        <v>30.987248785377407</v>
      </c>
      <c r="G270">
        <v>9</v>
      </c>
      <c r="H270" s="23"/>
      <c r="I270" s="44"/>
    </row>
    <row r="271" spans="1:9">
      <c r="A271">
        <v>2002</v>
      </c>
      <c r="B271">
        <v>14</v>
      </c>
      <c r="C271">
        <f>Model!$F$47</f>
        <v>35.700000000000003</v>
      </c>
      <c r="D271" t="s">
        <v>78</v>
      </c>
      <c r="E271" s="169">
        <f ca="1">C271+C271*_xll.EMPIRICAL($E$142:$E$153,$F$142:$F$153,_xll.CUSD($I$142:$W$156,$X$142:$X$156,G271))</f>
        <v>30.178869128074965</v>
      </c>
      <c r="G271">
        <v>12</v>
      </c>
      <c r="H271" s="23"/>
      <c r="I271" s="44"/>
    </row>
    <row r="272" spans="1:9">
      <c r="A272">
        <v>2003</v>
      </c>
      <c r="B272">
        <v>15</v>
      </c>
      <c r="C272">
        <f>Model!$F$47</f>
        <v>35.700000000000003</v>
      </c>
      <c r="D272" t="s">
        <v>78</v>
      </c>
      <c r="E272" s="169">
        <f ca="1">C272+C272*_xll.EMPIRICAL($E$142:$E$153,$F$142:$F$153,_xll.CUSD($I$142:$W$156,$X$142:$X$156,G272))</f>
        <v>42.674989774836632</v>
      </c>
      <c r="G272">
        <v>15</v>
      </c>
      <c r="H272" s="23"/>
      <c r="I272" s="44"/>
    </row>
    <row r="273" spans="1:10">
      <c r="G273" s="23" t="s">
        <v>109</v>
      </c>
      <c r="H273" s="23" t="s">
        <v>109</v>
      </c>
    </row>
    <row r="274" spans="1:10">
      <c r="A274" s="23" t="s">
        <v>30</v>
      </c>
      <c r="C274" t="s">
        <v>69</v>
      </c>
      <c r="G274" s="23" t="s">
        <v>69</v>
      </c>
      <c r="H274" s="23" t="s">
        <v>40</v>
      </c>
      <c r="J274" s="23" t="s">
        <v>286</v>
      </c>
    </row>
    <row r="275" spans="1:10">
      <c r="B275">
        <v>1</v>
      </c>
      <c r="C275">
        <f>J17</f>
        <v>0.625</v>
      </c>
      <c r="D275" t="s">
        <v>79</v>
      </c>
      <c r="E275" s="169">
        <f ca="1">_xll.NORM($G275,$H275,_xll.CUSD($I$218:$AB$237,$AC$218:$AC$237,B275))</f>
        <v>0.65811156520100556</v>
      </c>
      <c r="G275" s="44">
        <f>C275</f>
        <v>0.625</v>
      </c>
      <c r="H275" s="188">
        <f>$D$233</f>
        <v>6.6266455297104135E-2</v>
      </c>
      <c r="J275" s="23" t="s">
        <v>287</v>
      </c>
    </row>
    <row r="276" spans="1:10">
      <c r="B276">
        <v>5</v>
      </c>
      <c r="C276">
        <f>J18</f>
        <v>0.54500000000000004</v>
      </c>
      <c r="D276" t="s">
        <v>79</v>
      </c>
      <c r="E276" s="169">
        <f ca="1">_xll.NORM($G276,$H276,_xll.CUSD($I$218:$AB$237,$AC$218:$AC$237,B276))</f>
        <v>0.55163053972741483</v>
      </c>
      <c r="G276" s="44">
        <f>C276</f>
        <v>0.54500000000000004</v>
      </c>
      <c r="H276" s="188">
        <f>$D$233</f>
        <v>6.6266455297104135E-2</v>
      </c>
      <c r="J276" s="23" t="s">
        <v>288</v>
      </c>
    </row>
    <row r="277" spans="1:10">
      <c r="B277">
        <v>9</v>
      </c>
      <c r="C277">
        <f>J19</f>
        <v>0.53100000000000003</v>
      </c>
      <c r="D277" t="s">
        <v>79</v>
      </c>
      <c r="E277" s="169">
        <f ca="1">_xll.NORM($G277,$H277,_xll.CUSD($I$218:$AB$237,$AC$218:$AC$237,B277))</f>
        <v>0.50021742059190755</v>
      </c>
      <c r="G277" s="44">
        <f>C277</f>
        <v>0.53100000000000003</v>
      </c>
      <c r="H277" s="188">
        <f>$D$233</f>
        <v>6.6266455297104135E-2</v>
      </c>
    </row>
    <row r="278" spans="1:10">
      <c r="B278">
        <v>13</v>
      </c>
      <c r="C278">
        <f>J20</f>
        <v>0.55300000000000005</v>
      </c>
      <c r="D278" t="s">
        <v>79</v>
      </c>
      <c r="E278" s="169">
        <f ca="1">_xll.NORM($G278,$H278,_xll.CUSD($I$218:$AB$237,$AC$218:$AC$237,B278))</f>
        <v>0.58208771776577783</v>
      </c>
      <c r="G278" s="44">
        <f>C278</f>
        <v>0.55300000000000005</v>
      </c>
      <c r="H278" s="188">
        <f>$D$233</f>
        <v>6.6266455297104135E-2</v>
      </c>
    </row>
    <row r="279" spans="1:10">
      <c r="B279">
        <v>17</v>
      </c>
      <c r="C279" s="4">
        <f>J21</f>
        <v>0.57999999999999996</v>
      </c>
      <c r="D279" t="s">
        <v>79</v>
      </c>
      <c r="E279" s="169">
        <f ca="1">_xll.NORM($G279,$H279,_xll.CUSD($I$218:$AB$237,$AC$218:$AC$237,B279))</f>
        <v>0.63351445220978131</v>
      </c>
      <c r="G279" s="44">
        <f>C279</f>
        <v>0.57999999999999996</v>
      </c>
      <c r="H279" s="188">
        <f>$D$233</f>
        <v>6.6266455297104135E-2</v>
      </c>
    </row>
    <row r="280" spans="1:10">
      <c r="G280" s="23" t="s">
        <v>109</v>
      </c>
      <c r="H280" s="23" t="s">
        <v>109</v>
      </c>
    </row>
    <row r="281" spans="1:10">
      <c r="A281" t="s">
        <v>71</v>
      </c>
      <c r="C281" t="s">
        <v>69</v>
      </c>
      <c r="G281" s="23" t="s">
        <v>69</v>
      </c>
      <c r="H281" s="23" t="s">
        <v>40</v>
      </c>
    </row>
    <row r="282" spans="1:10">
      <c r="B282">
        <f>B275+1</f>
        <v>2</v>
      </c>
      <c r="C282">
        <f>K17</f>
        <v>127.27</v>
      </c>
      <c r="D282" t="s">
        <v>80</v>
      </c>
      <c r="E282" s="169">
        <f ca="1">_xll.NORM($G282,$H282,_xll.CUSD($I$218:$AB$237,$AC$218:$AC$237,B282))</f>
        <v>123.70909095201944</v>
      </c>
      <c r="G282" s="44">
        <f>C282</f>
        <v>127.27</v>
      </c>
      <c r="H282" s="188">
        <f>$D$236</f>
        <v>16.267668457312411</v>
      </c>
    </row>
    <row r="283" spans="1:10">
      <c r="B283">
        <f>B276+1</f>
        <v>6</v>
      </c>
      <c r="C283">
        <f>K18</f>
        <v>105.91</v>
      </c>
      <c r="D283" t="s">
        <v>80</v>
      </c>
      <c r="E283" s="169">
        <f ca="1">_xll.NORM($G283,$H283,_xll.CUSD($I$218:$AB$237,$AC$218:$AC$237,B283))</f>
        <v>109.46049088986204</v>
      </c>
      <c r="G283" s="44">
        <f>C283</f>
        <v>105.91</v>
      </c>
      <c r="H283" s="188">
        <f>$D$236</f>
        <v>16.267668457312411</v>
      </c>
    </row>
    <row r="284" spans="1:10">
      <c r="B284">
        <f>B277+1</f>
        <v>10</v>
      </c>
      <c r="C284">
        <f>K19</f>
        <v>103.26</v>
      </c>
      <c r="D284" t="s">
        <v>80</v>
      </c>
      <c r="E284" s="169">
        <f ca="1">_xll.NORM($G284,$H284,_xll.CUSD($I$218:$AB$237,$AC$218:$AC$237,B284))</f>
        <v>89.618281952345711</v>
      </c>
      <c r="G284" s="44">
        <f>C284</f>
        <v>103.26</v>
      </c>
      <c r="H284" s="188">
        <f>$D$236</f>
        <v>16.267668457312411</v>
      </c>
    </row>
    <row r="285" spans="1:10">
      <c r="B285">
        <f>B278+1</f>
        <v>14</v>
      </c>
      <c r="C285">
        <f>K20</f>
        <v>102.31</v>
      </c>
      <c r="D285" t="s">
        <v>80</v>
      </c>
      <c r="E285" s="169">
        <f ca="1">_xll.NORM($G285,$H285,_xll.CUSD($I$218:$AB$237,$AC$218:$AC$237,B285))</f>
        <v>126.38590337700209</v>
      </c>
      <c r="G285" s="44">
        <f>C285</f>
        <v>102.31</v>
      </c>
      <c r="H285" s="188">
        <f>$D$236</f>
        <v>16.267668457312411</v>
      </c>
    </row>
    <row r="286" spans="1:10">
      <c r="B286">
        <f>B279+1</f>
        <v>18</v>
      </c>
      <c r="C286">
        <f>K21</f>
        <v>102.64</v>
      </c>
      <c r="D286" t="s">
        <v>80</v>
      </c>
      <c r="E286" s="169">
        <f ca="1">_xll.NORM($G286,$H286,_xll.CUSD($I$218:$AB$237,$AC$218:$AC$237,B286))</f>
        <v>114.3484666838729</v>
      </c>
      <c r="G286" s="44">
        <f>C286</f>
        <v>102.64</v>
      </c>
      <c r="H286" s="188">
        <f>$D$236</f>
        <v>16.267668457312411</v>
      </c>
    </row>
    <row r="287" spans="1:10">
      <c r="G287" s="23" t="s">
        <v>109</v>
      </c>
      <c r="H287" s="23" t="s">
        <v>109</v>
      </c>
    </row>
    <row r="288" spans="1:10">
      <c r="A288" t="s">
        <v>72</v>
      </c>
      <c r="C288" t="s">
        <v>69</v>
      </c>
      <c r="G288" s="23" t="s">
        <v>69</v>
      </c>
      <c r="H288" s="23" t="s">
        <v>40</v>
      </c>
    </row>
    <row r="289" spans="1:9">
      <c r="B289">
        <f>1+B282</f>
        <v>3</v>
      </c>
      <c r="C289">
        <f>L17</f>
        <v>2.98</v>
      </c>
      <c r="D289" t="s">
        <v>81</v>
      </c>
      <c r="E289" s="169">
        <f ca="1">_xll.NORM($G289,$H289,_xll.CUSD($I$218:$AB$237,$AC$218:$AC$237,B289))</f>
        <v>3.3562098578644814</v>
      </c>
      <c r="G289" s="44">
        <f>C289</f>
        <v>2.98</v>
      </c>
      <c r="H289" s="188">
        <f>$D$239</f>
        <v>0.51036080193148481</v>
      </c>
    </row>
    <row r="290" spans="1:9">
      <c r="B290">
        <f>1+B283</f>
        <v>7</v>
      </c>
      <c r="C290">
        <f>L18</f>
        <v>3.15</v>
      </c>
      <c r="D290" t="s">
        <v>81</v>
      </c>
      <c r="E290" s="169">
        <f ca="1">_xll.NORM($G290,$H290,_xll.CUSD($I$218:$AB$237,$AC$218:$AC$237,B290))</f>
        <v>3.1616651250957282</v>
      </c>
      <c r="G290" s="44">
        <f>C290</f>
        <v>3.15</v>
      </c>
      <c r="H290" s="188">
        <f>$D$239</f>
        <v>0.51036080193148481</v>
      </c>
    </row>
    <row r="291" spans="1:9">
      <c r="B291">
        <f>1+B284</f>
        <v>11</v>
      </c>
      <c r="C291">
        <f>L19</f>
        <v>3.25</v>
      </c>
      <c r="D291" t="s">
        <v>81</v>
      </c>
      <c r="E291" s="169">
        <f ca="1">_xll.NORM($G291,$H291,_xll.CUSD($I$218:$AB$237,$AC$218:$AC$237,B291))</f>
        <v>2.9904474551319051</v>
      </c>
      <c r="G291" s="44">
        <f>C291</f>
        <v>3.25</v>
      </c>
      <c r="H291" s="188">
        <f>$D$239</f>
        <v>0.51036080193148481</v>
      </c>
    </row>
    <row r="292" spans="1:9">
      <c r="B292">
        <f>1+B285</f>
        <v>15</v>
      </c>
      <c r="C292">
        <f>L20</f>
        <v>3.34</v>
      </c>
      <c r="D292" t="s">
        <v>81</v>
      </c>
      <c r="E292" s="169">
        <f ca="1">_xll.NORM($G292,$H292,_xll.CUSD($I$218:$AB$237,$AC$218:$AC$237,B292))</f>
        <v>2.7651449831681694</v>
      </c>
      <c r="G292" s="44">
        <f>C292</f>
        <v>3.34</v>
      </c>
      <c r="H292" s="188">
        <f>$D$239</f>
        <v>0.51036080193148481</v>
      </c>
    </row>
    <row r="293" spans="1:9">
      <c r="B293">
        <f>1+B286</f>
        <v>19</v>
      </c>
      <c r="C293">
        <f>L21</f>
        <v>3.46</v>
      </c>
      <c r="D293" t="s">
        <v>81</v>
      </c>
      <c r="E293" s="169">
        <f ca="1">_xll.NORM($G293,$H293,_xll.CUSD($I$218:$AB$237,$AC$218:$AC$237,B293))</f>
        <v>3.2577937672818806</v>
      </c>
      <c r="G293" s="44">
        <f>C293</f>
        <v>3.46</v>
      </c>
      <c r="H293" s="188">
        <f>$D$239</f>
        <v>0.51036080193148481</v>
      </c>
    </row>
    <row r="294" spans="1:9">
      <c r="G294" s="23" t="s">
        <v>109</v>
      </c>
      <c r="H294" s="23" t="s">
        <v>109</v>
      </c>
    </row>
    <row r="295" spans="1:9">
      <c r="A295" t="s">
        <v>73</v>
      </c>
      <c r="C295" t="s">
        <v>69</v>
      </c>
      <c r="G295" s="23" t="s">
        <v>69</v>
      </c>
      <c r="H295" s="23" t="s">
        <v>40</v>
      </c>
    </row>
    <row r="296" spans="1:9">
      <c r="B296">
        <f>1+B289</f>
        <v>4</v>
      </c>
      <c r="C296" s="4">
        <f>M17</f>
        <v>3.0357142857142851</v>
      </c>
      <c r="D296" t="s">
        <v>82</v>
      </c>
      <c r="E296" s="169">
        <f ca="1">_xll.NORM($G296,$H296,_xll.CUSD($I$218:$AB$237,$AC$218:$AC$237,B296))</f>
        <v>2.8143136370308142</v>
      </c>
      <c r="G296" s="44">
        <f>C296</f>
        <v>3.0357142857142851</v>
      </c>
      <c r="H296" s="188">
        <f>$D$242</f>
        <v>0.56939120928088549</v>
      </c>
    </row>
    <row r="297" spans="1:9">
      <c r="B297">
        <f>1+B290</f>
        <v>8</v>
      </c>
      <c r="C297" s="4">
        <f>M18</f>
        <v>3.3214285714285712</v>
      </c>
      <c r="D297" t="s">
        <v>82</v>
      </c>
      <c r="E297" s="169">
        <f ca="1">_xll.NORM($G297,$H297,_xll.CUSD($I$218:$AB$237,$AC$218:$AC$237,B297))</f>
        <v>3.6232922341657754</v>
      </c>
      <c r="G297" s="44">
        <f>C297</f>
        <v>3.3214285714285712</v>
      </c>
      <c r="H297" s="188">
        <f>$D$242</f>
        <v>0.56939120928088549</v>
      </c>
    </row>
    <row r="298" spans="1:9">
      <c r="B298">
        <f>1+B291</f>
        <v>12</v>
      </c>
      <c r="C298" s="4">
        <f>M19</f>
        <v>3.4285714285714279</v>
      </c>
      <c r="D298" t="s">
        <v>82</v>
      </c>
      <c r="E298" s="169">
        <f ca="1">_xll.NORM($G298,$H298,_xll.CUSD($I$218:$AB$237,$AC$218:$AC$237,B298))</f>
        <v>3.5879772999337032</v>
      </c>
      <c r="G298" s="44">
        <f>C298</f>
        <v>3.4285714285714279</v>
      </c>
      <c r="H298" s="188">
        <f>$D$242</f>
        <v>0.56939120928088549</v>
      </c>
    </row>
    <row r="299" spans="1:9">
      <c r="B299">
        <f>1+B292</f>
        <v>16</v>
      </c>
      <c r="C299" s="4">
        <f>M20</f>
        <v>3.5357142857142851</v>
      </c>
      <c r="D299" t="s">
        <v>82</v>
      </c>
      <c r="E299" s="169">
        <f ca="1">_xll.NORM($G299,$H299,_xll.CUSD($I$218:$AB$237,$AC$218:$AC$237,B299))</f>
        <v>2.8086153424247202</v>
      </c>
      <c r="G299" s="44">
        <f>C299</f>
        <v>3.5357142857142851</v>
      </c>
      <c r="H299" s="188">
        <f>$D$242</f>
        <v>0.56939120928088549</v>
      </c>
    </row>
    <row r="300" spans="1:9">
      <c r="B300">
        <f>1+B293</f>
        <v>20</v>
      </c>
      <c r="C300" s="4">
        <f>M21</f>
        <v>3.6607142857142851</v>
      </c>
      <c r="D300" t="s">
        <v>82</v>
      </c>
      <c r="E300" s="169">
        <f ca="1">_xll.NORM($G300,$H300,_xll.CUSD($I$218:$AB$237,$AC$218:$AC$237,B300))</f>
        <v>4.0130859779593608</v>
      </c>
      <c r="G300" s="44">
        <f>C300</f>
        <v>3.6607142857142851</v>
      </c>
      <c r="H300" s="188">
        <f>$D$242</f>
        <v>0.56939120928088549</v>
      </c>
    </row>
    <row r="301" spans="1:9">
      <c r="G301" s="23" t="s">
        <v>110</v>
      </c>
      <c r="H301" s="23" t="s">
        <v>110</v>
      </c>
      <c r="I301" s="23" t="s">
        <v>110</v>
      </c>
    </row>
    <row r="302" spans="1:9">
      <c r="A302" t="s">
        <v>108</v>
      </c>
      <c r="E302" t="s">
        <v>110</v>
      </c>
      <c r="G302" s="23" t="s">
        <v>155</v>
      </c>
      <c r="H302" s="23" t="s">
        <v>156</v>
      </c>
      <c r="I302" s="23" t="s">
        <v>90</v>
      </c>
    </row>
    <row r="303" spans="1:9">
      <c r="C303" s="4">
        <f>N17</f>
        <v>7.417534112757</v>
      </c>
      <c r="D303" t="s">
        <v>158</v>
      </c>
      <c r="E303" s="169">
        <f ca="1">C303+C303*_xll.EMPIRICAL($G$27:$G$38,$H$27:$H$38)</f>
        <v>7.6609072767560855</v>
      </c>
      <c r="G303" s="44">
        <f>C303*(1+$G$27)</f>
        <v>6.4795042678897596</v>
      </c>
      <c r="H303" s="44">
        <f>C303*(1+$G$38)</f>
        <v>8.2095562426739246</v>
      </c>
      <c r="I303" s="44">
        <f>C303</f>
        <v>7.417534112757</v>
      </c>
    </row>
    <row r="304" spans="1:9">
      <c r="C304" s="4">
        <f>N18</f>
        <v>7.6156430441581202</v>
      </c>
      <c r="D304" t="s">
        <v>158</v>
      </c>
      <c r="E304" s="169">
        <f ca="1">C304+C304*_xll.EMPIRICAL($G$27:$G$38,$H$27:$H$38)</f>
        <v>6.6559473624722338</v>
      </c>
      <c r="G304" s="44">
        <f>C304*(1+$G$27)</f>
        <v>6.6525601173145663</v>
      </c>
      <c r="H304" s="44">
        <f>C304*(1+$G$38)</f>
        <v>8.4288186538459069</v>
      </c>
      <c r="I304" s="44">
        <f>C304</f>
        <v>7.6156430441581202</v>
      </c>
    </row>
    <row r="305" spans="1:9">
      <c r="C305" s="4">
        <f>N19</f>
        <v>7.6093001057069802</v>
      </c>
      <c r="D305" t="s">
        <v>158</v>
      </c>
      <c r="E305" s="169">
        <f ca="1">C305+C305*_xll.EMPIRICAL($G$27:$G$38,$H$27:$H$38)</f>
        <v>8.4217107470635248</v>
      </c>
      <c r="G305" s="44">
        <f>C305*(1+$G$27)</f>
        <v>6.6470193141122671</v>
      </c>
      <c r="H305" s="44">
        <f>C305*(1+$G$38)</f>
        <v>8.4217984353788431</v>
      </c>
      <c r="I305" s="44">
        <f>C305</f>
        <v>7.6093001057069802</v>
      </c>
    </row>
    <row r="306" spans="1:9">
      <c r="C306" s="4">
        <f>N20</f>
        <v>7.6600799183705002</v>
      </c>
      <c r="D306" t="s">
        <v>158</v>
      </c>
      <c r="E306" s="169">
        <f ca="1">C306+C306*_xll.EMPIRICAL($G$27:$G$38,$H$27:$H$38)</f>
        <v>8.3620787869680875</v>
      </c>
      <c r="G306" s="44">
        <f>C306*(1+$G$27)</f>
        <v>6.6913774536063668</v>
      </c>
      <c r="H306" s="44">
        <f>C306*(1+$G$38)</f>
        <v>8.4780003647149869</v>
      </c>
      <c r="I306" s="44">
        <f>C306</f>
        <v>7.6600799183705002</v>
      </c>
    </row>
    <row r="307" spans="1:9">
      <c r="C307" s="4">
        <f>N21</f>
        <v>7.6421031128308998</v>
      </c>
      <c r="D307" t="s">
        <v>158</v>
      </c>
      <c r="E307" s="169">
        <f ca="1">C307+C307*_xll.EMPIRICAL($G$27:$G$38,$H$27:$H$38)</f>
        <v>6.676204360463057</v>
      </c>
      <c r="G307" s="44">
        <f>C307*(1+$G$27)</f>
        <v>6.6756740154494016</v>
      </c>
      <c r="H307" s="44">
        <f>C307*(1+$G$38)</f>
        <v>8.4581040495922633</v>
      </c>
      <c r="I307" s="44">
        <f>C307</f>
        <v>7.6421031128308998</v>
      </c>
    </row>
    <row r="308" spans="1:9">
      <c r="C308" s="4"/>
    </row>
    <row r="309" spans="1:9" ht="13.5" thickBot="1">
      <c r="A309" s="23"/>
      <c r="B309" s="23" t="s">
        <v>84</v>
      </c>
      <c r="C309" s="23"/>
      <c r="D309" s="23"/>
      <c r="E309" s="23"/>
      <c r="F309" s="23"/>
    </row>
    <row r="310" spans="1:9">
      <c r="A310" s="25"/>
      <c r="B310" s="26" t="s">
        <v>85</v>
      </c>
      <c r="C310" s="26" t="s">
        <v>86</v>
      </c>
      <c r="D310" s="26" t="s">
        <v>87</v>
      </c>
      <c r="E310" s="26" t="s">
        <v>88</v>
      </c>
      <c r="F310" s="64" t="s">
        <v>89</v>
      </c>
    </row>
    <row r="311" spans="1:9">
      <c r="A311" s="53" t="str">
        <f>D247</f>
        <v>Ylint</v>
      </c>
      <c r="B311" s="65">
        <f ca="1">E247</f>
        <v>352.48388222927406</v>
      </c>
      <c r="C311" s="65">
        <f ca="1">E248</f>
        <v>352.56528150986998</v>
      </c>
      <c r="D311" s="65">
        <f ca="1">E249</f>
        <v>172.39785334722671</v>
      </c>
      <c r="E311" s="65">
        <f ca="1">E250</f>
        <v>281.75795680846505</v>
      </c>
      <c r="F311" s="66">
        <f ca="1">E251</f>
        <v>275.46077665810179</v>
      </c>
    </row>
    <row r="312" spans="1:9">
      <c r="A312" s="53" t="str">
        <f>D254</f>
        <v>Yseed</v>
      </c>
      <c r="B312" s="67">
        <f ca="1">E254</f>
        <v>0.29171079908629577</v>
      </c>
      <c r="C312" s="67">
        <f ca="1">E255</f>
        <v>0.29177816400816825</v>
      </c>
      <c r="D312" s="67">
        <f ca="1">E256</f>
        <v>0.14267408552873934</v>
      </c>
      <c r="E312" s="67">
        <f ca="1">E257</f>
        <v>0.23317899873804004</v>
      </c>
      <c r="F312" s="59">
        <f ca="1">E258</f>
        <v>0.22796753930325664</v>
      </c>
    </row>
    <row r="313" spans="1:9">
      <c r="A313" s="53" t="str">
        <f>D261</f>
        <v>Ywheat</v>
      </c>
      <c r="B313" s="65">
        <f ca="1">E261</f>
        <v>23.80952380952381</v>
      </c>
      <c r="C313" s="65">
        <f ca="1">E262</f>
        <v>23.80952380952381</v>
      </c>
      <c r="D313" s="65">
        <f ca="1">E263</f>
        <v>22.185293018307128</v>
      </c>
      <c r="E313" s="65">
        <f ca="1">E264</f>
        <v>7.9351039017184846</v>
      </c>
      <c r="F313" s="66">
        <f ca="1">E265</f>
        <v>23.238964809640937</v>
      </c>
    </row>
    <row r="314" spans="1:9">
      <c r="A314" s="53" t="str">
        <f>D268</f>
        <v>Ysorghum</v>
      </c>
      <c r="B314" s="65">
        <f ca="1">E268</f>
        <v>20.946111561646845</v>
      </c>
      <c r="C314" s="65">
        <f ca="1">E269</f>
        <v>31.675908717568916</v>
      </c>
      <c r="D314" s="65">
        <f ca="1">E270</f>
        <v>30.987248785377407</v>
      </c>
      <c r="E314" s="65">
        <f ca="1">E271</f>
        <v>30.178869128074965</v>
      </c>
      <c r="F314" s="66">
        <f ca="1">E272</f>
        <v>42.674989774836632</v>
      </c>
    </row>
    <row r="315" spans="1:9">
      <c r="A315" s="53" t="str">
        <f>D275</f>
        <v>Plint</v>
      </c>
      <c r="B315" s="65">
        <f ca="1">E275</f>
        <v>0.65811156520100556</v>
      </c>
      <c r="C315" s="65">
        <f ca="1">E276</f>
        <v>0.55163053972741483</v>
      </c>
      <c r="D315" s="65">
        <f ca="1">E277</f>
        <v>0.50021742059190755</v>
      </c>
      <c r="E315" s="65">
        <f ca="1">E278</f>
        <v>0.58208771776577783</v>
      </c>
      <c r="F315" s="66">
        <f ca="1">E279</f>
        <v>0.63351445220978131</v>
      </c>
    </row>
    <row r="316" spans="1:9">
      <c r="A316" s="53" t="str">
        <f>D282</f>
        <v>Pseed</v>
      </c>
      <c r="B316" s="65">
        <f ca="1">E282</f>
        <v>123.70909095201944</v>
      </c>
      <c r="C316" s="65">
        <f ca="1">E283</f>
        <v>109.46049088986204</v>
      </c>
      <c r="D316" s="65">
        <f ca="1">E284</f>
        <v>89.618281952345711</v>
      </c>
      <c r="E316" s="65">
        <f ca="1">E285</f>
        <v>126.38590337700209</v>
      </c>
      <c r="F316" s="66">
        <f ca="1">E286</f>
        <v>114.3484666838729</v>
      </c>
    </row>
    <row r="317" spans="1:9">
      <c r="A317" s="53" t="str">
        <f>D289</f>
        <v>Pwheat</v>
      </c>
      <c r="B317" s="67">
        <f ca="1">E289</f>
        <v>3.3562098578644814</v>
      </c>
      <c r="C317" s="67">
        <f ca="1">E290</f>
        <v>3.1616651250957282</v>
      </c>
      <c r="D317" s="67">
        <f ca="1">E291</f>
        <v>2.9904474551319051</v>
      </c>
      <c r="E317" s="67">
        <f ca="1">E292</f>
        <v>2.7651449831681694</v>
      </c>
      <c r="F317" s="59">
        <f ca="1">E293</f>
        <v>3.2577937672818806</v>
      </c>
    </row>
    <row r="318" spans="1:9">
      <c r="A318" s="53" t="str">
        <f>D296</f>
        <v>Psorghum</v>
      </c>
      <c r="B318" s="67">
        <f ca="1">E296</f>
        <v>2.8143136370308142</v>
      </c>
      <c r="C318" s="67">
        <f ca="1">E297</f>
        <v>3.6232922341657754</v>
      </c>
      <c r="D318" s="67">
        <f ca="1">E298</f>
        <v>3.5879772999337032</v>
      </c>
      <c r="E318" s="67">
        <f ca="1">E299</f>
        <v>2.8086153424247202</v>
      </c>
      <c r="F318" s="59">
        <f ca="1">E300</f>
        <v>4.0130859779593608</v>
      </c>
    </row>
    <row r="319" spans="1:9" ht="13.5" thickBot="1">
      <c r="A319" s="68" t="s">
        <v>111</v>
      </c>
      <c r="B319" s="62">
        <f ca="1">E303</f>
        <v>7.6609072767560855</v>
      </c>
      <c r="C319" s="62">
        <f ca="1">E304</f>
        <v>6.6559473624722338</v>
      </c>
      <c r="D319" s="62">
        <f ca="1">E305</f>
        <v>8.4217107470635248</v>
      </c>
      <c r="E319" s="62">
        <f ca="1">E306</f>
        <v>8.3620787869680875</v>
      </c>
      <c r="F319" s="63">
        <f ca="1">E307</f>
        <v>6.676204360463057</v>
      </c>
    </row>
  </sheetData>
  <mergeCells count="3">
    <mergeCell ref="B2:D2"/>
    <mergeCell ref="G2:J2"/>
    <mergeCell ref="B15:G15"/>
  </mergeCells>
  <phoneticPr fontId="0" type="noConversion"/>
  <printOptions headings="1" gridLines="1"/>
  <pageMargins left="0.75" right="0.75" top="0.57999999999999996" bottom="0.52" header="0.5" footer="0.4"/>
  <pageSetup scale="46" fitToHeight="5" orientation="portrait" r:id="rId1"/>
  <headerFooter alignWithMargins="0">
    <oddFooter>&amp;F</oddFooter>
  </headerFooter>
  <rowBreaks count="1" manualBreakCount="1">
    <brk id="23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topLeftCell="A37" workbookViewId="0">
      <selection activeCell="D56" sqref="D56"/>
    </sheetView>
  </sheetViews>
  <sheetFormatPr defaultRowHeight="12.75"/>
  <sheetData>
    <row r="1" spans="1:12" ht="13.5" thickBot="1">
      <c r="A1" s="50" t="s">
        <v>177</v>
      </c>
      <c r="B1" s="49"/>
      <c r="C1" s="49"/>
      <c r="D1" s="49"/>
      <c r="E1" s="49"/>
      <c r="F1" s="49"/>
      <c r="G1" s="49"/>
    </row>
    <row r="2" spans="1:12">
      <c r="A2" s="74"/>
      <c r="B2" s="75" t="s">
        <v>24</v>
      </c>
      <c r="C2" s="75" t="s">
        <v>178</v>
      </c>
      <c r="D2" s="75" t="s">
        <v>156</v>
      </c>
      <c r="E2" s="56" t="s">
        <v>180</v>
      </c>
      <c r="F2" s="56" t="s">
        <v>181</v>
      </c>
      <c r="G2" s="82" t="s">
        <v>182</v>
      </c>
    </row>
    <row r="3" spans="1:12">
      <c r="A3" s="57" t="s">
        <v>51</v>
      </c>
      <c r="B3" s="76">
        <v>0.7</v>
      </c>
      <c r="C3" s="76">
        <v>0.97</v>
      </c>
      <c r="D3" s="76">
        <v>1.02</v>
      </c>
      <c r="E3" s="52">
        <v>-40</v>
      </c>
      <c r="F3" s="52">
        <v>0</v>
      </c>
      <c r="G3" s="83">
        <v>190</v>
      </c>
      <c r="I3" s="24"/>
    </row>
    <row r="4" spans="1:12">
      <c r="A4" s="57" t="s">
        <v>52</v>
      </c>
      <c r="B4" s="76">
        <v>0.8</v>
      </c>
      <c r="C4" s="76">
        <v>0.9</v>
      </c>
      <c r="D4" s="76">
        <v>1</v>
      </c>
      <c r="E4" s="52">
        <v>-45</v>
      </c>
      <c r="F4" s="52">
        <v>0</v>
      </c>
      <c r="G4" s="83">
        <v>145</v>
      </c>
    </row>
    <row r="5" spans="1:12" ht="13.5" thickBot="1">
      <c r="A5" s="60" t="s">
        <v>53</v>
      </c>
      <c r="B5" s="78">
        <v>0.8</v>
      </c>
      <c r="C5" s="78">
        <v>0.9</v>
      </c>
      <c r="D5" s="78">
        <v>1</v>
      </c>
      <c r="E5" s="61">
        <v>-60</v>
      </c>
      <c r="F5" s="61">
        <v>0</v>
      </c>
      <c r="G5" s="84">
        <v>145</v>
      </c>
    </row>
    <row r="6" spans="1:12">
      <c r="G6" t="s">
        <v>17</v>
      </c>
    </row>
    <row r="7" spans="1:12" ht="13.5" thickBot="1"/>
    <row r="8" spans="1:12">
      <c r="B8" t="s">
        <v>187</v>
      </c>
      <c r="C8" t="s">
        <v>188</v>
      </c>
      <c r="G8" s="21" t="s">
        <v>18</v>
      </c>
      <c r="H8" s="21"/>
    </row>
    <row r="9" spans="1:12">
      <c r="B9">
        <v>-35</v>
      </c>
      <c r="C9" s="80">
        <f t="shared" ref="C9:C16" si="0">$B$3+($C$3-$B$3)*((B9-$E$3)/($F$3-$E$3))</f>
        <v>0.7337499999999999</v>
      </c>
      <c r="D9" s="4">
        <f t="shared" ref="D9:D16" si="1">$H$22+$H$23*B9</f>
        <v>0.73375000000000035</v>
      </c>
      <c r="G9" s="18" t="s">
        <v>19</v>
      </c>
      <c r="H9" s="18">
        <v>1</v>
      </c>
    </row>
    <row r="10" spans="1:12">
      <c r="B10">
        <v>-30</v>
      </c>
      <c r="C10" s="80">
        <f t="shared" si="0"/>
        <v>0.76749999999999996</v>
      </c>
      <c r="D10" s="4">
        <f t="shared" si="1"/>
        <v>0.76750000000000029</v>
      </c>
      <c r="G10" s="18" t="s">
        <v>20</v>
      </c>
      <c r="H10" s="18">
        <v>1</v>
      </c>
    </row>
    <row r="11" spans="1:12">
      <c r="B11">
        <v>-25</v>
      </c>
      <c r="C11" s="80">
        <f t="shared" si="0"/>
        <v>0.80125000000000002</v>
      </c>
      <c r="D11" s="4">
        <f t="shared" si="1"/>
        <v>0.80125000000000024</v>
      </c>
      <c r="G11" s="18" t="s">
        <v>21</v>
      </c>
      <c r="H11" s="18">
        <v>1</v>
      </c>
    </row>
    <row r="12" spans="1:12">
      <c r="B12">
        <v>-20</v>
      </c>
      <c r="C12" s="80">
        <f t="shared" si="0"/>
        <v>0.83499999999999996</v>
      </c>
      <c r="D12" s="4">
        <f t="shared" si="1"/>
        <v>0.83500000000000019</v>
      </c>
      <c r="G12" s="18" t="s">
        <v>22</v>
      </c>
      <c r="H12" s="18">
        <v>1.9229626863835641E-16</v>
      </c>
    </row>
    <row r="13" spans="1:12" ht="13.5" thickBot="1">
      <c r="B13">
        <v>-15</v>
      </c>
      <c r="C13" s="80">
        <f t="shared" si="0"/>
        <v>0.86874999999999991</v>
      </c>
      <c r="D13" s="4">
        <f t="shared" si="1"/>
        <v>0.86875000000000013</v>
      </c>
      <c r="G13" s="19" t="s">
        <v>23</v>
      </c>
      <c r="H13" s="19">
        <v>8</v>
      </c>
    </row>
    <row r="14" spans="1:12">
      <c r="B14">
        <v>-10</v>
      </c>
      <c r="C14" s="80">
        <f t="shared" si="0"/>
        <v>0.90249999999999997</v>
      </c>
      <c r="D14" s="4">
        <f t="shared" si="1"/>
        <v>0.90250000000000008</v>
      </c>
    </row>
    <row r="15" spans="1:12" ht="13.5" thickBot="1">
      <c r="B15">
        <v>-5</v>
      </c>
      <c r="C15" s="80">
        <f t="shared" si="0"/>
        <v>0.93625000000000003</v>
      </c>
      <c r="D15" s="4">
        <f t="shared" si="1"/>
        <v>0.93625000000000003</v>
      </c>
      <c r="G15" t="s">
        <v>92</v>
      </c>
    </row>
    <row r="16" spans="1:12">
      <c r="B16">
        <v>0</v>
      </c>
      <c r="C16" s="80">
        <f t="shared" si="0"/>
        <v>0.97</v>
      </c>
      <c r="D16" s="4">
        <f t="shared" si="1"/>
        <v>0.97</v>
      </c>
      <c r="G16" s="20"/>
      <c r="H16" s="20" t="s">
        <v>96</v>
      </c>
      <c r="I16" s="20" t="s">
        <v>97</v>
      </c>
      <c r="J16" s="20" t="s">
        <v>98</v>
      </c>
      <c r="K16" s="20" t="s">
        <v>99</v>
      </c>
      <c r="L16" s="20" t="s">
        <v>100</v>
      </c>
    </row>
    <row r="17" spans="2:15">
      <c r="B17">
        <v>5</v>
      </c>
      <c r="C17" s="80">
        <f t="shared" ref="C17:C56" si="2">$C$3+($D$3-$C$3)*((B17-$F$3)/($G$3-$F$3))</f>
        <v>0.97131578947368413</v>
      </c>
      <c r="D17" s="35">
        <f t="shared" ref="D17:D56" si="3">$H$44+$H$45*B17</f>
        <v>0.97131578947368424</v>
      </c>
      <c r="G17" s="18" t="s">
        <v>93</v>
      </c>
      <c r="H17" s="18">
        <v>1</v>
      </c>
      <c r="I17" s="18">
        <v>4.7840625000000019E-2</v>
      </c>
      <c r="J17" s="18">
        <v>4.7840625000000019E-2</v>
      </c>
      <c r="K17" s="18">
        <v>1.2937642025929314E+30</v>
      </c>
      <c r="L17" s="18">
        <v>3.117011335171404E-89</v>
      </c>
    </row>
    <row r="18" spans="2:15">
      <c r="B18">
        <v>10</v>
      </c>
      <c r="C18" s="80">
        <f t="shared" si="2"/>
        <v>0.9726315789473684</v>
      </c>
      <c r="D18" s="35">
        <f t="shared" si="3"/>
        <v>0.9726315789473684</v>
      </c>
      <c r="G18" s="18" t="s">
        <v>94</v>
      </c>
      <c r="H18" s="18">
        <v>6</v>
      </c>
      <c r="I18" s="18">
        <v>2.2186712959340957E-31</v>
      </c>
      <c r="J18" s="18">
        <v>3.6977854932234928E-32</v>
      </c>
      <c r="K18" s="18"/>
      <c r="L18" s="18"/>
    </row>
    <row r="19" spans="2:15" ht="13.5" thickBot="1">
      <c r="B19">
        <v>15</v>
      </c>
      <c r="C19" s="80">
        <f t="shared" si="2"/>
        <v>0.97394736842105256</v>
      </c>
      <c r="D19" s="35">
        <f t="shared" si="3"/>
        <v>0.97394736842105267</v>
      </c>
      <c r="G19" s="19" t="s">
        <v>95</v>
      </c>
      <c r="H19" s="19">
        <v>7</v>
      </c>
      <c r="I19" s="19">
        <v>4.7840625000000019E-2</v>
      </c>
      <c r="J19" s="19"/>
      <c r="K19" s="19"/>
      <c r="L19" s="19"/>
    </row>
    <row r="20" spans="2:15" ht="13.5" thickBot="1">
      <c r="B20">
        <v>20</v>
      </c>
      <c r="C20" s="80">
        <f t="shared" si="2"/>
        <v>0.97526315789473683</v>
      </c>
      <c r="D20" s="35">
        <f t="shared" si="3"/>
        <v>0.97526315789473683</v>
      </c>
    </row>
    <row r="21" spans="2:15">
      <c r="B21">
        <v>25</v>
      </c>
      <c r="C21" s="80">
        <f t="shared" si="2"/>
        <v>0.97657894736842099</v>
      </c>
      <c r="D21" s="35">
        <f t="shared" si="3"/>
        <v>0.9765789473684211</v>
      </c>
      <c r="G21" s="20"/>
      <c r="H21" s="20" t="s">
        <v>25</v>
      </c>
      <c r="I21" s="20" t="s">
        <v>22</v>
      </c>
      <c r="J21" s="20" t="s">
        <v>26</v>
      </c>
      <c r="K21" s="20" t="s">
        <v>101</v>
      </c>
      <c r="L21" s="20" t="s">
        <v>102</v>
      </c>
      <c r="M21" s="20" t="s">
        <v>103</v>
      </c>
      <c r="N21" s="20" t="s">
        <v>104</v>
      </c>
      <c r="O21" s="20" t="s">
        <v>105</v>
      </c>
    </row>
    <row r="22" spans="2:15">
      <c r="B22">
        <v>30</v>
      </c>
      <c r="C22" s="80">
        <f t="shared" si="2"/>
        <v>0.97789473684210526</v>
      </c>
      <c r="D22" s="35">
        <f t="shared" si="3"/>
        <v>0.97789473684210526</v>
      </c>
      <c r="G22" s="18" t="s">
        <v>24</v>
      </c>
      <c r="H22" s="18">
        <v>0.97</v>
      </c>
      <c r="I22" s="18">
        <v>1.2412670766236366E-16</v>
      </c>
      <c r="J22" s="18">
        <v>7814595410348684</v>
      </c>
      <c r="K22" s="18">
        <v>2.9639084511439233E-94</v>
      </c>
      <c r="L22" s="18">
        <v>0.97</v>
      </c>
      <c r="M22" s="18">
        <v>0.97</v>
      </c>
      <c r="N22" s="18">
        <v>0.97</v>
      </c>
      <c r="O22" s="18">
        <v>0.97</v>
      </c>
    </row>
    <row r="23" spans="2:15" ht="13.5" thickBot="1">
      <c r="B23">
        <v>35</v>
      </c>
      <c r="C23" s="80">
        <f t="shared" si="2"/>
        <v>0.97921052631578942</v>
      </c>
      <c r="D23" s="35">
        <f t="shared" si="3"/>
        <v>0.97921052631578953</v>
      </c>
      <c r="G23" s="19" t="s">
        <v>27</v>
      </c>
      <c r="H23" s="19">
        <v>6.7499999999999895E-3</v>
      </c>
      <c r="I23" s="19">
        <v>5.9343916872217492E-18</v>
      </c>
      <c r="J23" s="19">
        <v>1137437559865563.2</v>
      </c>
      <c r="K23" s="19">
        <v>3.1170113351714305E-89</v>
      </c>
      <c r="L23" s="19">
        <v>6.7499999999999748E-3</v>
      </c>
      <c r="M23" s="19">
        <v>6.7500000000000043E-3</v>
      </c>
      <c r="N23" s="19">
        <v>6.7499999999999748E-3</v>
      </c>
      <c r="O23" s="19">
        <v>6.7500000000000043E-3</v>
      </c>
    </row>
    <row r="24" spans="2:15">
      <c r="B24">
        <v>40</v>
      </c>
      <c r="C24" s="80">
        <f t="shared" si="2"/>
        <v>0.98052631578947369</v>
      </c>
      <c r="D24" s="35">
        <f t="shared" si="3"/>
        <v>0.98052631578947369</v>
      </c>
    </row>
    <row r="25" spans="2:15">
      <c r="B25">
        <v>45</v>
      </c>
      <c r="C25" s="80">
        <f t="shared" si="2"/>
        <v>0.98184210526315785</v>
      </c>
      <c r="D25" s="35">
        <f t="shared" si="3"/>
        <v>0.98184210526315796</v>
      </c>
    </row>
    <row r="26" spans="2:15">
      <c r="B26">
        <v>50</v>
      </c>
      <c r="C26" s="80">
        <f t="shared" si="2"/>
        <v>0.98315789473684212</v>
      </c>
      <c r="D26" s="35">
        <f t="shared" si="3"/>
        <v>0.98315789473684223</v>
      </c>
    </row>
    <row r="27" spans="2:15">
      <c r="B27">
        <v>55</v>
      </c>
      <c r="C27" s="80">
        <f t="shared" si="2"/>
        <v>0.98447368421052628</v>
      </c>
      <c r="D27" s="35">
        <f t="shared" si="3"/>
        <v>0.98447368421052639</v>
      </c>
    </row>
    <row r="28" spans="2:15">
      <c r="B28">
        <v>60</v>
      </c>
      <c r="C28" s="80">
        <f t="shared" si="2"/>
        <v>0.98578947368421055</v>
      </c>
      <c r="D28" s="35">
        <f t="shared" si="3"/>
        <v>0.98578947368421066</v>
      </c>
      <c r="G28" t="s">
        <v>17</v>
      </c>
    </row>
    <row r="29" spans="2:15" ht="13.5" thickBot="1">
      <c r="B29">
        <v>65</v>
      </c>
      <c r="C29" s="80">
        <f t="shared" si="2"/>
        <v>0.98710526315789471</v>
      </c>
      <c r="D29" s="35">
        <f t="shared" si="3"/>
        <v>0.98710526315789482</v>
      </c>
    </row>
    <row r="30" spans="2:15">
      <c r="B30">
        <v>70</v>
      </c>
      <c r="C30" s="80">
        <f t="shared" si="2"/>
        <v>0.98842105263157898</v>
      </c>
      <c r="D30" s="35">
        <f t="shared" si="3"/>
        <v>0.98842105263157909</v>
      </c>
      <c r="G30" s="21" t="s">
        <v>18</v>
      </c>
      <c r="H30" s="21"/>
    </row>
    <row r="31" spans="2:15">
      <c r="B31">
        <v>75</v>
      </c>
      <c r="C31" s="80">
        <f t="shared" si="2"/>
        <v>0.98973684210526314</v>
      </c>
      <c r="D31" s="35">
        <f t="shared" si="3"/>
        <v>0.98973684210526325</v>
      </c>
      <c r="G31" s="18" t="s">
        <v>19</v>
      </c>
      <c r="H31" s="18">
        <v>1</v>
      </c>
    </row>
    <row r="32" spans="2:15">
      <c r="B32">
        <v>80</v>
      </c>
      <c r="C32" s="80">
        <f t="shared" si="2"/>
        <v>0.99105263157894741</v>
      </c>
      <c r="D32" s="35">
        <f t="shared" si="3"/>
        <v>0.99105263157894752</v>
      </c>
      <c r="G32" s="18" t="s">
        <v>20</v>
      </c>
      <c r="H32" s="18">
        <v>1</v>
      </c>
    </row>
    <row r="33" spans="2:15">
      <c r="B33">
        <v>85</v>
      </c>
      <c r="C33" s="80">
        <f t="shared" si="2"/>
        <v>0.99236842105263157</v>
      </c>
      <c r="D33" s="35">
        <f t="shared" si="3"/>
        <v>0.99236842105263168</v>
      </c>
      <c r="G33" s="18" t="s">
        <v>21</v>
      </c>
      <c r="H33" s="18">
        <v>1</v>
      </c>
    </row>
    <row r="34" spans="2:15">
      <c r="B34">
        <v>90</v>
      </c>
      <c r="C34" s="80">
        <f t="shared" si="2"/>
        <v>0.99368421052631573</v>
      </c>
      <c r="D34" s="35">
        <f t="shared" si="3"/>
        <v>0.99368421052631595</v>
      </c>
      <c r="G34" s="18" t="s">
        <v>22</v>
      </c>
      <c r="H34" s="18">
        <v>1.2215109018058463E-16</v>
      </c>
    </row>
    <row r="35" spans="2:15" ht="13.5" thickBot="1">
      <c r="B35">
        <v>95</v>
      </c>
      <c r="C35" s="80">
        <f t="shared" si="2"/>
        <v>0.995</v>
      </c>
      <c r="D35" s="35">
        <f t="shared" si="3"/>
        <v>0.99500000000000011</v>
      </c>
      <c r="G35" s="19" t="s">
        <v>23</v>
      </c>
      <c r="H35" s="19">
        <v>40</v>
      </c>
    </row>
    <row r="36" spans="2:15">
      <c r="B36">
        <v>100</v>
      </c>
      <c r="C36" s="80">
        <f t="shared" si="2"/>
        <v>0.99631578947368415</v>
      </c>
      <c r="D36" s="35">
        <f t="shared" si="3"/>
        <v>0.99631578947368438</v>
      </c>
    </row>
    <row r="37" spans="2:15" ht="13.5" thickBot="1">
      <c r="B37">
        <v>105</v>
      </c>
      <c r="C37" s="80">
        <f t="shared" si="2"/>
        <v>0.99763157894736842</v>
      </c>
      <c r="D37" s="35">
        <f t="shared" si="3"/>
        <v>0.99763157894736865</v>
      </c>
      <c r="G37" t="s">
        <v>92</v>
      </c>
    </row>
    <row r="38" spans="2:15">
      <c r="B38">
        <v>110</v>
      </c>
      <c r="C38" s="80">
        <f t="shared" si="2"/>
        <v>0.99894736842105258</v>
      </c>
      <c r="D38" s="35">
        <f t="shared" si="3"/>
        <v>0.99894736842105281</v>
      </c>
      <c r="G38" s="20"/>
      <c r="H38" s="20" t="s">
        <v>96</v>
      </c>
      <c r="I38" s="20" t="s">
        <v>97</v>
      </c>
      <c r="J38" s="20" t="s">
        <v>98</v>
      </c>
      <c r="K38" s="20" t="s">
        <v>99</v>
      </c>
      <c r="L38" s="20" t="s">
        <v>100</v>
      </c>
    </row>
    <row r="39" spans="2:15">
      <c r="B39">
        <v>115</v>
      </c>
      <c r="C39" s="80">
        <f t="shared" si="2"/>
        <v>1.0002631578947367</v>
      </c>
      <c r="D39" s="35">
        <f t="shared" si="3"/>
        <v>1.000263157894737</v>
      </c>
      <c r="G39" s="18" t="s">
        <v>93</v>
      </c>
      <c r="H39" s="18">
        <v>1</v>
      </c>
      <c r="I39" s="18">
        <v>9.2278393351800745E-3</v>
      </c>
      <c r="J39" s="18">
        <v>9.2278393351800745E-3</v>
      </c>
      <c r="K39" s="18">
        <v>6.1845104798320152E+29</v>
      </c>
      <c r="L39" s="18">
        <v>0</v>
      </c>
    </row>
    <row r="40" spans="2:15">
      <c r="B40">
        <v>120</v>
      </c>
      <c r="C40" s="80">
        <f t="shared" si="2"/>
        <v>1.0015789473684211</v>
      </c>
      <c r="D40" s="35">
        <f t="shared" si="3"/>
        <v>1.0015789473684213</v>
      </c>
      <c r="G40" s="18" t="s">
        <v>94</v>
      </c>
      <c r="H40" s="18">
        <v>38</v>
      </c>
      <c r="I40" s="18">
        <v>5.6699377562760224E-31</v>
      </c>
      <c r="J40" s="18">
        <v>1.4920888832305322E-32</v>
      </c>
      <c r="K40" s="18"/>
      <c r="L40" s="18"/>
    </row>
    <row r="41" spans="2:15" ht="13.5" thickBot="1">
      <c r="B41">
        <v>125</v>
      </c>
      <c r="C41" s="80">
        <f t="shared" si="2"/>
        <v>1.0028947368421053</v>
      </c>
      <c r="D41" s="35">
        <f t="shared" si="3"/>
        <v>1.0028947368421055</v>
      </c>
      <c r="G41" s="19" t="s">
        <v>95</v>
      </c>
      <c r="H41" s="19">
        <v>39</v>
      </c>
      <c r="I41" s="19">
        <v>9.2278393351800745E-3</v>
      </c>
      <c r="J41" s="19"/>
      <c r="K41" s="19"/>
      <c r="L41" s="19"/>
    </row>
    <row r="42" spans="2:15" ht="13.5" thickBot="1">
      <c r="B42">
        <v>130</v>
      </c>
      <c r="C42" s="80">
        <f t="shared" si="2"/>
        <v>1.0042105263157894</v>
      </c>
      <c r="D42" s="35">
        <f t="shared" si="3"/>
        <v>1.0042105263157897</v>
      </c>
    </row>
    <row r="43" spans="2:15">
      <c r="B43">
        <v>135</v>
      </c>
      <c r="C43" s="80">
        <f t="shared" si="2"/>
        <v>1.0055263157894736</v>
      </c>
      <c r="D43" s="35">
        <f t="shared" si="3"/>
        <v>1.0055263157894738</v>
      </c>
      <c r="G43" s="20"/>
      <c r="H43" s="20" t="s">
        <v>25</v>
      </c>
      <c r="I43" s="20" t="s">
        <v>22</v>
      </c>
      <c r="J43" s="20" t="s">
        <v>26</v>
      </c>
      <c r="K43" s="20" t="s">
        <v>101</v>
      </c>
      <c r="L43" s="20" t="s">
        <v>102</v>
      </c>
      <c r="M43" s="20" t="s">
        <v>103</v>
      </c>
      <c r="N43" s="20" t="s">
        <v>104</v>
      </c>
      <c r="O43" s="20" t="s">
        <v>105</v>
      </c>
    </row>
    <row r="44" spans="2:15">
      <c r="B44">
        <v>140</v>
      </c>
      <c r="C44" s="80">
        <f t="shared" si="2"/>
        <v>1.006842105263158</v>
      </c>
      <c r="D44" s="35">
        <f t="shared" si="3"/>
        <v>1.0068421052631582</v>
      </c>
      <c r="G44" s="18" t="s">
        <v>24</v>
      </c>
      <c r="H44" s="18">
        <v>0.97</v>
      </c>
      <c r="I44" s="18">
        <v>3.9363395651301947E-17</v>
      </c>
      <c r="J44" s="18">
        <v>2.4642183021827716E+16</v>
      </c>
      <c r="K44" s="18">
        <v>0</v>
      </c>
      <c r="L44" s="18">
        <v>0.97</v>
      </c>
      <c r="M44" s="18">
        <v>0.97</v>
      </c>
      <c r="N44" s="18">
        <v>0.97</v>
      </c>
      <c r="O44" s="18">
        <v>0.97</v>
      </c>
    </row>
    <row r="45" spans="2:15" ht="13.5" thickBot="1">
      <c r="B45">
        <v>145</v>
      </c>
      <c r="C45" s="80">
        <f t="shared" si="2"/>
        <v>1.0081578947368421</v>
      </c>
      <c r="D45" s="35">
        <f t="shared" si="3"/>
        <v>1.0081578947368424</v>
      </c>
      <c r="G45" s="19" t="s">
        <v>27</v>
      </c>
      <c r="H45" s="19">
        <v>2.6315789473684411E-4</v>
      </c>
      <c r="I45" s="19">
        <v>3.3462912552491733E-19</v>
      </c>
      <c r="J45" s="19">
        <v>786416586793036.62</v>
      </c>
      <c r="K45" s="19">
        <v>0</v>
      </c>
      <c r="L45" s="19">
        <v>2.6315789473684345E-4</v>
      </c>
      <c r="M45" s="19">
        <v>2.6315789473684476E-4</v>
      </c>
      <c r="N45" s="19">
        <v>2.6315789473684345E-4</v>
      </c>
      <c r="O45" s="19">
        <v>2.6315789473684476E-4</v>
      </c>
    </row>
    <row r="46" spans="2:15">
      <c r="B46">
        <v>150</v>
      </c>
      <c r="C46" s="80">
        <f t="shared" si="2"/>
        <v>1.0094736842105263</v>
      </c>
      <c r="D46" s="35">
        <f t="shared" si="3"/>
        <v>1.0094736842105265</v>
      </c>
    </row>
    <row r="47" spans="2:15">
      <c r="B47">
        <v>155</v>
      </c>
      <c r="C47" s="80">
        <f t="shared" si="2"/>
        <v>1.0107894736842105</v>
      </c>
      <c r="D47" s="35">
        <f t="shared" si="3"/>
        <v>1.0107894736842109</v>
      </c>
    </row>
    <row r="48" spans="2:15">
      <c r="B48">
        <v>160</v>
      </c>
      <c r="C48" s="80">
        <f t="shared" si="2"/>
        <v>1.0121052631578948</v>
      </c>
      <c r="D48" s="35">
        <f t="shared" si="3"/>
        <v>1.0121052631578951</v>
      </c>
    </row>
    <row r="49" spans="2:4">
      <c r="B49">
        <v>165</v>
      </c>
      <c r="C49" s="80">
        <f t="shared" si="2"/>
        <v>1.013421052631579</v>
      </c>
      <c r="D49" s="35">
        <f t="shared" si="3"/>
        <v>1.0134210526315792</v>
      </c>
    </row>
    <row r="50" spans="2:4">
      <c r="B50">
        <v>170</v>
      </c>
      <c r="C50" s="80">
        <f t="shared" si="2"/>
        <v>1.0147368421052632</v>
      </c>
      <c r="D50" s="35">
        <f t="shared" si="3"/>
        <v>1.0147368421052634</v>
      </c>
    </row>
    <row r="51" spans="2:4">
      <c r="B51">
        <v>175</v>
      </c>
      <c r="C51" s="80">
        <f t="shared" si="2"/>
        <v>1.0160526315789473</v>
      </c>
      <c r="D51" s="35">
        <f t="shared" si="3"/>
        <v>1.0160526315789478</v>
      </c>
    </row>
    <row r="52" spans="2:4">
      <c r="B52">
        <v>180</v>
      </c>
      <c r="C52" s="80">
        <f t="shared" si="2"/>
        <v>1.0173684210526317</v>
      </c>
      <c r="D52" s="35">
        <f t="shared" si="3"/>
        <v>1.0173684210526319</v>
      </c>
    </row>
    <row r="53" spans="2:4">
      <c r="B53">
        <v>185</v>
      </c>
      <c r="C53" s="80">
        <f t="shared" si="2"/>
        <v>1.0186842105263159</v>
      </c>
      <c r="D53" s="35">
        <f t="shared" si="3"/>
        <v>1.0186842105263161</v>
      </c>
    </row>
    <row r="54" spans="2:4">
      <c r="B54">
        <v>190</v>
      </c>
      <c r="C54" s="80">
        <f t="shared" si="2"/>
        <v>1.02</v>
      </c>
      <c r="D54" s="35">
        <f t="shared" si="3"/>
        <v>1.0200000000000005</v>
      </c>
    </row>
    <row r="55" spans="2:4">
      <c r="B55">
        <v>195</v>
      </c>
      <c r="C55" s="80">
        <f t="shared" si="2"/>
        <v>1.0213157894736842</v>
      </c>
      <c r="D55" s="35">
        <f t="shared" si="3"/>
        <v>1.0213157894736846</v>
      </c>
    </row>
    <row r="56" spans="2:4">
      <c r="B56">
        <v>200</v>
      </c>
      <c r="C56" s="80">
        <f t="shared" si="2"/>
        <v>1.0226315789473683</v>
      </c>
      <c r="D56" s="35">
        <f t="shared" si="3"/>
        <v>1.0226315789473688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1"/>
  <sheetViews>
    <sheetView workbookViewId="0"/>
  </sheetViews>
  <sheetFormatPr defaultRowHeight="12.75"/>
  <cols>
    <col min="3" max="3" width="13.28515625" customWidth="1"/>
    <col min="4" max="4" width="11.140625" customWidth="1"/>
    <col min="5" max="7" width="9.140625" style="2" customWidth="1"/>
  </cols>
  <sheetData>
    <row r="3" spans="2:7" ht="13.5" thickBot="1"/>
    <row r="4" spans="2:7">
      <c r="B4" s="131" t="s">
        <v>234</v>
      </c>
      <c r="C4" s="132"/>
      <c r="D4" s="132"/>
      <c r="E4" s="148" t="s">
        <v>51</v>
      </c>
      <c r="F4" s="148" t="s">
        <v>52</v>
      </c>
      <c r="G4" s="149" t="s">
        <v>53</v>
      </c>
    </row>
    <row r="5" spans="2:7">
      <c r="B5" s="135" t="s">
        <v>113</v>
      </c>
      <c r="C5" s="136"/>
      <c r="D5" s="136" t="s">
        <v>232</v>
      </c>
      <c r="E5" s="150">
        <v>160</v>
      </c>
      <c r="F5" s="150">
        <v>25</v>
      </c>
      <c r="G5" s="151">
        <v>35.700000000000003</v>
      </c>
    </row>
    <row r="6" spans="2:7">
      <c r="B6" s="135" t="s">
        <v>113</v>
      </c>
      <c r="C6" s="136"/>
      <c r="D6" s="136" t="s">
        <v>11</v>
      </c>
      <c r="E6" s="152">
        <v>0.13241379310344828</v>
      </c>
      <c r="F6" s="150"/>
      <c r="G6" s="151"/>
    </row>
    <row r="7" spans="2:7">
      <c r="B7" s="135"/>
      <c r="C7" s="136"/>
      <c r="D7" s="136"/>
      <c r="E7" s="150"/>
      <c r="F7" s="150"/>
      <c r="G7" s="151"/>
    </row>
    <row r="8" spans="2:7">
      <c r="B8" s="135" t="s">
        <v>251</v>
      </c>
      <c r="C8" s="136"/>
      <c r="D8" s="136"/>
      <c r="E8" s="150"/>
      <c r="F8" s="150"/>
      <c r="G8" s="151"/>
    </row>
    <row r="9" spans="2:7">
      <c r="B9" s="162" t="s">
        <v>115</v>
      </c>
      <c r="C9" s="163"/>
      <c r="D9" s="136" t="s">
        <v>124</v>
      </c>
      <c r="E9" s="160">
        <v>3.6</v>
      </c>
      <c r="F9" s="160">
        <v>1</v>
      </c>
      <c r="G9" s="161">
        <v>2</v>
      </c>
    </row>
    <row r="10" spans="2:7">
      <c r="B10" s="162" t="s">
        <v>11</v>
      </c>
      <c r="C10" s="163"/>
      <c r="D10" s="136" t="s">
        <v>124</v>
      </c>
      <c r="E10" s="160">
        <v>8.4</v>
      </c>
      <c r="F10" s="160">
        <v>13.2</v>
      </c>
      <c r="G10" s="161">
        <v>15</v>
      </c>
    </row>
    <row r="11" spans="2:7">
      <c r="B11" s="162" t="s">
        <v>116</v>
      </c>
      <c r="C11" s="163"/>
      <c r="D11" s="136" t="s">
        <v>124</v>
      </c>
      <c r="E11" s="160">
        <v>6.25</v>
      </c>
      <c r="F11" s="160">
        <v>10.5</v>
      </c>
      <c r="G11" s="161">
        <v>10</v>
      </c>
    </row>
    <row r="12" spans="2:7">
      <c r="B12" s="162" t="s">
        <v>117</v>
      </c>
      <c r="C12" s="163"/>
      <c r="D12" s="136" t="s">
        <v>124</v>
      </c>
      <c r="E12" s="160">
        <v>3.5</v>
      </c>
      <c r="F12" s="160">
        <v>0</v>
      </c>
      <c r="G12" s="161">
        <v>0</v>
      </c>
    </row>
    <row r="13" spans="2:7">
      <c r="B13" s="162" t="s">
        <v>118</v>
      </c>
      <c r="C13" s="163"/>
      <c r="D13" s="136" t="s">
        <v>124</v>
      </c>
      <c r="E13" s="160">
        <v>10</v>
      </c>
      <c r="F13" s="160">
        <v>3.5</v>
      </c>
      <c r="G13" s="161">
        <v>4</v>
      </c>
    </row>
    <row r="14" spans="2:7">
      <c r="B14" s="162" t="s">
        <v>119</v>
      </c>
      <c r="C14" s="163"/>
      <c r="D14" s="136" t="s">
        <v>124</v>
      </c>
      <c r="E14" s="160">
        <v>5.16</v>
      </c>
      <c r="F14" s="160">
        <v>4.63</v>
      </c>
      <c r="G14" s="161">
        <v>5</v>
      </c>
    </row>
    <row r="15" spans="2:7">
      <c r="B15" s="162" t="s">
        <v>120</v>
      </c>
      <c r="C15" s="163"/>
      <c r="D15" s="136" t="s">
        <v>124</v>
      </c>
      <c r="E15" s="160">
        <v>2.85</v>
      </c>
      <c r="F15" s="160">
        <v>2.86</v>
      </c>
      <c r="G15" s="161">
        <v>3</v>
      </c>
    </row>
    <row r="16" spans="2:7">
      <c r="B16" s="162" t="s">
        <v>16</v>
      </c>
      <c r="C16" s="163"/>
      <c r="D16" s="136" t="s">
        <v>124</v>
      </c>
      <c r="E16" s="160">
        <v>8.09</v>
      </c>
      <c r="F16" s="160">
        <v>8.6199999999999992</v>
      </c>
      <c r="G16" s="161">
        <v>9</v>
      </c>
    </row>
    <row r="17" spans="2:7">
      <c r="B17" s="162" t="s">
        <v>122</v>
      </c>
      <c r="C17" s="163"/>
      <c r="D17" s="136" t="s">
        <v>231</v>
      </c>
      <c r="E17" s="160">
        <v>0.19</v>
      </c>
      <c r="F17" s="160">
        <v>0.67600000000000005</v>
      </c>
      <c r="G17" s="161">
        <v>1.2</v>
      </c>
    </row>
    <row r="18" spans="2:7">
      <c r="B18" s="135"/>
      <c r="C18" s="136"/>
      <c r="D18" s="136"/>
      <c r="E18" s="150"/>
      <c r="F18" s="150"/>
      <c r="G18" s="151"/>
    </row>
    <row r="19" spans="2:7">
      <c r="B19" s="135" t="s">
        <v>250</v>
      </c>
      <c r="C19" s="136"/>
      <c r="D19" s="136"/>
      <c r="E19" s="160">
        <v>0.9</v>
      </c>
      <c r="F19" s="160">
        <v>0.7</v>
      </c>
      <c r="G19" s="161">
        <v>0.6</v>
      </c>
    </row>
    <row r="20" spans="2:7">
      <c r="B20" s="135"/>
      <c r="C20" s="136"/>
      <c r="D20" s="136"/>
      <c r="E20" s="150"/>
      <c r="F20" s="150"/>
      <c r="G20" s="151"/>
    </row>
    <row r="21" spans="2:7">
      <c r="B21" s="135" t="s">
        <v>141</v>
      </c>
      <c r="C21" s="136"/>
      <c r="D21" s="136" t="s">
        <v>124</v>
      </c>
      <c r="E21" s="150">
        <v>51.43</v>
      </c>
      <c r="F21" s="150">
        <v>50.82</v>
      </c>
      <c r="G21" s="151">
        <v>51</v>
      </c>
    </row>
    <row r="22" spans="2:7">
      <c r="B22" s="135"/>
      <c r="C22" s="136"/>
      <c r="D22" s="136"/>
      <c r="E22" s="150"/>
      <c r="F22" s="150"/>
      <c r="G22" s="151"/>
    </row>
    <row r="23" spans="2:7">
      <c r="B23" s="135" t="s">
        <v>129</v>
      </c>
      <c r="C23" s="136"/>
      <c r="D23" s="136"/>
      <c r="E23" s="150">
        <v>160</v>
      </c>
      <c r="F23" s="150">
        <v>25</v>
      </c>
      <c r="G23" s="151">
        <v>35.700000000000003</v>
      </c>
    </row>
    <row r="24" spans="2:7">
      <c r="B24" s="135" t="s">
        <v>128</v>
      </c>
      <c r="C24" s="136"/>
      <c r="D24" s="136"/>
      <c r="E24" s="150">
        <v>0.65</v>
      </c>
      <c r="F24" s="150">
        <v>0.65</v>
      </c>
      <c r="G24" s="151">
        <v>0.65</v>
      </c>
    </row>
    <row r="25" spans="2:7">
      <c r="B25" s="135" t="s">
        <v>132</v>
      </c>
      <c r="C25" s="136"/>
      <c r="D25" s="136"/>
      <c r="E25" s="153">
        <v>104</v>
      </c>
      <c r="F25" s="154">
        <v>16.25</v>
      </c>
      <c r="G25" s="155">
        <v>23.204999999999998</v>
      </c>
    </row>
    <row r="26" spans="2:7">
      <c r="B26" s="135" t="s">
        <v>130</v>
      </c>
      <c r="C26" s="136"/>
      <c r="D26" s="136"/>
      <c r="E26" s="150">
        <v>1</v>
      </c>
      <c r="F26" s="150">
        <v>1</v>
      </c>
      <c r="G26" s="151">
        <v>1</v>
      </c>
    </row>
    <row r="27" spans="2:7">
      <c r="B27" s="135" t="s">
        <v>233</v>
      </c>
      <c r="C27" s="136"/>
      <c r="D27" s="136">
        <v>1999</v>
      </c>
      <c r="E27" s="150">
        <v>0.625</v>
      </c>
      <c r="F27" s="150">
        <v>2.98</v>
      </c>
      <c r="G27" s="156">
        <v>3.0357142857142851</v>
      </c>
    </row>
    <row r="28" spans="2:7">
      <c r="B28" s="135" t="s">
        <v>233</v>
      </c>
      <c r="C28" s="136"/>
      <c r="D28" s="136">
        <v>2000</v>
      </c>
      <c r="E28" s="150">
        <v>0.54500000000000004</v>
      </c>
      <c r="F28" s="150">
        <v>3.15</v>
      </c>
      <c r="G28" s="156">
        <v>3.3214285714285712</v>
      </c>
    </row>
    <row r="29" spans="2:7">
      <c r="B29" s="135" t="s">
        <v>233</v>
      </c>
      <c r="C29" s="136"/>
      <c r="D29" s="136">
        <v>2001</v>
      </c>
      <c r="E29" s="150">
        <v>0.53100000000000003</v>
      </c>
      <c r="F29" s="150">
        <v>3.25</v>
      </c>
      <c r="G29" s="156">
        <v>3.4285714285714279</v>
      </c>
    </row>
    <row r="30" spans="2:7">
      <c r="B30" s="135" t="s">
        <v>233</v>
      </c>
      <c r="C30" s="136"/>
      <c r="D30" s="136">
        <v>2002</v>
      </c>
      <c r="E30" s="150">
        <v>0.55300000000000005</v>
      </c>
      <c r="F30" s="150">
        <v>3.34</v>
      </c>
      <c r="G30" s="156">
        <v>3.5357142857142851</v>
      </c>
    </row>
    <row r="31" spans="2:7" ht="13.5" thickBot="1">
      <c r="B31" s="143" t="s">
        <v>233</v>
      </c>
      <c r="C31" s="144"/>
      <c r="D31" s="144">
        <v>2003</v>
      </c>
      <c r="E31" s="157">
        <v>0.57999999999999996</v>
      </c>
      <c r="F31" s="158">
        <v>3.46</v>
      </c>
      <c r="G31" s="159">
        <v>3.6607142857142851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Model</vt:lpstr>
      <vt:lpstr>SimData</vt:lpstr>
      <vt:lpstr>Stoch</vt:lpstr>
      <vt:lpstr>Sheet5</vt:lpstr>
      <vt:lpstr>Budgets</vt:lpstr>
      <vt:lpstr>Budgets!Print_Area</vt:lpstr>
      <vt:lpstr>Model!Print_Area</vt:lpstr>
      <vt:lpstr>Stoch!Print_Area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2000-08-05T20:50:53Z</cp:lastPrinted>
  <dcterms:created xsi:type="dcterms:W3CDTF">1999-04-03T14:36:42Z</dcterms:created>
  <dcterms:modified xsi:type="dcterms:W3CDTF">2011-02-07T03:58:28Z</dcterms:modified>
</cp:coreProperties>
</file>