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5480" windowHeight="11640"/>
  </bookViews>
  <sheets>
    <sheet name="BidAnalysis" sheetId="1" r:id="rId1"/>
    <sheet name="SimData" sheetId="10" r:id="rId2"/>
    <sheet name="CostOverRun" sheetId="4" r:id="rId3"/>
  </sheets>
  <definedNames>
    <definedName name="_xlnm.Print_Area" localSheetId="0">BidAnalysis!$A$1:$M$85</definedName>
  </definedNames>
  <calcPr calcId="125725"/>
</workbook>
</file>

<file path=xl/calcChain.xml><?xml version="1.0" encoding="utf-8"?>
<calcChain xmlns="http://schemas.openxmlformats.org/spreadsheetml/2006/main">
  <c r="I119" i="4"/>
  <c r="H119"/>
  <c r="G119"/>
  <c r="F119"/>
  <c r="I117"/>
  <c r="H117"/>
  <c r="G117"/>
  <c r="F117"/>
  <c r="I115"/>
  <c r="H115"/>
  <c r="G115"/>
  <c r="F115"/>
  <c r="I113"/>
  <c r="H113"/>
  <c r="G113"/>
  <c r="F113"/>
  <c r="B119" i="10"/>
  <c r="B117"/>
  <c r="B115"/>
  <c r="B113"/>
  <c r="B111"/>
  <c r="B8"/>
  <c r="B7"/>
  <c r="B6"/>
  <c r="B4"/>
  <c r="B3"/>
  <c r="B5" s="1"/>
  <c r="P10" i="4"/>
  <c r="P1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O108"/>
  <c r="N10"/>
  <c r="N1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M108"/>
  <c r="L10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K108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I108"/>
  <c r="O107"/>
  <c r="M107"/>
  <c r="K107"/>
  <c r="I107"/>
  <c r="O106"/>
  <c r="M106"/>
  <c r="K106"/>
  <c r="I106"/>
  <c r="O105"/>
  <c r="M105"/>
  <c r="K105"/>
  <c r="I105"/>
  <c r="O104"/>
  <c r="M104"/>
  <c r="K104"/>
  <c r="I104"/>
  <c r="O103"/>
  <c r="M103"/>
  <c r="K103"/>
  <c r="I103"/>
  <c r="O102"/>
  <c r="M102"/>
  <c r="K102"/>
  <c r="I102"/>
  <c r="O101"/>
  <c r="M101"/>
  <c r="K101"/>
  <c r="I101"/>
  <c r="O100"/>
  <c r="M100"/>
  <c r="K100"/>
  <c r="I100"/>
  <c r="O99"/>
  <c r="M99"/>
  <c r="K99"/>
  <c r="I99"/>
  <c r="O98"/>
  <c r="M98"/>
  <c r="K98"/>
  <c r="I98"/>
  <c r="O97"/>
  <c r="M97"/>
  <c r="K97"/>
  <c r="I97"/>
  <c r="O96"/>
  <c r="M96"/>
  <c r="K96"/>
  <c r="I96"/>
  <c r="O95"/>
  <c r="M95"/>
  <c r="K95"/>
  <c r="I95"/>
  <c r="O94"/>
  <c r="M94"/>
  <c r="K94"/>
  <c r="I94"/>
  <c r="O93"/>
  <c r="M93"/>
  <c r="K93"/>
  <c r="I93"/>
  <c r="O92"/>
  <c r="M92"/>
  <c r="K92"/>
  <c r="I92"/>
  <c r="O91"/>
  <c r="M91"/>
  <c r="K91"/>
  <c r="I91"/>
  <c r="O90"/>
  <c r="M90"/>
  <c r="K90"/>
  <c r="I90"/>
  <c r="O89"/>
  <c r="M89"/>
  <c r="K89"/>
  <c r="I89"/>
  <c r="O88"/>
  <c r="M88"/>
  <c r="K88"/>
  <c r="I88"/>
  <c r="O87"/>
  <c r="M87"/>
  <c r="K87"/>
  <c r="I87"/>
  <c r="O86"/>
  <c r="M86"/>
  <c r="K86"/>
  <c r="I86"/>
  <c r="O85"/>
  <c r="M85"/>
  <c r="K85"/>
  <c r="I85"/>
  <c r="O84"/>
  <c r="M84"/>
  <c r="K84"/>
  <c r="I84"/>
  <c r="O83"/>
  <c r="M83"/>
  <c r="K83"/>
  <c r="I83"/>
  <c r="O82"/>
  <c r="M82"/>
  <c r="K82"/>
  <c r="I82"/>
  <c r="O81"/>
  <c r="M81"/>
  <c r="K81"/>
  <c r="I81"/>
  <c r="O80"/>
  <c r="M80"/>
  <c r="K80"/>
  <c r="I80"/>
  <c r="O79"/>
  <c r="M79"/>
  <c r="K79"/>
  <c r="I79"/>
  <c r="O78"/>
  <c r="M78"/>
  <c r="K78"/>
  <c r="I78"/>
  <c r="O77"/>
  <c r="M77"/>
  <c r="K77"/>
  <c r="I77"/>
  <c r="O76"/>
  <c r="M76"/>
  <c r="K76"/>
  <c r="I76"/>
  <c r="O75"/>
  <c r="M75"/>
  <c r="K75"/>
  <c r="I75"/>
  <c r="O74"/>
  <c r="M74"/>
  <c r="K74"/>
  <c r="I74"/>
  <c r="O73"/>
  <c r="M73"/>
  <c r="K73"/>
  <c r="I73"/>
  <c r="O72"/>
  <c r="M72"/>
  <c r="K72"/>
  <c r="I72"/>
  <c r="O71"/>
  <c r="M71"/>
  <c r="K71"/>
  <c r="I71"/>
  <c r="O70"/>
  <c r="M70"/>
  <c r="K70"/>
  <c r="I70"/>
  <c r="O69"/>
  <c r="M69"/>
  <c r="K69"/>
  <c r="I69"/>
  <c r="O68"/>
  <c r="M68"/>
  <c r="K68"/>
  <c r="I68"/>
  <c r="O67"/>
  <c r="M67"/>
  <c r="K67"/>
  <c r="I67"/>
  <c r="O66"/>
  <c r="M66"/>
  <c r="K66"/>
  <c r="I66"/>
  <c r="O65"/>
  <c r="M65"/>
  <c r="K65"/>
  <c r="I65"/>
  <c r="O64"/>
  <c r="M64"/>
  <c r="K64"/>
  <c r="I64"/>
  <c r="O63"/>
  <c r="M63"/>
  <c r="K63"/>
  <c r="I63"/>
  <c r="O62"/>
  <c r="M62"/>
  <c r="K62"/>
  <c r="I62"/>
  <c r="O61"/>
  <c r="M61"/>
  <c r="K61"/>
  <c r="I61"/>
  <c r="O60"/>
  <c r="M60"/>
  <c r="K60"/>
  <c r="I60"/>
  <c r="O59"/>
  <c r="M59"/>
  <c r="K59"/>
  <c r="I59"/>
  <c r="O58"/>
  <c r="M58"/>
  <c r="K58"/>
  <c r="I58"/>
  <c r="O57"/>
  <c r="M57"/>
  <c r="K57"/>
  <c r="I57"/>
  <c r="O56"/>
  <c r="M56"/>
  <c r="K56"/>
  <c r="I56"/>
  <c r="O55"/>
  <c r="M55"/>
  <c r="K55"/>
  <c r="I55"/>
  <c r="O54"/>
  <c r="M54"/>
  <c r="K54"/>
  <c r="I54"/>
  <c r="O53"/>
  <c r="M53"/>
  <c r="K53"/>
  <c r="I53"/>
  <c r="O52"/>
  <c r="M52"/>
  <c r="K52"/>
  <c r="I52"/>
  <c r="O51"/>
  <c r="M51"/>
  <c r="K51"/>
  <c r="I51"/>
  <c r="O50"/>
  <c r="M50"/>
  <c r="K50"/>
  <c r="I50"/>
  <c r="O49"/>
  <c r="M49"/>
  <c r="K49"/>
  <c r="I49"/>
  <c r="O48"/>
  <c r="M48"/>
  <c r="K48"/>
  <c r="I48"/>
  <c r="O47"/>
  <c r="M47"/>
  <c r="K47"/>
  <c r="I47"/>
  <c r="O46"/>
  <c r="M46"/>
  <c r="K46"/>
  <c r="I46"/>
  <c r="O45"/>
  <c r="M45"/>
  <c r="K45"/>
  <c r="I45"/>
  <c r="O44"/>
  <c r="M44"/>
  <c r="K44"/>
  <c r="I44"/>
  <c r="O43"/>
  <c r="M43"/>
  <c r="K43"/>
  <c r="I43"/>
  <c r="O42"/>
  <c r="M42"/>
  <c r="K42"/>
  <c r="I42"/>
  <c r="O41"/>
  <c r="M41"/>
  <c r="K41"/>
  <c r="I41"/>
  <c r="O40"/>
  <c r="M40"/>
  <c r="K40"/>
  <c r="I40"/>
  <c r="O39"/>
  <c r="M39"/>
  <c r="K39"/>
  <c r="I39"/>
  <c r="O38"/>
  <c r="M38"/>
  <c r="K38"/>
  <c r="I38"/>
  <c r="O37"/>
  <c r="M37"/>
  <c r="K37"/>
  <c r="I37"/>
  <c r="O36"/>
  <c r="M36"/>
  <c r="K36"/>
  <c r="I36"/>
  <c r="O35"/>
  <c r="M35"/>
  <c r="K35"/>
  <c r="I35"/>
  <c r="O34"/>
  <c r="M34"/>
  <c r="K34"/>
  <c r="I34"/>
  <c r="O33"/>
  <c r="M33"/>
  <c r="K33"/>
  <c r="I33"/>
  <c r="O32"/>
  <c r="M32"/>
  <c r="K32"/>
  <c r="I32"/>
  <c r="O31"/>
  <c r="M31"/>
  <c r="K31"/>
  <c r="I31"/>
  <c r="O30"/>
  <c r="M30"/>
  <c r="K30"/>
  <c r="I30"/>
  <c r="O29"/>
  <c r="M29"/>
  <c r="K29"/>
  <c r="I29"/>
  <c r="O28"/>
  <c r="M28"/>
  <c r="K28"/>
  <c r="I28"/>
  <c r="O27"/>
  <c r="M27"/>
  <c r="K27"/>
  <c r="I27"/>
  <c r="O26"/>
  <c r="M26"/>
  <c r="K26"/>
  <c r="I26"/>
  <c r="O25"/>
  <c r="M25"/>
  <c r="K25"/>
  <c r="I25"/>
  <c r="O24"/>
  <c r="M24"/>
  <c r="K24"/>
  <c r="I24"/>
  <c r="O23"/>
  <c r="M23"/>
  <c r="K23"/>
  <c r="I23"/>
  <c r="O22"/>
  <c r="M22"/>
  <c r="K22"/>
  <c r="I22"/>
  <c r="O21"/>
  <c r="M21"/>
  <c r="K21"/>
  <c r="I21"/>
  <c r="O20"/>
  <c r="M20"/>
  <c r="K20"/>
  <c r="I20"/>
  <c r="O19"/>
  <c r="M19"/>
  <c r="K19"/>
  <c r="I19"/>
  <c r="O18"/>
  <c r="M18"/>
  <c r="K18"/>
  <c r="I18"/>
  <c r="O17"/>
  <c r="M17"/>
  <c r="K17"/>
  <c r="I17"/>
  <c r="O16"/>
  <c r="M16"/>
  <c r="K16"/>
  <c r="I16"/>
  <c r="O15"/>
  <c r="M15"/>
  <c r="K15"/>
  <c r="I15"/>
  <c r="O14"/>
  <c r="M14"/>
  <c r="K14"/>
  <c r="I14"/>
  <c r="O13"/>
  <c r="M13"/>
  <c r="K13"/>
  <c r="I13"/>
  <c r="O12"/>
  <c r="M12"/>
  <c r="K12"/>
  <c r="I12"/>
  <c r="O11"/>
  <c r="M11"/>
  <c r="K11"/>
  <c r="I11"/>
  <c r="O10"/>
  <c r="M10"/>
  <c r="K10"/>
  <c r="I10"/>
  <c r="O9"/>
  <c r="M9"/>
  <c r="K9"/>
  <c r="I9"/>
  <c r="O8"/>
  <c r="M8"/>
  <c r="K8"/>
  <c r="I8"/>
  <c r="I81" i="1"/>
  <c r="M80"/>
  <c r="L80"/>
  <c r="K80"/>
  <c r="J80"/>
  <c r="I80"/>
  <c r="I77"/>
  <c r="M76"/>
  <c r="L76"/>
  <c r="K76"/>
  <c r="J76"/>
  <c r="I76"/>
  <c r="I73"/>
  <c r="M72"/>
  <c r="L72"/>
  <c r="K72"/>
  <c r="J72"/>
  <c r="I72"/>
  <c r="I69"/>
  <c r="M68"/>
  <c r="L68"/>
  <c r="K68"/>
  <c r="J68"/>
  <c r="I68"/>
  <c r="I65"/>
  <c r="M64"/>
  <c r="L64"/>
  <c r="K64"/>
  <c r="J64"/>
  <c r="I64"/>
  <c r="M62"/>
  <c r="L62"/>
  <c r="K62"/>
  <c r="J62"/>
  <c r="I61"/>
  <c r="E12"/>
  <c r="K121" i="4"/>
  <c r="K119"/>
  <c r="K117"/>
  <c r="K115"/>
  <c r="K113"/>
  <c r="B2" i="10"/>
  <c r="E15" i="1"/>
  <c r="E24"/>
  <c r="D39"/>
  <c r="F35"/>
  <c r="F23"/>
  <c r="F11"/>
  <c r="L119" i="4"/>
  <c r="E13" i="1"/>
  <c r="E18"/>
  <c r="E23"/>
  <c r="E28"/>
  <c r="E32"/>
  <c r="F40"/>
  <c r="F36"/>
  <c r="F32"/>
  <c r="F24"/>
  <c r="F16"/>
  <c r="M121" i="4"/>
  <c r="F33" i="1"/>
  <c r="F25"/>
  <c r="F17"/>
  <c r="N121" i="4"/>
  <c r="N119"/>
  <c r="N117"/>
  <c r="N115"/>
  <c r="N113"/>
  <c r="E11" i="1"/>
  <c r="E16"/>
  <c r="E21"/>
  <c r="E25"/>
  <c r="E30"/>
  <c r="E34"/>
  <c r="D40"/>
  <c r="H45"/>
  <c r="F38"/>
  <c r="F34"/>
  <c r="F30"/>
  <c r="F26"/>
  <c r="F22"/>
  <c r="F18"/>
  <c r="F14"/>
  <c r="A1"/>
  <c r="H48"/>
  <c r="E20"/>
  <c r="E29"/>
  <c r="E33"/>
  <c r="F39"/>
  <c r="F31"/>
  <c r="F27"/>
  <c r="F19"/>
  <c r="F15"/>
  <c r="L121" i="4"/>
  <c r="L117"/>
  <c r="L115"/>
  <c r="L113"/>
  <c r="E37" i="1"/>
  <c r="F28"/>
  <c r="F20"/>
  <c r="F12"/>
  <c r="M119" i="4"/>
  <c r="M117"/>
  <c r="M115"/>
  <c r="M113"/>
  <c r="E17" i="1"/>
  <c r="E22"/>
  <c r="E27"/>
  <c r="E31"/>
  <c r="E36"/>
  <c r="F37"/>
  <c r="F29"/>
  <c r="F21"/>
  <c r="F13"/>
  <c r="L65" l="1"/>
  <c r="L69"/>
  <c r="L73"/>
  <c r="L77"/>
  <c r="K65"/>
  <c r="K69"/>
  <c r="K73"/>
  <c r="K81"/>
  <c r="M65"/>
  <c r="M69"/>
  <c r="M73"/>
  <c r="M77"/>
  <c r="M81"/>
  <c r="L81"/>
  <c r="K77"/>
  <c r="E39"/>
  <c r="E42" s="1"/>
  <c r="E45" s="1"/>
  <c r="E47" s="1"/>
  <c r="J65"/>
  <c r="J69"/>
  <c r="J73"/>
  <c r="J77"/>
  <c r="J81"/>
</calcChain>
</file>

<file path=xl/sharedStrings.xml><?xml version="1.0" encoding="utf-8"?>
<sst xmlns="http://schemas.openxmlformats.org/spreadsheetml/2006/main" count="124" uniqueCount="91">
  <si>
    <t>James W. Richardson</t>
  </si>
  <si>
    <t>Cost</t>
  </si>
  <si>
    <t>Probability Distribution for Costs</t>
  </si>
  <si>
    <t>Minimum</t>
  </si>
  <si>
    <t>Average</t>
  </si>
  <si>
    <t>Maximum</t>
  </si>
  <si>
    <t>Water meter fee</t>
  </si>
  <si>
    <t>Electrical poles &amp; hookup</t>
  </si>
  <si>
    <t xml:space="preserve">Forms </t>
  </si>
  <si>
    <t xml:space="preserve">Brick layers </t>
  </si>
  <si>
    <t xml:space="preserve">Framers </t>
  </si>
  <si>
    <t>Bricks</t>
  </si>
  <si>
    <t>Roofers and shingles</t>
  </si>
  <si>
    <t xml:space="preserve">Sheetrock </t>
  </si>
  <si>
    <t>Sheetrockers</t>
  </si>
  <si>
    <t>Wallpaper &amp; installation</t>
  </si>
  <si>
    <t>Painters &amp; paint/varnish</t>
  </si>
  <si>
    <t>Plumbing and plumbers</t>
  </si>
  <si>
    <t>Floor coverings</t>
  </si>
  <si>
    <t>Trim carpenters</t>
  </si>
  <si>
    <t>Doors and fixtures</t>
  </si>
  <si>
    <t>Plumbers and fixtures</t>
  </si>
  <si>
    <t>Concrete flat work</t>
  </si>
  <si>
    <t>Foundation concrete</t>
  </si>
  <si>
    <t>Days to Completion</t>
  </si>
  <si>
    <t xml:space="preserve">Electrical </t>
  </si>
  <si>
    <t>Site preparation (clear trees)</t>
  </si>
  <si>
    <t>Landscaping</t>
  </si>
  <si>
    <t>Mean</t>
  </si>
  <si>
    <t>StDev</t>
  </si>
  <si>
    <t>CV</t>
  </si>
  <si>
    <t>Min</t>
  </si>
  <si>
    <t>Max</t>
  </si>
  <si>
    <t>Iteration</t>
  </si>
  <si>
    <t>Target 1</t>
  </si>
  <si>
    <t>Prob&lt;=T1</t>
  </si>
  <si>
    <t>Target 2</t>
  </si>
  <si>
    <t>Prob&lt;=T2</t>
  </si>
  <si>
    <t>Target 3</t>
  </si>
  <si>
    <t>Prob&lt;=T3</t>
  </si>
  <si>
    <t>Target 4</t>
  </si>
  <si>
    <t>Prob&lt;=T4</t>
  </si>
  <si>
    <t>Target 5</t>
  </si>
  <si>
    <t>Prob&lt;=T5</t>
  </si>
  <si>
    <t>CDFProb.</t>
  </si>
  <si>
    <t>Contractor's profits</t>
  </si>
  <si>
    <t>Sand and gravel</t>
  </si>
  <si>
    <t>Lumber and windows</t>
  </si>
  <si>
    <t xml:space="preserve">Construction interest </t>
  </si>
  <si>
    <t>Sum of Cash Costs</t>
  </si>
  <si>
    <t>Bid 1</t>
  </si>
  <si>
    <t>Bid 2</t>
  </si>
  <si>
    <t>Bid 3</t>
  </si>
  <si>
    <t>Bid 4</t>
  </si>
  <si>
    <t>Bid Amount</t>
  </si>
  <si>
    <t>Total Cost (KOV)</t>
  </si>
  <si>
    <t>Formula for Cost Over Run</t>
  </si>
  <si>
    <t xml:space="preserve">Scenario Table for Evaluating Alternative Bids </t>
  </si>
  <si>
    <t>Std. Dev.</t>
  </si>
  <si>
    <t>Cost overrun or profit losses (KOV)</t>
  </si>
  <si>
    <t>Cost Categories</t>
  </si>
  <si>
    <t>(formulas in D or E)</t>
  </si>
  <si>
    <t>[demoprojetanalysis.xls]Sheet1!$E$47</t>
  </si>
  <si>
    <t>Simetar Simulation Results for 100 Iterations.  3:16:21 PM 12/10/00 (6.92sec).  © 2000 Texas Agricultural Experiment Station.</t>
  </si>
  <si>
    <t>$E$45</t>
  </si>
  <si>
    <t>$E$47</t>
  </si>
  <si>
    <t>Simetar Simulation Results for 100 Iterations.  3:16:21 PM 12/10/00 (6.92sec).</t>
  </si>
  <si>
    <t xml:space="preserve">Simetar Simulation Results for 100 Iterations.  3:20:49 PM 12/10/00 (1.70sec).  </t>
  </si>
  <si>
    <t>Total Cost</t>
  </si>
  <si>
    <t>Chapter 14</t>
  </si>
  <si>
    <t>Probability of a Cost Overrun</t>
  </si>
  <si>
    <t>Probability of a $5,000 or Greater Overrun</t>
  </si>
  <si>
    <t>Probability of a $10,000 or Greater Overrun</t>
  </si>
  <si>
    <t>Probability of a $15,000 or Greater Overrun</t>
  </si>
  <si>
    <t>Probability of a $20,000 or Greater Overrun</t>
  </si>
  <si>
    <t>Probabilities of Cost Overruns Greater Than Selected Targets</t>
  </si>
  <si>
    <t>BId Analysis with Simulation is demonstrated for a general contractor bidding a new building.</t>
  </si>
  <si>
    <t>TC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</si>
  <si>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</si>
  <si>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</si>
  <si>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</si>
  <si>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</si>
  <si>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</si>
  <si>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</si>
  <si>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</si>
  <si>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</si>
  <si>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</si>
  <si>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</si>
  <si>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</si>
  <si>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4:56:34 PM 3/27/2005 (0.57 sec.).  © 2005.</t>
  </si>
  <si>
    <t>© 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</si>
</sst>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66" formatCode="0.000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5" fontId="0" fillId="0" borderId="0" xfId="1" applyNumberFormat="1" applyFont="1"/>
    <xf numFmtId="166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0" fillId="0" borderId="1" xfId="1" applyNumberFormat="1" applyFont="1" applyBorder="1"/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indent="4"/>
    </xf>
    <xf numFmtId="165" fontId="0" fillId="0" borderId="3" xfId="1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0" fontId="2" fillId="0" borderId="2" xfId="0" applyFont="1" applyBorder="1"/>
    <xf numFmtId="0" fontId="2" fillId="0" borderId="0" xfId="0" applyFont="1" applyAlignment="1">
      <alignment horizontal="left" indent="4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 of Cost Overruns for the Contract Bid</a:t>
            </a:r>
          </a:p>
        </c:rich>
      </c:tx>
      <c:layout>
        <c:manualLayout>
          <c:xMode val="edge"/>
          <c:yMode val="edge"/>
          <c:x val="0.24279286881568168"/>
          <c:y val="3.34613605743127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791572161871787E-2"/>
          <c:y val="0.17760260612519857"/>
          <c:w val="0.84640291767689035"/>
          <c:h val="0.63576585091194271"/>
        </c:manualLayout>
      </c:layout>
      <c:scatterChart>
        <c:scatterStyle val="smoothMarker"/>
        <c:ser>
          <c:idx val="0"/>
          <c:order val="0"/>
          <c:tx>
            <c:strRef>
              <c:f>CostOverRun!$I$8</c:f>
              <c:strCache>
                <c:ptCount val="1"/>
                <c:pt idx="0">
                  <c:v>Bid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CostOverRun!$I$9:$I$108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778.81116298708366</c:v>
                </c:pt>
                <c:pt idx="14">
                  <c:v>856.26404316612752</c:v>
                </c:pt>
                <c:pt idx="15">
                  <c:v>1264.0839902177395</c:v>
                </c:pt>
                <c:pt idx="16">
                  <c:v>1319.9836151936324</c:v>
                </c:pt>
                <c:pt idx="17">
                  <c:v>1450.0400939252868</c:v>
                </c:pt>
                <c:pt idx="18">
                  <c:v>1648.5601223295671</c:v>
                </c:pt>
                <c:pt idx="19">
                  <c:v>1681.0208668959967</c:v>
                </c:pt>
                <c:pt idx="20">
                  <c:v>2372.9555230995466</c:v>
                </c:pt>
                <c:pt idx="21">
                  <c:v>2832.774379178969</c:v>
                </c:pt>
                <c:pt idx="22">
                  <c:v>2952.3322081354272</c:v>
                </c:pt>
                <c:pt idx="23">
                  <c:v>3024.1020278393116</c:v>
                </c:pt>
                <c:pt idx="24">
                  <c:v>3318.082898473338</c:v>
                </c:pt>
                <c:pt idx="25">
                  <c:v>3744.5298451466078</c:v>
                </c:pt>
                <c:pt idx="26">
                  <c:v>4074.7497563251818</c:v>
                </c:pt>
                <c:pt idx="27">
                  <c:v>4076.4475345727114</c:v>
                </c:pt>
                <c:pt idx="28">
                  <c:v>4169.6787275537499</c:v>
                </c:pt>
                <c:pt idx="29">
                  <c:v>4182.1378586965729</c:v>
                </c:pt>
                <c:pt idx="30">
                  <c:v>4667.9437778098218</c:v>
                </c:pt>
                <c:pt idx="31">
                  <c:v>4674.3953724657476</c:v>
                </c:pt>
                <c:pt idx="32">
                  <c:v>4677.9068960305885</c:v>
                </c:pt>
                <c:pt idx="33">
                  <c:v>5371.5593638547289</c:v>
                </c:pt>
                <c:pt idx="34">
                  <c:v>5384.367562832369</c:v>
                </c:pt>
                <c:pt idx="35">
                  <c:v>5494.295404477627</c:v>
                </c:pt>
                <c:pt idx="36">
                  <c:v>5719.1145763120148</c:v>
                </c:pt>
                <c:pt idx="37">
                  <c:v>5983.5382929583138</c:v>
                </c:pt>
                <c:pt idx="38">
                  <c:v>6131.1722179507487</c:v>
                </c:pt>
                <c:pt idx="39">
                  <c:v>6181.7471396319161</c:v>
                </c:pt>
                <c:pt idx="40">
                  <c:v>6396.5102391408291</c:v>
                </c:pt>
                <c:pt idx="41">
                  <c:v>6574.0792478449875</c:v>
                </c:pt>
                <c:pt idx="42">
                  <c:v>6611.2818866828165</c:v>
                </c:pt>
                <c:pt idx="43">
                  <c:v>7109.0876553102571</c:v>
                </c:pt>
                <c:pt idx="44">
                  <c:v>7313.59434659619</c:v>
                </c:pt>
                <c:pt idx="45">
                  <c:v>7361.8939262869826</c:v>
                </c:pt>
                <c:pt idx="46">
                  <c:v>7449.6164435998653</c:v>
                </c:pt>
                <c:pt idx="47">
                  <c:v>7517.3780931396177</c:v>
                </c:pt>
                <c:pt idx="48">
                  <c:v>7600.3884709141566</c:v>
                </c:pt>
                <c:pt idx="49">
                  <c:v>7960.9961257153482</c:v>
                </c:pt>
                <c:pt idx="50">
                  <c:v>7963.025590943842</c:v>
                </c:pt>
                <c:pt idx="51">
                  <c:v>8063.9373334978882</c:v>
                </c:pt>
                <c:pt idx="52">
                  <c:v>8518.0905712384556</c:v>
                </c:pt>
                <c:pt idx="53">
                  <c:v>8546.8828613204532</c:v>
                </c:pt>
                <c:pt idx="54">
                  <c:v>8655.5951214940869</c:v>
                </c:pt>
                <c:pt idx="55">
                  <c:v>8902.8006904104841</c:v>
                </c:pt>
                <c:pt idx="56">
                  <c:v>8906.6854818107386</c:v>
                </c:pt>
                <c:pt idx="57">
                  <c:v>8944.5582587140088</c:v>
                </c:pt>
                <c:pt idx="58">
                  <c:v>9038.6118606471573</c:v>
                </c:pt>
                <c:pt idx="59">
                  <c:v>9178.6977109022555</c:v>
                </c:pt>
                <c:pt idx="60">
                  <c:v>9234.8770511723706</c:v>
                </c:pt>
                <c:pt idx="61">
                  <c:v>9392.7216768235667</c:v>
                </c:pt>
                <c:pt idx="62">
                  <c:v>9479.2453968942864</c:v>
                </c:pt>
                <c:pt idx="63">
                  <c:v>10037.10094806808</c:v>
                </c:pt>
                <c:pt idx="64">
                  <c:v>10447.909757799032</c:v>
                </c:pt>
                <c:pt idx="65">
                  <c:v>10726.743098133011</c:v>
                </c:pt>
                <c:pt idx="66">
                  <c:v>10916.243184469145</c:v>
                </c:pt>
                <c:pt idx="67">
                  <c:v>11064.16334926468</c:v>
                </c:pt>
                <c:pt idx="68">
                  <c:v>11319.588351967803</c:v>
                </c:pt>
                <c:pt idx="69">
                  <c:v>11505.637045455922</c:v>
                </c:pt>
                <c:pt idx="70">
                  <c:v>11885.848612591915</c:v>
                </c:pt>
                <c:pt idx="71">
                  <c:v>12137.688956692495</c:v>
                </c:pt>
                <c:pt idx="72">
                  <c:v>12567.061029153847</c:v>
                </c:pt>
                <c:pt idx="73">
                  <c:v>12643.969170190714</c:v>
                </c:pt>
                <c:pt idx="74">
                  <c:v>13150.696037859889</c:v>
                </c:pt>
                <c:pt idx="75">
                  <c:v>13676.453819927003</c:v>
                </c:pt>
                <c:pt idx="76">
                  <c:v>14040.985370357113</c:v>
                </c:pt>
                <c:pt idx="77">
                  <c:v>14362.516985458351</c:v>
                </c:pt>
                <c:pt idx="78">
                  <c:v>14673.112683363608</c:v>
                </c:pt>
                <c:pt idx="79">
                  <c:v>15286.55427994515</c:v>
                </c:pt>
                <c:pt idx="80">
                  <c:v>16097.627475290443</c:v>
                </c:pt>
                <c:pt idx="81">
                  <c:v>16393.964627842826</c:v>
                </c:pt>
                <c:pt idx="82">
                  <c:v>16560.081812159653</c:v>
                </c:pt>
                <c:pt idx="83">
                  <c:v>17217.876432795776</c:v>
                </c:pt>
                <c:pt idx="84">
                  <c:v>17262.787757449609</c:v>
                </c:pt>
                <c:pt idx="85">
                  <c:v>17860.569216328731</c:v>
                </c:pt>
                <c:pt idx="86">
                  <c:v>18028.775500552845</c:v>
                </c:pt>
                <c:pt idx="87">
                  <c:v>18609.364977834106</c:v>
                </c:pt>
                <c:pt idx="88">
                  <c:v>18996.948947996658</c:v>
                </c:pt>
                <c:pt idx="89">
                  <c:v>19156.049630939378</c:v>
                </c:pt>
                <c:pt idx="90">
                  <c:v>19190.544308286917</c:v>
                </c:pt>
                <c:pt idx="91">
                  <c:v>19417.885407044174</c:v>
                </c:pt>
                <c:pt idx="92">
                  <c:v>19435.522062748321</c:v>
                </c:pt>
                <c:pt idx="93">
                  <c:v>20548.215044867218</c:v>
                </c:pt>
                <c:pt idx="94">
                  <c:v>20777.693418934738</c:v>
                </c:pt>
                <c:pt idx="95">
                  <c:v>21910.991265184595</c:v>
                </c:pt>
                <c:pt idx="96">
                  <c:v>23214.341591407108</c:v>
                </c:pt>
                <c:pt idx="97">
                  <c:v>23391.461208125547</c:v>
                </c:pt>
                <c:pt idx="98">
                  <c:v>23893.514363843307</c:v>
                </c:pt>
                <c:pt idx="99">
                  <c:v>24763.116394380922</c:v>
                </c:pt>
              </c:numCache>
            </c:numRef>
          </c:xVal>
          <c:yVal>
            <c:numRef>
              <c:f>CostOverRun!$J$9:$J$108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CostOverRun!$K$8</c:f>
              <c:strCache>
                <c:ptCount val="1"/>
                <c:pt idx="0">
                  <c:v>Bid 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CostOverRun!$K$9:$K$108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371.55936385472887</c:v>
                </c:pt>
                <c:pt idx="34">
                  <c:v>384.367562832369</c:v>
                </c:pt>
                <c:pt idx="35">
                  <c:v>494.29540447762702</c:v>
                </c:pt>
                <c:pt idx="36">
                  <c:v>719.11457631201483</c:v>
                </c:pt>
                <c:pt idx="37">
                  <c:v>983.53829295831383</c:v>
                </c:pt>
                <c:pt idx="38">
                  <c:v>1131.1722179507487</c:v>
                </c:pt>
                <c:pt idx="39">
                  <c:v>1181.7471396319161</c:v>
                </c:pt>
                <c:pt idx="40">
                  <c:v>1396.5102391408291</c:v>
                </c:pt>
                <c:pt idx="41">
                  <c:v>1574.0792478449875</c:v>
                </c:pt>
                <c:pt idx="42">
                  <c:v>1611.2818866828165</c:v>
                </c:pt>
                <c:pt idx="43">
                  <c:v>2109.0876553102571</c:v>
                </c:pt>
                <c:pt idx="44">
                  <c:v>2313.59434659619</c:v>
                </c:pt>
                <c:pt idx="45">
                  <c:v>2361.8939262869826</c:v>
                </c:pt>
                <c:pt idx="46">
                  <c:v>2449.6164435998653</c:v>
                </c:pt>
                <c:pt idx="47">
                  <c:v>2517.3780931396177</c:v>
                </c:pt>
                <c:pt idx="48">
                  <c:v>2600.3884709141566</c:v>
                </c:pt>
                <c:pt idx="49">
                  <c:v>2960.9961257153482</c:v>
                </c:pt>
                <c:pt idx="50">
                  <c:v>2963.025590943842</c:v>
                </c:pt>
                <c:pt idx="51">
                  <c:v>3063.9373334978882</c:v>
                </c:pt>
                <c:pt idx="52">
                  <c:v>3518.0905712384556</c:v>
                </c:pt>
                <c:pt idx="53">
                  <c:v>3546.8828613204532</c:v>
                </c:pt>
                <c:pt idx="54">
                  <c:v>3655.5951214940869</c:v>
                </c:pt>
                <c:pt idx="55">
                  <c:v>3902.8006904104841</c:v>
                </c:pt>
                <c:pt idx="56">
                  <c:v>3906.6854818107386</c:v>
                </c:pt>
                <c:pt idx="57">
                  <c:v>3944.5582587140088</c:v>
                </c:pt>
                <c:pt idx="58">
                  <c:v>4038.6118606471573</c:v>
                </c:pt>
                <c:pt idx="59">
                  <c:v>4178.6977109022555</c:v>
                </c:pt>
                <c:pt idx="60">
                  <c:v>4234.8770511723706</c:v>
                </c:pt>
                <c:pt idx="61">
                  <c:v>4392.7216768235667</c:v>
                </c:pt>
                <c:pt idx="62">
                  <c:v>4479.2453968942864</c:v>
                </c:pt>
                <c:pt idx="63">
                  <c:v>5037.1009480680805</c:v>
                </c:pt>
                <c:pt idx="64">
                  <c:v>5447.9097577990324</c:v>
                </c:pt>
                <c:pt idx="65">
                  <c:v>5726.7430981330108</c:v>
                </c:pt>
                <c:pt idx="66">
                  <c:v>5916.2431844691455</c:v>
                </c:pt>
                <c:pt idx="67">
                  <c:v>6064.1633492646797</c:v>
                </c:pt>
                <c:pt idx="68">
                  <c:v>6319.5883519678027</c:v>
                </c:pt>
                <c:pt idx="69">
                  <c:v>6505.6370454559219</c:v>
                </c:pt>
                <c:pt idx="70">
                  <c:v>6885.8486125919153</c:v>
                </c:pt>
                <c:pt idx="71">
                  <c:v>7137.6889566924947</c:v>
                </c:pt>
                <c:pt idx="72">
                  <c:v>7567.0610291538469</c:v>
                </c:pt>
                <c:pt idx="73">
                  <c:v>7643.9691701907141</c:v>
                </c:pt>
                <c:pt idx="74">
                  <c:v>8150.6960378598887</c:v>
                </c:pt>
                <c:pt idx="75">
                  <c:v>8676.4538199270028</c:v>
                </c:pt>
                <c:pt idx="76">
                  <c:v>9040.9853703571134</c:v>
                </c:pt>
                <c:pt idx="77">
                  <c:v>9362.516985458351</c:v>
                </c:pt>
                <c:pt idx="78">
                  <c:v>9673.1126833636081</c:v>
                </c:pt>
                <c:pt idx="79">
                  <c:v>10286.55427994515</c:v>
                </c:pt>
                <c:pt idx="80">
                  <c:v>11097.627475290443</c:v>
                </c:pt>
                <c:pt idx="81">
                  <c:v>11393.964627842826</c:v>
                </c:pt>
                <c:pt idx="82">
                  <c:v>11560.081812159653</c:v>
                </c:pt>
                <c:pt idx="83">
                  <c:v>12217.876432795776</c:v>
                </c:pt>
                <c:pt idx="84">
                  <c:v>12262.787757449609</c:v>
                </c:pt>
                <c:pt idx="85">
                  <c:v>12860.569216328731</c:v>
                </c:pt>
                <c:pt idx="86">
                  <c:v>13028.775500552845</c:v>
                </c:pt>
                <c:pt idx="87">
                  <c:v>13609.364977834106</c:v>
                </c:pt>
                <c:pt idx="88">
                  <c:v>13996.948947996658</c:v>
                </c:pt>
                <c:pt idx="89">
                  <c:v>14156.049630939378</c:v>
                </c:pt>
                <c:pt idx="90">
                  <c:v>14190.544308286917</c:v>
                </c:pt>
                <c:pt idx="91">
                  <c:v>14417.885407044174</c:v>
                </c:pt>
                <c:pt idx="92">
                  <c:v>14435.522062748321</c:v>
                </c:pt>
                <c:pt idx="93">
                  <c:v>15548.215044867218</c:v>
                </c:pt>
                <c:pt idx="94">
                  <c:v>15777.693418934738</c:v>
                </c:pt>
                <c:pt idx="95">
                  <c:v>16910.991265184595</c:v>
                </c:pt>
                <c:pt idx="96">
                  <c:v>18214.341591407108</c:v>
                </c:pt>
                <c:pt idx="97">
                  <c:v>18391.461208125547</c:v>
                </c:pt>
                <c:pt idx="98">
                  <c:v>18893.514363843307</c:v>
                </c:pt>
                <c:pt idx="99">
                  <c:v>19763.116394380922</c:v>
                </c:pt>
              </c:numCache>
            </c:numRef>
          </c:xVal>
          <c:yVal>
            <c:numRef>
              <c:f>CostOverRun!$L$9:$L$108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CostOverRun!$M$8</c:f>
              <c:strCache>
                <c:ptCount val="1"/>
                <c:pt idx="0">
                  <c:v>Bid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CostOverRun!$M$9:$M$108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37.10094806808047</c:v>
                </c:pt>
                <c:pt idx="64">
                  <c:v>447.90975779903238</c:v>
                </c:pt>
                <c:pt idx="65">
                  <c:v>726.74309813301079</c:v>
                </c:pt>
                <c:pt idx="66">
                  <c:v>916.24318446914549</c:v>
                </c:pt>
                <c:pt idx="67">
                  <c:v>1064.1633492646797</c:v>
                </c:pt>
                <c:pt idx="68">
                  <c:v>1319.5883519678027</c:v>
                </c:pt>
                <c:pt idx="69">
                  <c:v>1505.6370454559219</c:v>
                </c:pt>
                <c:pt idx="70">
                  <c:v>1885.8486125919153</c:v>
                </c:pt>
                <c:pt idx="71">
                  <c:v>2137.6889566924947</c:v>
                </c:pt>
                <c:pt idx="72">
                  <c:v>2567.0610291538469</c:v>
                </c:pt>
                <c:pt idx="73">
                  <c:v>2643.9691701907141</c:v>
                </c:pt>
                <c:pt idx="74">
                  <c:v>3150.6960378598887</c:v>
                </c:pt>
                <c:pt idx="75">
                  <c:v>3676.4538199270028</c:v>
                </c:pt>
                <c:pt idx="76">
                  <c:v>4040.9853703571134</c:v>
                </c:pt>
                <c:pt idx="77">
                  <c:v>4362.516985458351</c:v>
                </c:pt>
                <c:pt idx="78">
                  <c:v>4673.1126833636081</c:v>
                </c:pt>
                <c:pt idx="79">
                  <c:v>5286.5542799451505</c:v>
                </c:pt>
                <c:pt idx="80">
                  <c:v>6097.6274752904428</c:v>
                </c:pt>
                <c:pt idx="81">
                  <c:v>6393.9646278428263</c:v>
                </c:pt>
                <c:pt idx="82">
                  <c:v>6560.0818121596531</c:v>
                </c:pt>
                <c:pt idx="83">
                  <c:v>7217.8764327957761</c:v>
                </c:pt>
                <c:pt idx="84">
                  <c:v>7262.7877574496088</c:v>
                </c:pt>
                <c:pt idx="85">
                  <c:v>7860.5692163287313</c:v>
                </c:pt>
                <c:pt idx="86">
                  <c:v>8028.7755005528452</c:v>
                </c:pt>
                <c:pt idx="87">
                  <c:v>8609.364977834106</c:v>
                </c:pt>
                <c:pt idx="88">
                  <c:v>8996.9489479966578</c:v>
                </c:pt>
                <c:pt idx="89">
                  <c:v>9156.0496309393784</c:v>
                </c:pt>
                <c:pt idx="90">
                  <c:v>9190.5443082869169</c:v>
                </c:pt>
                <c:pt idx="91">
                  <c:v>9417.8854070441739</c:v>
                </c:pt>
                <c:pt idx="92">
                  <c:v>9435.5220627483213</c:v>
                </c:pt>
                <c:pt idx="93">
                  <c:v>10548.215044867218</c:v>
                </c:pt>
                <c:pt idx="94">
                  <c:v>10777.693418934738</c:v>
                </c:pt>
                <c:pt idx="95">
                  <c:v>11910.991265184595</c:v>
                </c:pt>
                <c:pt idx="96">
                  <c:v>13214.341591407108</c:v>
                </c:pt>
                <c:pt idx="97">
                  <c:v>13391.461208125547</c:v>
                </c:pt>
                <c:pt idx="98">
                  <c:v>13893.514363843307</c:v>
                </c:pt>
                <c:pt idx="99">
                  <c:v>14763.116394380922</c:v>
                </c:pt>
              </c:numCache>
            </c:numRef>
          </c:xVal>
          <c:yVal>
            <c:numRef>
              <c:f>CostOverRun!$N$9:$N$108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CostOverRun!$O$8</c:f>
              <c:strCache>
                <c:ptCount val="1"/>
                <c:pt idx="0">
                  <c:v>Bid 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CostOverRun!$O$9:$O$108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286.55427994515048</c:v>
                </c:pt>
                <c:pt idx="80">
                  <c:v>1097.6274752904428</c:v>
                </c:pt>
                <c:pt idx="81">
                  <c:v>1393.9646278428263</c:v>
                </c:pt>
                <c:pt idx="82">
                  <c:v>1560.0818121596531</c:v>
                </c:pt>
                <c:pt idx="83">
                  <c:v>2217.8764327957761</c:v>
                </c:pt>
                <c:pt idx="84">
                  <c:v>2262.7877574496088</c:v>
                </c:pt>
                <c:pt idx="85">
                  <c:v>2860.5692163287313</c:v>
                </c:pt>
                <c:pt idx="86">
                  <c:v>3028.7755005528452</c:v>
                </c:pt>
                <c:pt idx="87">
                  <c:v>3609.364977834106</c:v>
                </c:pt>
                <c:pt idx="88">
                  <c:v>3996.9489479966578</c:v>
                </c:pt>
                <c:pt idx="89">
                  <c:v>4156.0496309393784</c:v>
                </c:pt>
                <c:pt idx="90">
                  <c:v>4190.5443082869169</c:v>
                </c:pt>
                <c:pt idx="91">
                  <c:v>4417.8854070441739</c:v>
                </c:pt>
                <c:pt idx="92">
                  <c:v>4435.5220627483213</c:v>
                </c:pt>
                <c:pt idx="93">
                  <c:v>5548.2150448672182</c:v>
                </c:pt>
                <c:pt idx="94">
                  <c:v>5777.6934189347376</c:v>
                </c:pt>
                <c:pt idx="95">
                  <c:v>6910.9912651845952</c:v>
                </c:pt>
                <c:pt idx="96">
                  <c:v>8214.3415914071084</c:v>
                </c:pt>
                <c:pt idx="97">
                  <c:v>8391.4612081255473</c:v>
                </c:pt>
                <c:pt idx="98">
                  <c:v>8893.5143638433074</c:v>
                </c:pt>
                <c:pt idx="99">
                  <c:v>9763.1163943809224</c:v>
                </c:pt>
              </c:numCache>
            </c:numRef>
          </c:xVal>
          <c:yVal>
            <c:numRef>
              <c:f>CostOverRun!$P$9:$P$108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160458624"/>
        <c:axId val="160460160"/>
      </c:scatterChart>
      <c:valAx>
        <c:axId val="160458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60160"/>
        <c:crosses val="autoZero"/>
        <c:crossBetween val="midCat"/>
      </c:valAx>
      <c:valAx>
        <c:axId val="1604601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2.6976985423964633E-2"/>
              <c:y val="0.450441392346518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58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49108601960212"/>
          <c:y val="0.92147439120030561"/>
          <c:w val="0.43331782837243188"/>
          <c:h val="6.17748195218082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 of Cost Overruns for the Contract Bid</a:t>
            </a:r>
          </a:p>
        </c:rich>
      </c:tx>
      <c:layout>
        <c:manualLayout>
          <c:xMode val="edge"/>
          <c:yMode val="edge"/>
          <c:x val="0.23191087766509849"/>
          <c:y val="2.7902501330494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811558484261475E-2"/>
          <c:y val="0.15346375731772219"/>
          <c:w val="0.86439508947900345"/>
          <c:h val="0.70453815859499735"/>
        </c:manualLayout>
      </c:layout>
      <c:scatterChart>
        <c:scatterStyle val="smoothMarker"/>
        <c:ser>
          <c:idx val="0"/>
          <c:order val="0"/>
          <c:tx>
            <c:strRef>
              <c:f>CostOverRun!$I$8</c:f>
              <c:strCache>
                <c:ptCount val="1"/>
                <c:pt idx="0">
                  <c:v>Bid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CostOverRun!$I$9:$I$108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778.81116298708366</c:v>
                </c:pt>
                <c:pt idx="14">
                  <c:v>856.26404316612752</c:v>
                </c:pt>
                <c:pt idx="15">
                  <c:v>1264.0839902177395</c:v>
                </c:pt>
                <c:pt idx="16">
                  <c:v>1319.9836151936324</c:v>
                </c:pt>
                <c:pt idx="17">
                  <c:v>1450.0400939252868</c:v>
                </c:pt>
                <c:pt idx="18">
                  <c:v>1648.5601223295671</c:v>
                </c:pt>
                <c:pt idx="19">
                  <c:v>1681.0208668959967</c:v>
                </c:pt>
                <c:pt idx="20">
                  <c:v>2372.9555230995466</c:v>
                </c:pt>
                <c:pt idx="21">
                  <c:v>2832.774379178969</c:v>
                </c:pt>
                <c:pt idx="22">
                  <c:v>2952.3322081354272</c:v>
                </c:pt>
                <c:pt idx="23">
                  <c:v>3024.1020278393116</c:v>
                </c:pt>
                <c:pt idx="24">
                  <c:v>3318.082898473338</c:v>
                </c:pt>
                <c:pt idx="25">
                  <c:v>3744.5298451466078</c:v>
                </c:pt>
                <c:pt idx="26">
                  <c:v>4074.7497563251818</c:v>
                </c:pt>
                <c:pt idx="27">
                  <c:v>4076.4475345727114</c:v>
                </c:pt>
                <c:pt idx="28">
                  <c:v>4169.6787275537499</c:v>
                </c:pt>
                <c:pt idx="29">
                  <c:v>4182.1378586965729</c:v>
                </c:pt>
                <c:pt idx="30">
                  <c:v>4667.9437778098218</c:v>
                </c:pt>
                <c:pt idx="31">
                  <c:v>4674.3953724657476</c:v>
                </c:pt>
                <c:pt idx="32">
                  <c:v>4677.9068960305885</c:v>
                </c:pt>
                <c:pt idx="33">
                  <c:v>5371.5593638547289</c:v>
                </c:pt>
                <c:pt idx="34">
                  <c:v>5384.367562832369</c:v>
                </c:pt>
                <c:pt idx="35">
                  <c:v>5494.295404477627</c:v>
                </c:pt>
                <c:pt idx="36">
                  <c:v>5719.1145763120148</c:v>
                </c:pt>
                <c:pt idx="37">
                  <c:v>5983.5382929583138</c:v>
                </c:pt>
                <c:pt idx="38">
                  <c:v>6131.1722179507487</c:v>
                </c:pt>
                <c:pt idx="39">
                  <c:v>6181.7471396319161</c:v>
                </c:pt>
                <c:pt idx="40">
                  <c:v>6396.5102391408291</c:v>
                </c:pt>
                <c:pt idx="41">
                  <c:v>6574.0792478449875</c:v>
                </c:pt>
                <c:pt idx="42">
                  <c:v>6611.2818866828165</c:v>
                </c:pt>
                <c:pt idx="43">
                  <c:v>7109.0876553102571</c:v>
                </c:pt>
                <c:pt idx="44">
                  <c:v>7313.59434659619</c:v>
                </c:pt>
                <c:pt idx="45">
                  <c:v>7361.8939262869826</c:v>
                </c:pt>
                <c:pt idx="46">
                  <c:v>7449.6164435998653</c:v>
                </c:pt>
                <c:pt idx="47">
                  <c:v>7517.3780931396177</c:v>
                </c:pt>
                <c:pt idx="48">
                  <c:v>7600.3884709141566</c:v>
                </c:pt>
                <c:pt idx="49">
                  <c:v>7960.9961257153482</c:v>
                </c:pt>
                <c:pt idx="50">
                  <c:v>7963.025590943842</c:v>
                </c:pt>
                <c:pt idx="51">
                  <c:v>8063.9373334978882</c:v>
                </c:pt>
                <c:pt idx="52">
                  <c:v>8518.0905712384556</c:v>
                </c:pt>
                <c:pt idx="53">
                  <c:v>8546.8828613204532</c:v>
                </c:pt>
                <c:pt idx="54">
                  <c:v>8655.5951214940869</c:v>
                </c:pt>
                <c:pt idx="55">
                  <c:v>8902.8006904104841</c:v>
                </c:pt>
                <c:pt idx="56">
                  <c:v>8906.6854818107386</c:v>
                </c:pt>
                <c:pt idx="57">
                  <c:v>8944.5582587140088</c:v>
                </c:pt>
                <c:pt idx="58">
                  <c:v>9038.6118606471573</c:v>
                </c:pt>
                <c:pt idx="59">
                  <c:v>9178.6977109022555</c:v>
                </c:pt>
                <c:pt idx="60">
                  <c:v>9234.8770511723706</c:v>
                </c:pt>
                <c:pt idx="61">
                  <c:v>9392.7216768235667</c:v>
                </c:pt>
                <c:pt idx="62">
                  <c:v>9479.2453968942864</c:v>
                </c:pt>
                <c:pt idx="63">
                  <c:v>10037.10094806808</c:v>
                </c:pt>
                <c:pt idx="64">
                  <c:v>10447.909757799032</c:v>
                </c:pt>
                <c:pt idx="65">
                  <c:v>10726.743098133011</c:v>
                </c:pt>
                <c:pt idx="66">
                  <c:v>10916.243184469145</c:v>
                </c:pt>
                <c:pt idx="67">
                  <c:v>11064.16334926468</c:v>
                </c:pt>
                <c:pt idx="68">
                  <c:v>11319.588351967803</c:v>
                </c:pt>
                <c:pt idx="69">
                  <c:v>11505.637045455922</c:v>
                </c:pt>
                <c:pt idx="70">
                  <c:v>11885.848612591915</c:v>
                </c:pt>
                <c:pt idx="71">
                  <c:v>12137.688956692495</c:v>
                </c:pt>
                <c:pt idx="72">
                  <c:v>12567.061029153847</c:v>
                </c:pt>
                <c:pt idx="73">
                  <c:v>12643.969170190714</c:v>
                </c:pt>
                <c:pt idx="74">
                  <c:v>13150.696037859889</c:v>
                </c:pt>
                <c:pt idx="75">
                  <c:v>13676.453819927003</c:v>
                </c:pt>
                <c:pt idx="76">
                  <c:v>14040.985370357113</c:v>
                </c:pt>
                <c:pt idx="77">
                  <c:v>14362.516985458351</c:v>
                </c:pt>
                <c:pt idx="78">
                  <c:v>14673.112683363608</c:v>
                </c:pt>
                <c:pt idx="79">
                  <c:v>15286.55427994515</c:v>
                </c:pt>
                <c:pt idx="80">
                  <c:v>16097.627475290443</c:v>
                </c:pt>
                <c:pt idx="81">
                  <c:v>16393.964627842826</c:v>
                </c:pt>
                <c:pt idx="82">
                  <c:v>16560.081812159653</c:v>
                </c:pt>
                <c:pt idx="83">
                  <c:v>17217.876432795776</c:v>
                </c:pt>
                <c:pt idx="84">
                  <c:v>17262.787757449609</c:v>
                </c:pt>
                <c:pt idx="85">
                  <c:v>17860.569216328731</c:v>
                </c:pt>
                <c:pt idx="86">
                  <c:v>18028.775500552845</c:v>
                </c:pt>
                <c:pt idx="87">
                  <c:v>18609.364977834106</c:v>
                </c:pt>
                <c:pt idx="88">
                  <c:v>18996.948947996658</c:v>
                </c:pt>
                <c:pt idx="89">
                  <c:v>19156.049630939378</c:v>
                </c:pt>
                <c:pt idx="90">
                  <c:v>19190.544308286917</c:v>
                </c:pt>
                <c:pt idx="91">
                  <c:v>19417.885407044174</c:v>
                </c:pt>
                <c:pt idx="92">
                  <c:v>19435.522062748321</c:v>
                </c:pt>
                <c:pt idx="93">
                  <c:v>20548.215044867218</c:v>
                </c:pt>
                <c:pt idx="94">
                  <c:v>20777.693418934738</c:v>
                </c:pt>
                <c:pt idx="95">
                  <c:v>21910.991265184595</c:v>
                </c:pt>
                <c:pt idx="96">
                  <c:v>23214.341591407108</c:v>
                </c:pt>
                <c:pt idx="97">
                  <c:v>23391.461208125547</c:v>
                </c:pt>
                <c:pt idx="98">
                  <c:v>23893.514363843307</c:v>
                </c:pt>
                <c:pt idx="99">
                  <c:v>24763.116394380922</c:v>
                </c:pt>
              </c:numCache>
            </c:numRef>
          </c:xVal>
          <c:yVal>
            <c:numRef>
              <c:f>CostOverRun!$J$9:$J$108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CostOverRun!$K$8</c:f>
              <c:strCache>
                <c:ptCount val="1"/>
                <c:pt idx="0">
                  <c:v>Bid 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CostOverRun!$K$9:$K$108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371.55936385472887</c:v>
                </c:pt>
                <c:pt idx="34">
                  <c:v>384.367562832369</c:v>
                </c:pt>
                <c:pt idx="35">
                  <c:v>494.29540447762702</c:v>
                </c:pt>
                <c:pt idx="36">
                  <c:v>719.11457631201483</c:v>
                </c:pt>
                <c:pt idx="37">
                  <c:v>983.53829295831383</c:v>
                </c:pt>
                <c:pt idx="38">
                  <c:v>1131.1722179507487</c:v>
                </c:pt>
                <c:pt idx="39">
                  <c:v>1181.7471396319161</c:v>
                </c:pt>
                <c:pt idx="40">
                  <c:v>1396.5102391408291</c:v>
                </c:pt>
                <c:pt idx="41">
                  <c:v>1574.0792478449875</c:v>
                </c:pt>
                <c:pt idx="42">
                  <c:v>1611.2818866828165</c:v>
                </c:pt>
                <c:pt idx="43">
                  <c:v>2109.0876553102571</c:v>
                </c:pt>
                <c:pt idx="44">
                  <c:v>2313.59434659619</c:v>
                </c:pt>
                <c:pt idx="45">
                  <c:v>2361.8939262869826</c:v>
                </c:pt>
                <c:pt idx="46">
                  <c:v>2449.6164435998653</c:v>
                </c:pt>
                <c:pt idx="47">
                  <c:v>2517.3780931396177</c:v>
                </c:pt>
                <c:pt idx="48">
                  <c:v>2600.3884709141566</c:v>
                </c:pt>
                <c:pt idx="49">
                  <c:v>2960.9961257153482</c:v>
                </c:pt>
                <c:pt idx="50">
                  <c:v>2963.025590943842</c:v>
                </c:pt>
                <c:pt idx="51">
                  <c:v>3063.9373334978882</c:v>
                </c:pt>
                <c:pt idx="52">
                  <c:v>3518.0905712384556</c:v>
                </c:pt>
                <c:pt idx="53">
                  <c:v>3546.8828613204532</c:v>
                </c:pt>
                <c:pt idx="54">
                  <c:v>3655.5951214940869</c:v>
                </c:pt>
                <c:pt idx="55">
                  <c:v>3902.8006904104841</c:v>
                </c:pt>
                <c:pt idx="56">
                  <c:v>3906.6854818107386</c:v>
                </c:pt>
                <c:pt idx="57">
                  <c:v>3944.5582587140088</c:v>
                </c:pt>
                <c:pt idx="58">
                  <c:v>4038.6118606471573</c:v>
                </c:pt>
                <c:pt idx="59">
                  <c:v>4178.6977109022555</c:v>
                </c:pt>
                <c:pt idx="60">
                  <c:v>4234.8770511723706</c:v>
                </c:pt>
                <c:pt idx="61">
                  <c:v>4392.7216768235667</c:v>
                </c:pt>
                <c:pt idx="62">
                  <c:v>4479.2453968942864</c:v>
                </c:pt>
                <c:pt idx="63">
                  <c:v>5037.1009480680805</c:v>
                </c:pt>
                <c:pt idx="64">
                  <c:v>5447.9097577990324</c:v>
                </c:pt>
                <c:pt idx="65">
                  <c:v>5726.7430981330108</c:v>
                </c:pt>
                <c:pt idx="66">
                  <c:v>5916.2431844691455</c:v>
                </c:pt>
                <c:pt idx="67">
                  <c:v>6064.1633492646797</c:v>
                </c:pt>
                <c:pt idx="68">
                  <c:v>6319.5883519678027</c:v>
                </c:pt>
                <c:pt idx="69">
                  <c:v>6505.6370454559219</c:v>
                </c:pt>
                <c:pt idx="70">
                  <c:v>6885.8486125919153</c:v>
                </c:pt>
                <c:pt idx="71">
                  <c:v>7137.6889566924947</c:v>
                </c:pt>
                <c:pt idx="72">
                  <c:v>7567.0610291538469</c:v>
                </c:pt>
                <c:pt idx="73">
                  <c:v>7643.9691701907141</c:v>
                </c:pt>
                <c:pt idx="74">
                  <c:v>8150.6960378598887</c:v>
                </c:pt>
                <c:pt idx="75">
                  <c:v>8676.4538199270028</c:v>
                </c:pt>
                <c:pt idx="76">
                  <c:v>9040.9853703571134</c:v>
                </c:pt>
                <c:pt idx="77">
                  <c:v>9362.516985458351</c:v>
                </c:pt>
                <c:pt idx="78">
                  <c:v>9673.1126833636081</c:v>
                </c:pt>
                <c:pt idx="79">
                  <c:v>10286.55427994515</c:v>
                </c:pt>
                <c:pt idx="80">
                  <c:v>11097.627475290443</c:v>
                </c:pt>
                <c:pt idx="81">
                  <c:v>11393.964627842826</c:v>
                </c:pt>
                <c:pt idx="82">
                  <c:v>11560.081812159653</c:v>
                </c:pt>
                <c:pt idx="83">
                  <c:v>12217.876432795776</c:v>
                </c:pt>
                <c:pt idx="84">
                  <c:v>12262.787757449609</c:v>
                </c:pt>
                <c:pt idx="85">
                  <c:v>12860.569216328731</c:v>
                </c:pt>
                <c:pt idx="86">
                  <c:v>13028.775500552845</c:v>
                </c:pt>
                <c:pt idx="87">
                  <c:v>13609.364977834106</c:v>
                </c:pt>
                <c:pt idx="88">
                  <c:v>13996.948947996658</c:v>
                </c:pt>
                <c:pt idx="89">
                  <c:v>14156.049630939378</c:v>
                </c:pt>
                <c:pt idx="90">
                  <c:v>14190.544308286917</c:v>
                </c:pt>
                <c:pt idx="91">
                  <c:v>14417.885407044174</c:v>
                </c:pt>
                <c:pt idx="92">
                  <c:v>14435.522062748321</c:v>
                </c:pt>
                <c:pt idx="93">
                  <c:v>15548.215044867218</c:v>
                </c:pt>
                <c:pt idx="94">
                  <c:v>15777.693418934738</c:v>
                </c:pt>
                <c:pt idx="95">
                  <c:v>16910.991265184595</c:v>
                </c:pt>
                <c:pt idx="96">
                  <c:v>18214.341591407108</c:v>
                </c:pt>
                <c:pt idx="97">
                  <c:v>18391.461208125547</c:v>
                </c:pt>
                <c:pt idx="98">
                  <c:v>18893.514363843307</c:v>
                </c:pt>
                <c:pt idx="99">
                  <c:v>19763.116394380922</c:v>
                </c:pt>
              </c:numCache>
            </c:numRef>
          </c:xVal>
          <c:yVal>
            <c:numRef>
              <c:f>CostOverRun!$L$9:$L$108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CostOverRun!$M$8</c:f>
              <c:strCache>
                <c:ptCount val="1"/>
                <c:pt idx="0">
                  <c:v>Bid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CostOverRun!$M$9:$M$108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37.10094806808047</c:v>
                </c:pt>
                <c:pt idx="64">
                  <c:v>447.90975779903238</c:v>
                </c:pt>
                <c:pt idx="65">
                  <c:v>726.74309813301079</c:v>
                </c:pt>
                <c:pt idx="66">
                  <c:v>916.24318446914549</c:v>
                </c:pt>
                <c:pt idx="67">
                  <c:v>1064.1633492646797</c:v>
                </c:pt>
                <c:pt idx="68">
                  <c:v>1319.5883519678027</c:v>
                </c:pt>
                <c:pt idx="69">
                  <c:v>1505.6370454559219</c:v>
                </c:pt>
                <c:pt idx="70">
                  <c:v>1885.8486125919153</c:v>
                </c:pt>
                <c:pt idx="71">
                  <c:v>2137.6889566924947</c:v>
                </c:pt>
                <c:pt idx="72">
                  <c:v>2567.0610291538469</c:v>
                </c:pt>
                <c:pt idx="73">
                  <c:v>2643.9691701907141</c:v>
                </c:pt>
                <c:pt idx="74">
                  <c:v>3150.6960378598887</c:v>
                </c:pt>
                <c:pt idx="75">
                  <c:v>3676.4538199270028</c:v>
                </c:pt>
                <c:pt idx="76">
                  <c:v>4040.9853703571134</c:v>
                </c:pt>
                <c:pt idx="77">
                  <c:v>4362.516985458351</c:v>
                </c:pt>
                <c:pt idx="78">
                  <c:v>4673.1126833636081</c:v>
                </c:pt>
                <c:pt idx="79">
                  <c:v>5286.5542799451505</c:v>
                </c:pt>
                <c:pt idx="80">
                  <c:v>6097.6274752904428</c:v>
                </c:pt>
                <c:pt idx="81">
                  <c:v>6393.9646278428263</c:v>
                </c:pt>
                <c:pt idx="82">
                  <c:v>6560.0818121596531</c:v>
                </c:pt>
                <c:pt idx="83">
                  <c:v>7217.8764327957761</c:v>
                </c:pt>
                <c:pt idx="84">
                  <c:v>7262.7877574496088</c:v>
                </c:pt>
                <c:pt idx="85">
                  <c:v>7860.5692163287313</c:v>
                </c:pt>
                <c:pt idx="86">
                  <c:v>8028.7755005528452</c:v>
                </c:pt>
                <c:pt idx="87">
                  <c:v>8609.364977834106</c:v>
                </c:pt>
                <c:pt idx="88">
                  <c:v>8996.9489479966578</c:v>
                </c:pt>
                <c:pt idx="89">
                  <c:v>9156.0496309393784</c:v>
                </c:pt>
                <c:pt idx="90">
                  <c:v>9190.5443082869169</c:v>
                </c:pt>
                <c:pt idx="91">
                  <c:v>9417.8854070441739</c:v>
                </c:pt>
                <c:pt idx="92">
                  <c:v>9435.5220627483213</c:v>
                </c:pt>
                <c:pt idx="93">
                  <c:v>10548.215044867218</c:v>
                </c:pt>
                <c:pt idx="94">
                  <c:v>10777.693418934738</c:v>
                </c:pt>
                <c:pt idx="95">
                  <c:v>11910.991265184595</c:v>
                </c:pt>
                <c:pt idx="96">
                  <c:v>13214.341591407108</c:v>
                </c:pt>
                <c:pt idx="97">
                  <c:v>13391.461208125547</c:v>
                </c:pt>
                <c:pt idx="98">
                  <c:v>13893.514363843307</c:v>
                </c:pt>
                <c:pt idx="99">
                  <c:v>14763.116394380922</c:v>
                </c:pt>
              </c:numCache>
            </c:numRef>
          </c:xVal>
          <c:yVal>
            <c:numRef>
              <c:f>CostOverRun!$N$9:$N$108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CostOverRun!$O$8</c:f>
              <c:strCache>
                <c:ptCount val="1"/>
                <c:pt idx="0">
                  <c:v>Bid 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CostOverRun!$O$9:$O$108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286.55427994515048</c:v>
                </c:pt>
                <c:pt idx="80">
                  <c:v>1097.6274752904428</c:v>
                </c:pt>
                <c:pt idx="81">
                  <c:v>1393.9646278428263</c:v>
                </c:pt>
                <c:pt idx="82">
                  <c:v>1560.0818121596531</c:v>
                </c:pt>
                <c:pt idx="83">
                  <c:v>2217.8764327957761</c:v>
                </c:pt>
                <c:pt idx="84">
                  <c:v>2262.7877574496088</c:v>
                </c:pt>
                <c:pt idx="85">
                  <c:v>2860.5692163287313</c:v>
                </c:pt>
                <c:pt idx="86">
                  <c:v>3028.7755005528452</c:v>
                </c:pt>
                <c:pt idx="87">
                  <c:v>3609.364977834106</c:v>
                </c:pt>
                <c:pt idx="88">
                  <c:v>3996.9489479966578</c:v>
                </c:pt>
                <c:pt idx="89">
                  <c:v>4156.0496309393784</c:v>
                </c:pt>
                <c:pt idx="90">
                  <c:v>4190.5443082869169</c:v>
                </c:pt>
                <c:pt idx="91">
                  <c:v>4417.8854070441739</c:v>
                </c:pt>
                <c:pt idx="92">
                  <c:v>4435.5220627483213</c:v>
                </c:pt>
                <c:pt idx="93">
                  <c:v>5548.2150448672182</c:v>
                </c:pt>
                <c:pt idx="94">
                  <c:v>5777.6934189347376</c:v>
                </c:pt>
                <c:pt idx="95">
                  <c:v>6910.9912651845952</c:v>
                </c:pt>
                <c:pt idx="96">
                  <c:v>8214.3415914071084</c:v>
                </c:pt>
                <c:pt idx="97">
                  <c:v>8391.4612081255473</c:v>
                </c:pt>
                <c:pt idx="98">
                  <c:v>8893.5143638433074</c:v>
                </c:pt>
                <c:pt idx="99">
                  <c:v>9763.1163943809224</c:v>
                </c:pt>
              </c:numCache>
            </c:numRef>
          </c:xVal>
          <c:yVal>
            <c:numRef>
              <c:f>CostOverRun!$P$9:$P$108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49793664"/>
        <c:axId val="49807744"/>
      </c:scatterChart>
      <c:valAx>
        <c:axId val="4979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07744"/>
        <c:crosses val="autoZero"/>
        <c:crossBetween val="midCat"/>
      </c:valAx>
      <c:valAx>
        <c:axId val="4980774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9842641939259765E-2"/>
              <c:y val="0.469110803618946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3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236425248260104"/>
          <c:y val="0.93996551357104841"/>
          <c:w val="0.37328970148232432"/>
          <c:h val="4.70854709952102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7</xdr:col>
      <xdr:colOff>419100</xdr:colOff>
      <xdr:row>82</xdr:row>
      <xdr:rowOff>66675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4</xdr:row>
      <xdr:rowOff>85725</xdr:rowOff>
    </xdr:from>
    <xdr:to>
      <xdr:col>19</xdr:col>
      <xdr:colOff>485775</xdr:colOff>
      <xdr:row>37</xdr:row>
      <xdr:rowOff>104775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workbookViewId="0">
      <selection activeCell="A3" sqref="A3"/>
    </sheetView>
  </sheetViews>
  <sheetFormatPr defaultRowHeight="12.75"/>
  <cols>
    <col min="5" max="5" width="12.85546875" bestFit="1" customWidth="1"/>
    <col min="6" max="6" width="20.140625" style="19" customWidth="1"/>
    <col min="8" max="8" width="11.28515625" bestFit="1" customWidth="1"/>
    <col min="10" max="13" width="11.5703125" bestFit="1" customWidth="1"/>
  </cols>
  <sheetData>
    <row r="1" spans="1:13">
      <c r="A1" s="1" t="str">
        <f ca="1">_xll.WBNAME()</f>
        <v>Bid Analysis Demo.xlsx</v>
      </c>
    </row>
    <row r="2" spans="1:13">
      <c r="A2" t="s">
        <v>0</v>
      </c>
    </row>
    <row r="3" spans="1:13">
      <c r="A3" t="s">
        <v>90</v>
      </c>
    </row>
    <row r="4" spans="1:13">
      <c r="A4" t="s">
        <v>69</v>
      </c>
    </row>
    <row r="5" spans="1:13">
      <c r="A5" s="1" t="s">
        <v>76</v>
      </c>
    </row>
    <row r="8" spans="1:13">
      <c r="G8" s="9" t="s">
        <v>2</v>
      </c>
      <c r="H8" s="2"/>
      <c r="I8" s="2"/>
      <c r="J8" s="2"/>
    </row>
    <row r="9" spans="1:13" ht="13.5" thickBot="1">
      <c r="A9" s="3" t="s">
        <v>60</v>
      </c>
      <c r="B9" s="3"/>
      <c r="C9" s="3"/>
      <c r="D9" s="3"/>
      <c r="E9" s="3" t="s">
        <v>1</v>
      </c>
      <c r="F9" s="20"/>
      <c r="G9" s="17" t="s">
        <v>3</v>
      </c>
      <c r="H9" s="17" t="s">
        <v>4</v>
      </c>
      <c r="I9" s="17" t="s">
        <v>5</v>
      </c>
      <c r="J9" s="18" t="s">
        <v>58</v>
      </c>
      <c r="K9" s="3"/>
      <c r="L9" s="3"/>
      <c r="M9" s="3"/>
    </row>
    <row r="10" spans="1:13">
      <c r="F10" s="19" t="s">
        <v>61</v>
      </c>
    </row>
    <row r="11" spans="1:13">
      <c r="A11" t="s">
        <v>26</v>
      </c>
      <c r="E11" s="4">
        <f ca="1">_xll.UNIFORM(G11,I11)</f>
        <v>799.5147705078125</v>
      </c>
      <c r="F11" s="19" t="str">
        <f ca="1">_xll.VFORMULA(E11)</f>
        <v>=UNIFORM(G11,I11)</v>
      </c>
      <c r="G11" s="4">
        <v>500</v>
      </c>
      <c r="H11" s="4"/>
      <c r="I11" s="4">
        <v>1000</v>
      </c>
    </row>
    <row r="12" spans="1:13">
      <c r="A12" t="s">
        <v>6</v>
      </c>
      <c r="E12" s="4">
        <f>H12</f>
        <v>500</v>
      </c>
      <c r="F12" s="19" t="str">
        <f ca="1">_xll.VFORMULA(E12)</f>
        <v>=H12</v>
      </c>
      <c r="G12" s="4"/>
      <c r="H12" s="4">
        <v>500</v>
      </c>
      <c r="I12" s="4"/>
    </row>
    <row r="13" spans="1:13">
      <c r="A13" t="s">
        <v>7</v>
      </c>
      <c r="E13" s="4">
        <f ca="1">_xll.GRK(G13,H13,I13,_xll.UNIFORM())</f>
        <v>245.87971781807633</v>
      </c>
      <c r="F13" s="19" t="str">
        <f ca="1">_xll.VFORMULA(E13)</f>
        <v>=GRK(G13,H13,I13,UNIFORM())</v>
      </c>
      <c r="G13" s="4">
        <v>150</v>
      </c>
      <c r="H13" s="4">
        <v>250</v>
      </c>
      <c r="I13" s="4">
        <v>500</v>
      </c>
    </row>
    <row r="14" spans="1:13">
      <c r="E14" s="4"/>
      <c r="F14" s="19" t="str">
        <f ca="1">_xll.VFORMULA(E14)</f>
        <v/>
      </c>
      <c r="G14" s="4"/>
      <c r="H14" s="4"/>
      <c r="I14" s="4"/>
    </row>
    <row r="15" spans="1:13">
      <c r="A15" t="s">
        <v>46</v>
      </c>
      <c r="E15" s="4">
        <f ca="1">_xll.GRK(G15,H15,I15,_xll.UNIFORM())</f>
        <v>1980.3150928639236</v>
      </c>
      <c r="F15" s="19" t="str">
        <f ca="1">_xll.VFORMULA(E15)</f>
        <v>=GRK(G15,H15,I15,UNIFORM())</v>
      </c>
      <c r="G15" s="4">
        <v>1000</v>
      </c>
      <c r="H15" s="4">
        <v>2000</v>
      </c>
      <c r="I15" s="4">
        <v>3000</v>
      </c>
    </row>
    <row r="16" spans="1:13">
      <c r="A16" t="s">
        <v>8</v>
      </c>
      <c r="E16" s="4">
        <f ca="1">_xll.GRK(G16,H16,I16,_xll.UNIFORM())</f>
        <v>3700.2634180616064</v>
      </c>
      <c r="F16" s="19" t="str">
        <f ca="1">_xll.VFORMULA(E16)</f>
        <v>=GRK(G16,H16,I16,UNIFORM())</v>
      </c>
      <c r="G16" s="4">
        <v>2000</v>
      </c>
      <c r="H16" s="4">
        <v>4000</v>
      </c>
      <c r="I16" s="4">
        <v>5000</v>
      </c>
    </row>
    <row r="17" spans="1:9">
      <c r="A17" t="s">
        <v>17</v>
      </c>
      <c r="E17" s="4">
        <f ca="1">_xll.GRK(G17,H17,I17,_xll.UNIFORM())</f>
        <v>7384.2045089285039</v>
      </c>
      <c r="F17" s="19" t="str">
        <f ca="1">_xll.VFORMULA(E17)</f>
        <v>=GRK(G17,H17,I17,UNIFORM())</v>
      </c>
      <c r="G17" s="4">
        <v>4000</v>
      </c>
      <c r="H17" s="4">
        <v>5000</v>
      </c>
      <c r="I17" s="4">
        <v>7000</v>
      </c>
    </row>
    <row r="18" spans="1:9">
      <c r="A18" t="s">
        <v>23</v>
      </c>
      <c r="E18" s="4">
        <f ca="1">_xll.GRK(G18,H18,I18,_xll.UNIFORM())</f>
        <v>9890.1789391355742</v>
      </c>
      <c r="F18" s="19" t="str">
        <f ca="1">_xll.VFORMULA(E18)</f>
        <v>=GRK(G18,H18,I18,UNIFORM())</v>
      </c>
      <c r="G18" s="4">
        <v>8000</v>
      </c>
      <c r="H18" s="4">
        <v>10000</v>
      </c>
      <c r="I18" s="4">
        <v>12000</v>
      </c>
    </row>
    <row r="19" spans="1:9">
      <c r="E19" s="4"/>
      <c r="F19" s="19" t="str">
        <f ca="1">_xll.VFORMULA(E19)</f>
        <v/>
      </c>
      <c r="G19" s="4"/>
      <c r="H19" s="4"/>
      <c r="I19" s="4"/>
    </row>
    <row r="20" spans="1:9">
      <c r="A20" t="s">
        <v>47</v>
      </c>
      <c r="E20" s="4">
        <f ca="1">_xll.GRK(G20,H20,I20,_xll.UNIFORM())</f>
        <v>4805.4121540796095</v>
      </c>
      <c r="F20" s="19" t="str">
        <f ca="1">_xll.VFORMULA(E20)</f>
        <v>=GRK(G20,H20,I20,UNIFORM())</v>
      </c>
      <c r="G20" s="4">
        <v>4500</v>
      </c>
      <c r="H20" s="4">
        <v>5000</v>
      </c>
      <c r="I20" s="4">
        <v>6000</v>
      </c>
    </row>
    <row r="21" spans="1:9">
      <c r="A21" t="s">
        <v>10</v>
      </c>
      <c r="E21" s="4">
        <f ca="1">_xll.GRK(G21,H21,I21,_xll.UNIFORM())</f>
        <v>26290.380463318306</v>
      </c>
      <c r="F21" s="19" t="str">
        <f ca="1">_xll.VFORMULA(E21)</f>
        <v>=GRK(G21,H21,I21,UNIFORM())</v>
      </c>
      <c r="G21" s="4">
        <v>22000</v>
      </c>
      <c r="H21" s="4">
        <v>25000</v>
      </c>
      <c r="I21" s="4">
        <v>29000</v>
      </c>
    </row>
    <row r="22" spans="1:9">
      <c r="A22" t="s">
        <v>25</v>
      </c>
      <c r="E22" s="4">
        <f ca="1">_xll.GRK(G22,H22,I22,_xll.UNIFORM())</f>
        <v>3175.0921573788833</v>
      </c>
      <c r="F22" s="19" t="str">
        <f ca="1">_xll.VFORMULA(E22)</f>
        <v>=GRK(G22,H22,I22,UNIFORM())</v>
      </c>
      <c r="G22" s="4">
        <v>2500</v>
      </c>
      <c r="H22" s="4">
        <v>3000</v>
      </c>
      <c r="I22" s="4">
        <v>3500</v>
      </c>
    </row>
    <row r="23" spans="1:9">
      <c r="A23" t="s">
        <v>11</v>
      </c>
      <c r="E23" s="4">
        <f ca="1">_xll.GRK(G23,H23,I23,_xll.UNIFORM())</f>
        <v>8840.419034956456</v>
      </c>
      <c r="F23" s="19" t="str">
        <f ca="1">_xll.VFORMULA(E23)</f>
        <v>=GRK(G23,H23,I23,UNIFORM())</v>
      </c>
      <c r="G23" s="4">
        <v>7500</v>
      </c>
      <c r="H23" s="4">
        <v>8000</v>
      </c>
      <c r="I23" s="4">
        <v>9000</v>
      </c>
    </row>
    <row r="24" spans="1:9">
      <c r="A24" t="s">
        <v>9</v>
      </c>
      <c r="E24" s="4">
        <f ca="1">_xll.GRK(G24,H24,I24,_xll.UNIFORM())</f>
        <v>8311.5613528838203</v>
      </c>
      <c r="F24" s="19" t="str">
        <f ca="1">_xll.VFORMULA(E24)</f>
        <v>=GRK(G24,H24,I24,UNIFORM())</v>
      </c>
      <c r="G24" s="4">
        <v>6000</v>
      </c>
      <c r="H24" s="4">
        <v>10000</v>
      </c>
      <c r="I24" s="4">
        <v>11000</v>
      </c>
    </row>
    <row r="25" spans="1:9">
      <c r="A25" t="s">
        <v>12</v>
      </c>
      <c r="E25" s="4">
        <f ca="1">_xll.GRK(G25,H25,I25,_xll.UNIFORM())</f>
        <v>7556.9029299399126</v>
      </c>
      <c r="F25" s="19" t="str">
        <f ca="1">_xll.VFORMULA(E25)</f>
        <v>=GRK(G25,H25,I25,UNIFORM())</v>
      </c>
      <c r="G25" s="4">
        <v>6000</v>
      </c>
      <c r="H25" s="4">
        <v>7500</v>
      </c>
      <c r="I25" s="4">
        <v>7900</v>
      </c>
    </row>
    <row r="26" spans="1:9">
      <c r="E26" s="4"/>
      <c r="F26" s="19" t="str">
        <f ca="1">_xll.VFORMULA(E26)</f>
        <v/>
      </c>
      <c r="G26" s="4"/>
      <c r="H26" s="4"/>
      <c r="I26" s="4"/>
    </row>
    <row r="27" spans="1:9">
      <c r="A27" t="s">
        <v>22</v>
      </c>
      <c r="E27" s="4">
        <f ca="1">_xll.GRK(G27,H27,I27,_xll.UNIFORM())</f>
        <v>2399.1646609153013</v>
      </c>
      <c r="F27" s="19" t="str">
        <f ca="1">_xll.VFORMULA(E27)</f>
        <v>=GRK(G27,H27,I27,UNIFORM())</v>
      </c>
      <c r="G27" s="4">
        <v>2000</v>
      </c>
      <c r="H27" s="4">
        <v>2500</v>
      </c>
      <c r="I27" s="4">
        <v>3000</v>
      </c>
    </row>
    <row r="28" spans="1:9">
      <c r="A28" t="s">
        <v>13</v>
      </c>
      <c r="E28" s="4">
        <f ca="1">_xll.GRK(G28,H28,I28,_xll.UNIFORM())</f>
        <v>2067.6648026747016</v>
      </c>
      <c r="F28" s="19" t="str">
        <f ca="1">_xll.VFORMULA(E28)</f>
        <v>=GRK(G28,H28,I28,UNIFORM())</v>
      </c>
      <c r="G28" s="4">
        <v>1800</v>
      </c>
      <c r="H28" s="4">
        <v>2000</v>
      </c>
      <c r="I28" s="4">
        <v>2200</v>
      </c>
    </row>
    <row r="29" spans="1:9">
      <c r="A29" t="s">
        <v>14</v>
      </c>
      <c r="E29" s="4">
        <f ca="1">_xll.GRK(G29,H29,I29,_xll.UNIFORM())</f>
        <v>4902.2528801522358</v>
      </c>
      <c r="F29" s="19" t="str">
        <f ca="1">_xll.VFORMULA(E29)</f>
        <v>=GRK(G29,H29,I29,UNIFORM())</v>
      </c>
      <c r="G29" s="4">
        <v>4000</v>
      </c>
      <c r="H29" s="4">
        <v>5000</v>
      </c>
      <c r="I29" s="4">
        <v>5500</v>
      </c>
    </row>
    <row r="30" spans="1:9">
      <c r="A30" t="s">
        <v>19</v>
      </c>
      <c r="E30" s="4">
        <f ca="1">_xll.GRK(G30,H30,I30,_xll.UNIFORM())</f>
        <v>26417.791489679345</v>
      </c>
      <c r="F30" s="19" t="str">
        <f ca="1">_xll.VFORMULA(E30)</f>
        <v>=GRK(G30,H30,I30,UNIFORM())</v>
      </c>
      <c r="G30" s="4">
        <v>20000</v>
      </c>
      <c r="H30" s="4">
        <v>25000</v>
      </c>
      <c r="I30" s="4">
        <v>40000</v>
      </c>
    </row>
    <row r="31" spans="1:9">
      <c r="A31" t="s">
        <v>21</v>
      </c>
      <c r="E31" s="4">
        <f ca="1">_xll.GRK(G31,H31,I31,_xll.UNIFORM())</f>
        <v>13551.643384834068</v>
      </c>
      <c r="F31" s="19" t="str">
        <f ca="1">_xll.VFORMULA(E31)</f>
        <v>=GRK(G31,H31,I31,UNIFORM())</v>
      </c>
      <c r="G31" s="4">
        <v>12000</v>
      </c>
      <c r="H31" s="4">
        <v>15000</v>
      </c>
      <c r="I31" s="4">
        <v>17000</v>
      </c>
    </row>
    <row r="32" spans="1:9">
      <c r="A32" t="s">
        <v>16</v>
      </c>
      <c r="E32" s="4">
        <f ca="1">_xll.GRK(G32,H32,I32,_xll.UNIFORM())</f>
        <v>12725.748652892609</v>
      </c>
      <c r="F32" s="19" t="str">
        <f ca="1">_xll.VFORMULA(E32)</f>
        <v>=GRK(G32,H32,I32,UNIFORM())</v>
      </c>
      <c r="G32" s="4">
        <v>12000</v>
      </c>
      <c r="H32" s="4">
        <v>14000</v>
      </c>
      <c r="I32" s="4">
        <v>16000</v>
      </c>
    </row>
    <row r="33" spans="1:13">
      <c r="A33" t="s">
        <v>15</v>
      </c>
      <c r="E33" s="4">
        <f ca="1">_xll.GRK(G33,H33,I33,_xll.UNIFORM())</f>
        <v>4217.9012280405213</v>
      </c>
      <c r="F33" s="19" t="str">
        <f ca="1">_xll.VFORMULA(E33)</f>
        <v>=GRK(G33,H33,I33,UNIFORM())</v>
      </c>
      <c r="G33" s="4">
        <v>3000</v>
      </c>
      <c r="H33" s="4">
        <v>4000</v>
      </c>
      <c r="I33" s="4">
        <v>4500</v>
      </c>
    </row>
    <row r="34" spans="1:13">
      <c r="A34" t="s">
        <v>27</v>
      </c>
      <c r="E34" s="4">
        <f ca="1">_xll.GRK(G34,H34,I34,_xll.UNIFORM())</f>
        <v>4275.7229309608829</v>
      </c>
      <c r="F34" s="19" t="str">
        <f ca="1">_xll.VFORMULA(E34)</f>
        <v>=GRK(G34,H34,I34,UNIFORM())</v>
      </c>
      <c r="G34" s="4">
        <v>1000</v>
      </c>
      <c r="H34" s="4">
        <v>5000</v>
      </c>
      <c r="I34" s="4">
        <v>10000</v>
      </c>
    </row>
    <row r="35" spans="1:13">
      <c r="E35" s="4"/>
      <c r="F35" s="19" t="str">
        <f ca="1">_xll.VFORMULA(E35)</f>
        <v/>
      </c>
      <c r="G35" s="4"/>
      <c r="H35" s="4"/>
      <c r="I35" s="4"/>
    </row>
    <row r="36" spans="1:13">
      <c r="A36" t="s">
        <v>18</v>
      </c>
      <c r="E36" s="4">
        <f ca="1">_xll.GRK(G36,H36,I36,_xll.UNIFORM())</f>
        <v>6410.7530825074391</v>
      </c>
      <c r="F36" s="19" t="str">
        <f ca="1">_xll.VFORMULA(E36)</f>
        <v>=GRK(G36,H36,I36,UNIFORM())</v>
      </c>
      <c r="G36" s="4">
        <v>5000</v>
      </c>
      <c r="H36" s="4">
        <v>6000</v>
      </c>
      <c r="I36" s="4">
        <v>8000</v>
      </c>
    </row>
    <row r="37" spans="1:13">
      <c r="A37" t="s">
        <v>20</v>
      </c>
      <c r="E37" s="4">
        <f ca="1">_xll.GRK(G37,H37,I37,_xll.UNIFORM())</f>
        <v>6066.9446234587213</v>
      </c>
      <c r="F37" s="19" t="str">
        <f ca="1">_xll.VFORMULA(E37)</f>
        <v>=GRK(G37,H37,I37,UNIFORM())</v>
      </c>
      <c r="G37" s="4">
        <v>4000</v>
      </c>
      <c r="H37" s="4">
        <v>6000</v>
      </c>
      <c r="I37" s="4">
        <v>9000</v>
      </c>
    </row>
    <row r="38" spans="1:13">
      <c r="E38" s="4"/>
      <c r="F38" s="19" t="str">
        <f ca="1">_xll.VFORMULA(E38)</f>
        <v/>
      </c>
    </row>
    <row r="39" spans="1:13">
      <c r="A39" t="s">
        <v>48</v>
      </c>
      <c r="D39">
        <f ca="1">_xll.NORM(H39,J39)</f>
        <v>8.3274180838377759E-2</v>
      </c>
      <c r="E39" s="4">
        <f ca="1">D39*SUM(E11:E37)*(D40/365)</f>
        <v>5683.8511881084733</v>
      </c>
      <c r="F39" s="19" t="str">
        <f ca="1">_xll.VFORMULA(D39)</f>
        <v>=NORM(H39,J39)</v>
      </c>
      <c r="H39">
        <v>0.08</v>
      </c>
      <c r="J39">
        <v>5.0000000000000001E-3</v>
      </c>
    </row>
    <row r="40" spans="1:13">
      <c r="A40" t="s">
        <v>24</v>
      </c>
      <c r="D40">
        <f ca="1">_xll.GRK(G40,H40,I40,_xll.UNIFORM())</f>
        <v>149.61322161568509</v>
      </c>
      <c r="E40" s="8"/>
      <c r="F40" s="19" t="str">
        <f ca="1">_xll.VFORMULA(D40)</f>
        <v>=GRK(G40,H40,I40,UNIFORM())</v>
      </c>
      <c r="G40">
        <v>140</v>
      </c>
      <c r="H40">
        <v>160</v>
      </c>
      <c r="I40">
        <v>220</v>
      </c>
    </row>
    <row r="41" spans="1:13">
      <c r="E41" s="4"/>
    </row>
    <row r="42" spans="1:13">
      <c r="A42" t="s">
        <v>49</v>
      </c>
      <c r="E42" s="7">
        <f ca="1">SUM(E11:E39)</f>
        <v>172199.56346409675</v>
      </c>
    </row>
    <row r="43" spans="1:13">
      <c r="A43" t="s">
        <v>45</v>
      </c>
      <c r="E43" s="4">
        <v>25000</v>
      </c>
      <c r="J43" s="9" t="s">
        <v>57</v>
      </c>
      <c r="K43" s="10"/>
      <c r="L43" s="10"/>
      <c r="M43" s="10"/>
    </row>
    <row r="44" spans="1:13" ht="13.5" thickBot="1">
      <c r="E44" s="4"/>
      <c r="H44" t="s">
        <v>54</v>
      </c>
      <c r="J44" s="12" t="s">
        <v>50</v>
      </c>
      <c r="K44" s="13" t="s">
        <v>51</v>
      </c>
      <c r="L44" s="13" t="s">
        <v>52</v>
      </c>
      <c r="M44" s="14" t="s">
        <v>53</v>
      </c>
    </row>
    <row r="45" spans="1:13" ht="13.5" thickBot="1">
      <c r="A45" t="s">
        <v>55</v>
      </c>
      <c r="D45" t="s">
        <v>77</v>
      </c>
      <c r="E45" s="11">
        <f ca="1">E42+E43</f>
        <v>197199.56346409675</v>
      </c>
      <c r="H45" s="4">
        <f ca="1">_xll.SCENARIO(J45,K45,L45,M45)</f>
        <v>190000</v>
      </c>
      <c r="I45" s="4"/>
      <c r="J45" s="15">
        <v>190000</v>
      </c>
      <c r="K45" s="8">
        <v>195000</v>
      </c>
      <c r="L45" s="8">
        <v>200000</v>
      </c>
      <c r="M45" s="16">
        <v>205000</v>
      </c>
    </row>
    <row r="46" spans="1:13" ht="13.5" thickBot="1">
      <c r="E46" s="4"/>
      <c r="I46" s="7"/>
    </row>
    <row r="47" spans="1:13" ht="13.5" thickBot="1">
      <c r="A47" t="s">
        <v>59</v>
      </c>
      <c r="E47" s="11">
        <f ca="1">IF(E45&gt;H45,(E45-H45),0)</f>
        <v>7199.5634640967473</v>
      </c>
      <c r="G47" s="22" t="s">
        <v>56</v>
      </c>
      <c r="I47" s="7"/>
    </row>
    <row r="48" spans="1:13">
      <c r="E48" s="4"/>
      <c r="H48" t="str">
        <f ca="1">_xll.VFORMULA(E47)</f>
        <v>=IF(E45&gt;H45,(E45-H45),0)</v>
      </c>
      <c r="I48" s="7"/>
    </row>
    <row r="49" spans="1:13" ht="13.5" thickBot="1">
      <c r="A49" s="3"/>
      <c r="B49" s="3"/>
      <c r="C49" s="3"/>
      <c r="D49" s="3"/>
      <c r="E49" s="3"/>
      <c r="F49" s="20"/>
      <c r="G49" s="3"/>
      <c r="H49" s="3"/>
      <c r="I49" s="3"/>
      <c r="J49" s="3"/>
      <c r="K49" s="3"/>
      <c r="L49" s="3"/>
      <c r="M49" s="3"/>
    </row>
    <row r="52" spans="1:13">
      <c r="A52" s="1" t="s">
        <v>67</v>
      </c>
      <c r="H52" s="1" t="s">
        <v>66</v>
      </c>
    </row>
    <row r="53" spans="1:13">
      <c r="B53" t="s">
        <v>64</v>
      </c>
      <c r="I53" t="s">
        <v>65</v>
      </c>
      <c r="J53" t="s">
        <v>65</v>
      </c>
      <c r="K53" t="s">
        <v>65</v>
      </c>
      <c r="L53" t="s">
        <v>65</v>
      </c>
    </row>
    <row r="54" spans="1:13">
      <c r="B54" t="s">
        <v>68</v>
      </c>
      <c r="I54" t="s">
        <v>50</v>
      </c>
      <c r="J54" t="s">
        <v>51</v>
      </c>
      <c r="K54" t="s">
        <v>52</v>
      </c>
      <c r="L54" t="s">
        <v>53</v>
      </c>
    </row>
    <row r="55" spans="1:13">
      <c r="A55" t="s">
        <v>28</v>
      </c>
      <c r="B55">
        <v>198525.21284740721</v>
      </c>
      <c r="H55" t="s">
        <v>28</v>
      </c>
      <c r="I55">
        <v>8879.2275542387197</v>
      </c>
      <c r="J55">
        <v>4951.5595472382884</v>
      </c>
      <c r="K55">
        <v>2331.6960412471062</v>
      </c>
      <c r="L55">
        <v>930.13885723958026</v>
      </c>
    </row>
    <row r="56" spans="1:13">
      <c r="A56" t="s">
        <v>29</v>
      </c>
      <c r="B56">
        <v>7327.6697836468156</v>
      </c>
      <c r="H56" t="s">
        <v>29</v>
      </c>
      <c r="I56">
        <v>6797.7770823006895</v>
      </c>
      <c r="J56">
        <v>5665.7643235694532</v>
      </c>
      <c r="K56">
        <v>3996.0032947353952</v>
      </c>
      <c r="L56">
        <v>2187.6674041394067</v>
      </c>
    </row>
    <row r="57" spans="1:13">
      <c r="A57" t="s">
        <v>30</v>
      </c>
      <c r="B57">
        <v>3.6910524756767775</v>
      </c>
      <c r="H57" t="s">
        <v>30</v>
      </c>
      <c r="I57">
        <v>76.558203298389415</v>
      </c>
      <c r="J57">
        <v>114.42383494568918</v>
      </c>
      <c r="K57">
        <v>171.37753909802649</v>
      </c>
      <c r="L57">
        <v>235.19793707273524</v>
      </c>
    </row>
    <row r="58" spans="1:13">
      <c r="A58" t="s">
        <v>31</v>
      </c>
      <c r="B58">
        <v>185196.7140231886</v>
      </c>
      <c r="H58" t="s">
        <v>31</v>
      </c>
      <c r="I58">
        <v>0</v>
      </c>
      <c r="J58">
        <v>0</v>
      </c>
      <c r="K58">
        <v>0</v>
      </c>
      <c r="L58">
        <v>0</v>
      </c>
    </row>
    <row r="59" spans="1:13">
      <c r="A59" t="s">
        <v>32</v>
      </c>
      <c r="B59">
        <v>214763.11639438092</v>
      </c>
      <c r="H59" t="s">
        <v>32</v>
      </c>
      <c r="I59">
        <v>24763.116394380922</v>
      </c>
      <c r="J59">
        <v>19763.116394380922</v>
      </c>
      <c r="K59">
        <v>14763.116394380922</v>
      </c>
      <c r="L59">
        <v>9763.1163943809224</v>
      </c>
    </row>
    <row r="61" spans="1:13" ht="13.5" thickBot="1">
      <c r="I61" s="21" t="str">
        <f>CostOverRun!J111</f>
        <v>Probabilities of Cost Overruns Greater Than Selected Targets</v>
      </c>
      <c r="J61" s="3"/>
      <c r="K61" s="3"/>
      <c r="L61" s="3"/>
      <c r="M61" s="3"/>
    </row>
    <row r="62" spans="1:13">
      <c r="J62" t="str">
        <f>I54</f>
        <v>Bid 1</v>
      </c>
      <c r="K62" t="str">
        <f>J54</f>
        <v>Bid 2</v>
      </c>
      <c r="L62" t="str">
        <f>K54</f>
        <v>Bid 3</v>
      </c>
      <c r="M62" t="str">
        <f>L54</f>
        <v>Bid 4</v>
      </c>
    </row>
    <row r="63" spans="1:13">
      <c r="I63" s="1" t="s">
        <v>70</v>
      </c>
    </row>
    <row r="64" spans="1:13">
      <c r="I64" t="str">
        <f>CostOverRun!J112</f>
        <v>Target 1</v>
      </c>
      <c r="J64">
        <f>CostOverRun!K112</f>
        <v>0</v>
      </c>
      <c r="K64">
        <f>CostOverRun!L112</f>
        <v>0</v>
      </c>
      <c r="L64">
        <f>CostOverRun!M112</f>
        <v>0</v>
      </c>
      <c r="M64">
        <f>CostOverRun!N112</f>
        <v>0</v>
      </c>
    </row>
    <row r="65" spans="9:13">
      <c r="I65" t="str">
        <f>CostOverRun!J113</f>
        <v>Prob&lt;=T1</v>
      </c>
      <c r="J65" s="5">
        <f>CostOverRun!K113</f>
        <v>0.87</v>
      </c>
      <c r="K65" s="5">
        <f>CostOverRun!L113</f>
        <v>0.66999999999999993</v>
      </c>
      <c r="L65" s="5">
        <f>CostOverRun!M113</f>
        <v>0.37</v>
      </c>
      <c r="M65" s="5">
        <f>CostOverRun!N113</f>
        <v>0.20999999999999996</v>
      </c>
    </row>
    <row r="67" spans="9:13">
      <c r="I67" s="1" t="s">
        <v>71</v>
      </c>
    </row>
    <row r="68" spans="9:13">
      <c r="I68" t="str">
        <f>CostOverRun!J114</f>
        <v>Target 2</v>
      </c>
      <c r="J68" s="4">
        <f>CostOverRun!K114</f>
        <v>5000</v>
      </c>
      <c r="K68" s="4">
        <f>CostOverRun!L114</f>
        <v>5000</v>
      </c>
      <c r="L68" s="4">
        <f>CostOverRun!M114</f>
        <v>5000</v>
      </c>
      <c r="M68" s="4">
        <f>CostOverRun!N114</f>
        <v>5000</v>
      </c>
    </row>
    <row r="69" spans="9:13">
      <c r="I69" t="str">
        <f>CostOverRun!J115</f>
        <v>Prob&lt;=T2</v>
      </c>
      <c r="J69" s="5">
        <f>CostOverRun!K115</f>
        <v>0.66535656371295326</v>
      </c>
      <c r="K69" s="5">
        <f>CostOverRun!L115</f>
        <v>0.36066506370672502</v>
      </c>
      <c r="L69" s="5">
        <f>CostOverRun!M115</f>
        <v>0.20467125609906467</v>
      </c>
      <c r="M69" s="5">
        <f>CostOverRun!N115</f>
        <v>6.492692102562958E-2</v>
      </c>
    </row>
    <row r="71" spans="9:13">
      <c r="I71" s="1" t="s">
        <v>72</v>
      </c>
    </row>
    <row r="72" spans="9:13">
      <c r="I72" t="str">
        <f>CostOverRun!J116</f>
        <v>Target 3</v>
      </c>
      <c r="J72" s="4">
        <f>CostOverRun!K116</f>
        <v>10000</v>
      </c>
      <c r="K72" s="4">
        <f>CostOverRun!L116</f>
        <v>10000</v>
      </c>
      <c r="L72" s="4">
        <f>CostOverRun!M116</f>
        <v>10000</v>
      </c>
      <c r="M72" s="4">
        <f>CostOverRun!N116</f>
        <v>10000</v>
      </c>
    </row>
    <row r="73" spans="9:13">
      <c r="I73" t="str">
        <f>CostOverRun!J117</f>
        <v>Prob&lt;=T3</v>
      </c>
      <c r="J73" s="5">
        <f>CostOverRun!K117</f>
        <v>0.36066506370672502</v>
      </c>
      <c r="K73" s="5">
        <f>CostOverRun!L117</f>
        <v>0.20467125609906467</v>
      </c>
      <c r="L73" s="5">
        <f>CostOverRun!M117</f>
        <v>6.492692102562958E-2</v>
      </c>
      <c r="M73" s="5">
        <f>CostOverRun!N117</f>
        <v>0</v>
      </c>
    </row>
    <row r="75" spans="9:13">
      <c r="I75" s="1" t="s">
        <v>73</v>
      </c>
    </row>
    <row r="76" spans="9:13">
      <c r="I76" t="str">
        <f>CostOverRun!J118</f>
        <v>Target 4</v>
      </c>
      <c r="J76" s="4">
        <f>CostOverRun!K118</f>
        <v>15000</v>
      </c>
      <c r="K76" s="4">
        <f>CostOverRun!L118</f>
        <v>15000</v>
      </c>
      <c r="L76" s="4">
        <f>CostOverRun!M118</f>
        <v>15000</v>
      </c>
      <c r="M76" s="4">
        <f>CostOverRun!N118</f>
        <v>15000</v>
      </c>
    </row>
    <row r="77" spans="9:13">
      <c r="I77" t="str">
        <f>CostOverRun!J119</f>
        <v>Prob&lt;=T4</v>
      </c>
      <c r="J77" s="5">
        <f>CostOverRun!K119</f>
        <v>0.20467125609906467</v>
      </c>
      <c r="K77" s="5">
        <f>CostOverRun!L119</f>
        <v>6.492692102562958E-2</v>
      </c>
      <c r="L77" s="5">
        <f>CostOverRun!M119</f>
        <v>0</v>
      </c>
      <c r="M77" s="5">
        <f>CostOverRun!N119</f>
        <v>0</v>
      </c>
    </row>
    <row r="79" spans="9:13">
      <c r="I79" s="1" t="s">
        <v>74</v>
      </c>
    </row>
    <row r="80" spans="9:13">
      <c r="I80" t="str">
        <f>CostOverRun!J120</f>
        <v>Target 5</v>
      </c>
      <c r="J80" s="4">
        <f>CostOverRun!K120</f>
        <v>20000</v>
      </c>
      <c r="K80" s="4">
        <f>CostOverRun!L120</f>
        <v>20000</v>
      </c>
      <c r="L80" s="4">
        <f>CostOverRun!M120</f>
        <v>20000</v>
      </c>
      <c r="M80" s="4">
        <f>CostOverRun!N120</f>
        <v>20000</v>
      </c>
    </row>
    <row r="81" spans="6:13">
      <c r="I81" t="str">
        <f>CostOverRun!J121</f>
        <v>Prob&lt;=T5</v>
      </c>
      <c r="J81" s="5">
        <f>CostOverRun!K121</f>
        <v>6.492692102562958E-2</v>
      </c>
      <c r="K81" s="5">
        <f>CostOverRun!L121</f>
        <v>0</v>
      </c>
      <c r="L81" s="5">
        <f>CostOverRun!M121</f>
        <v>0</v>
      </c>
      <c r="M81" s="5">
        <f>CostOverRun!N121</f>
        <v>0</v>
      </c>
    </row>
    <row r="89" spans="6:13">
      <c r="F89"/>
    </row>
    <row r="90" spans="6:13">
      <c r="F90"/>
    </row>
    <row r="91" spans="6:13">
      <c r="F91"/>
    </row>
    <row r="92" spans="6:13">
      <c r="F92"/>
    </row>
    <row r="93" spans="6:13">
      <c r="F93"/>
    </row>
    <row r="94" spans="6:13">
      <c r="F94"/>
    </row>
    <row r="95" spans="6:13">
      <c r="F95"/>
    </row>
    <row r="96" spans="6:13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</sheetData>
  <sheetProtection password="C9DE" objects="1"/>
  <phoneticPr fontId="0" type="noConversion"/>
  <printOptions headings="1"/>
  <pageMargins left="0.75" right="0.75" top="0.51" bottom="0.45" header="0.5" footer="0.5"/>
  <pageSetup scale="61" orientation="portrait" r:id="rId1"/>
  <headerFooter alignWithMargins="0">
    <oddFooter>demobidanalysis.xls&amp;RPage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topLeftCell="A80" workbookViewId="0">
      <selection activeCell="B111" sqref="B111"/>
    </sheetView>
  </sheetViews>
  <sheetFormatPr defaultRowHeight="12.75"/>
  <cols>
    <col min="2" max="2" width="10.7109375" bestFit="1" customWidth="1"/>
    <col min="3" max="4" width="9.5703125" bestFit="1" customWidth="1"/>
    <col min="5" max="5" width="9.28515625" bestFit="1" customWidth="1"/>
  </cols>
  <sheetData>
    <row r="1" spans="1:5">
      <c r="A1" t="s">
        <v>89</v>
      </c>
    </row>
    <row r="2" spans="1:5">
      <c r="A2" t="s">
        <v>78</v>
      </c>
      <c r="B2" t="str">
        <f ca="1">ADDRESS(ROW(BidAnalysis!$E$45),COLUMN(BidAnalysis!$E$45),4,,_xll.WSNAME(BidAnalysis!$E$45))</f>
        <v>BidAnalysis!E45</v>
      </c>
      <c r="C2" s="6"/>
      <c r="D2" s="6"/>
      <c r="E2" s="6"/>
    </row>
    <row r="3" spans="1:5">
      <c r="A3" t="s">
        <v>28</v>
      </c>
      <c r="B3">
        <f>AVERAGE(B9:B108)</f>
        <v>203786.34085743726</v>
      </c>
    </row>
    <row r="4" spans="1:5">
      <c r="A4" t="s">
        <v>29</v>
      </c>
      <c r="B4">
        <f>STDEV(B9:B108)</f>
        <v>18258.792490676271</v>
      </c>
    </row>
    <row r="5" spans="1:5">
      <c r="A5" t="s">
        <v>30</v>
      </c>
      <c r="B5">
        <f>100*B4/B3</f>
        <v>8.9597724822241975</v>
      </c>
    </row>
    <row r="6" spans="1:5">
      <c r="A6" t="s">
        <v>31</v>
      </c>
      <c r="B6">
        <f>MIN(B9:B108)</f>
        <v>170609.84026846197</v>
      </c>
    </row>
    <row r="7" spans="1:5">
      <c r="A7" t="s">
        <v>32</v>
      </c>
      <c r="B7">
        <f>MAX(B9:B108)</f>
        <v>244510.47580419853</v>
      </c>
    </row>
    <row r="8" spans="1:5">
      <c r="A8" t="s">
        <v>33</v>
      </c>
      <c r="B8" t="str">
        <f>BidAnalysis!$D$45</f>
        <v>TC</v>
      </c>
    </row>
    <row r="9" spans="1:5">
      <c r="A9">
        <v>1</v>
      </c>
      <c r="B9">
        <v>178423.36100186757</v>
      </c>
      <c r="C9" s="5"/>
      <c r="D9" s="5"/>
      <c r="E9" s="5"/>
    </row>
    <row r="10" spans="1:5">
      <c r="A10">
        <v>2</v>
      </c>
      <c r="B10">
        <v>215253.19946163977</v>
      </c>
      <c r="C10" s="5"/>
      <c r="D10" s="5"/>
      <c r="E10" s="5"/>
    </row>
    <row r="11" spans="1:5">
      <c r="A11">
        <v>3</v>
      </c>
      <c r="B11">
        <v>181666.93305113359</v>
      </c>
      <c r="C11" s="5"/>
      <c r="D11" s="5"/>
      <c r="E11" s="5"/>
    </row>
    <row r="12" spans="1:5">
      <c r="A12">
        <v>4</v>
      </c>
      <c r="B12">
        <v>203055.30238085578</v>
      </c>
      <c r="C12" s="5"/>
      <c r="D12" s="5"/>
      <c r="E12" s="5"/>
    </row>
    <row r="13" spans="1:5">
      <c r="A13">
        <v>5</v>
      </c>
      <c r="B13">
        <v>184918.70554913158</v>
      </c>
      <c r="C13" s="5"/>
      <c r="D13" s="5"/>
      <c r="E13" s="5"/>
    </row>
    <row r="14" spans="1:5">
      <c r="A14">
        <v>6</v>
      </c>
      <c r="B14">
        <v>190640.41690277494</v>
      </c>
      <c r="C14" s="5"/>
      <c r="D14" s="5"/>
      <c r="E14" s="5"/>
    </row>
    <row r="15" spans="1:5">
      <c r="A15">
        <v>7</v>
      </c>
      <c r="B15">
        <v>177754.14201763927</v>
      </c>
      <c r="C15" s="5"/>
      <c r="D15" s="5"/>
      <c r="E15" s="5"/>
    </row>
    <row r="16" spans="1:5">
      <c r="A16">
        <v>8</v>
      </c>
      <c r="B16">
        <v>222145.53259375787</v>
      </c>
      <c r="C16" s="5"/>
      <c r="D16" s="5"/>
      <c r="E16" s="5"/>
    </row>
    <row r="17" spans="1:5">
      <c r="A17">
        <v>9</v>
      </c>
      <c r="B17">
        <v>174216.36388176831</v>
      </c>
      <c r="C17" s="5"/>
      <c r="D17" s="5"/>
      <c r="E17" s="5"/>
    </row>
    <row r="18" spans="1:5">
      <c r="A18">
        <v>10</v>
      </c>
      <c r="B18">
        <v>226394.98587011598</v>
      </c>
      <c r="C18" s="5"/>
      <c r="D18" s="5"/>
      <c r="E18" s="5"/>
    </row>
    <row r="19" spans="1:5">
      <c r="A19">
        <v>11</v>
      </c>
      <c r="B19">
        <v>220642.82052780001</v>
      </c>
      <c r="C19" s="5"/>
      <c r="D19" s="5"/>
      <c r="E19" s="5"/>
    </row>
    <row r="20" spans="1:5">
      <c r="A20">
        <v>12</v>
      </c>
      <c r="B20">
        <v>207315.51426095489</v>
      </c>
      <c r="C20" s="5"/>
      <c r="D20" s="5"/>
      <c r="E20" s="5"/>
    </row>
    <row r="21" spans="1:5">
      <c r="A21">
        <v>13</v>
      </c>
      <c r="B21">
        <v>197981.32893334283</v>
      </c>
      <c r="C21" s="5"/>
      <c r="D21" s="5"/>
      <c r="E21" s="5"/>
    </row>
    <row r="22" spans="1:5">
      <c r="A22">
        <v>14</v>
      </c>
      <c r="B22">
        <v>206532.70143329198</v>
      </c>
      <c r="C22" s="5"/>
      <c r="D22" s="5"/>
      <c r="E22" s="5"/>
    </row>
    <row r="23" spans="1:5">
      <c r="A23">
        <v>15</v>
      </c>
      <c r="B23">
        <v>226601.77338435024</v>
      </c>
      <c r="C23" s="5"/>
      <c r="D23" s="5"/>
      <c r="E23" s="5"/>
    </row>
    <row r="24" spans="1:5">
      <c r="A24">
        <v>16</v>
      </c>
      <c r="B24">
        <v>189226.57279984074</v>
      </c>
      <c r="C24" s="5"/>
      <c r="D24" s="5"/>
      <c r="E24" s="5"/>
    </row>
    <row r="25" spans="1:5">
      <c r="A25">
        <v>17</v>
      </c>
      <c r="B25">
        <v>212983.64514156661</v>
      </c>
      <c r="C25" s="5"/>
      <c r="D25" s="5"/>
      <c r="E25" s="5"/>
    </row>
    <row r="26" spans="1:5">
      <c r="A26">
        <v>18</v>
      </c>
      <c r="B26">
        <v>229460.93695394264</v>
      </c>
      <c r="C26" s="5"/>
      <c r="D26" s="5"/>
      <c r="E26" s="5"/>
    </row>
    <row r="27" spans="1:5">
      <c r="A27">
        <v>19</v>
      </c>
      <c r="B27">
        <v>209923.28935947324</v>
      </c>
      <c r="C27" s="5"/>
      <c r="D27" s="5"/>
      <c r="E27" s="5"/>
    </row>
    <row r="28" spans="1:5">
      <c r="A28">
        <v>20</v>
      </c>
      <c r="B28">
        <v>230581.11524510864</v>
      </c>
      <c r="C28" s="5"/>
      <c r="D28" s="5"/>
      <c r="E28" s="5"/>
    </row>
    <row r="29" spans="1:5">
      <c r="A29">
        <v>21</v>
      </c>
      <c r="B29">
        <v>189760.6989075263</v>
      </c>
      <c r="C29" s="5"/>
      <c r="D29" s="5"/>
      <c r="E29" s="5"/>
    </row>
    <row r="30" spans="1:5">
      <c r="A30">
        <v>22</v>
      </c>
      <c r="B30">
        <v>202680.65607340352</v>
      </c>
      <c r="C30" s="5"/>
      <c r="D30" s="5"/>
      <c r="E30" s="5"/>
    </row>
    <row r="31" spans="1:5">
      <c r="A31">
        <v>23</v>
      </c>
      <c r="B31">
        <v>211620.0427482599</v>
      </c>
      <c r="C31" s="5"/>
      <c r="D31" s="5"/>
      <c r="E31" s="5"/>
    </row>
    <row r="32" spans="1:5">
      <c r="A32">
        <v>24</v>
      </c>
      <c r="B32">
        <v>211932.37490811979</v>
      </c>
      <c r="C32" s="5"/>
      <c r="D32" s="5"/>
      <c r="E32" s="5"/>
    </row>
    <row r="33" spans="1:5">
      <c r="A33">
        <v>25</v>
      </c>
      <c r="B33">
        <v>212385.03501589532</v>
      </c>
      <c r="C33" s="5"/>
      <c r="D33" s="5"/>
      <c r="E33" s="5"/>
    </row>
    <row r="34" spans="1:5">
      <c r="A34">
        <v>26</v>
      </c>
      <c r="B34">
        <v>204213.45415043682</v>
      </c>
      <c r="C34" s="5"/>
      <c r="D34" s="5"/>
      <c r="E34" s="5"/>
    </row>
    <row r="35" spans="1:5">
      <c r="A35">
        <v>27</v>
      </c>
      <c r="B35">
        <v>215242.50438426583</v>
      </c>
      <c r="C35" s="5"/>
      <c r="D35" s="5"/>
      <c r="E35" s="5"/>
    </row>
    <row r="36" spans="1:5">
      <c r="A36">
        <v>28</v>
      </c>
      <c r="B36">
        <v>201861.49635874241</v>
      </c>
      <c r="C36" s="5"/>
      <c r="D36" s="5"/>
      <c r="E36" s="5"/>
    </row>
    <row r="37" spans="1:5">
      <c r="A37">
        <v>29</v>
      </c>
      <c r="B37">
        <v>182980.06203339281</v>
      </c>
      <c r="C37" s="5"/>
      <c r="D37" s="5"/>
      <c r="E37" s="5"/>
    </row>
    <row r="38" spans="1:5">
      <c r="A38">
        <v>30</v>
      </c>
      <c r="B38">
        <v>188643.19026881346</v>
      </c>
      <c r="C38" s="5"/>
      <c r="D38" s="5"/>
      <c r="E38" s="5"/>
    </row>
    <row r="39" spans="1:5">
      <c r="A39">
        <v>31</v>
      </c>
      <c r="B39">
        <v>213105.87136384923</v>
      </c>
      <c r="C39" s="5"/>
      <c r="D39" s="5"/>
      <c r="E39" s="5"/>
    </row>
    <row r="40" spans="1:5">
      <c r="A40">
        <v>32</v>
      </c>
      <c r="B40">
        <v>228504.9820251053</v>
      </c>
      <c r="C40" s="5"/>
      <c r="D40" s="5"/>
      <c r="E40" s="5"/>
    </row>
    <row r="41" spans="1:5">
      <c r="A41">
        <v>33</v>
      </c>
      <c r="B41">
        <v>191206.1935115201</v>
      </c>
      <c r="C41" s="5"/>
      <c r="D41" s="5"/>
      <c r="E41" s="5"/>
    </row>
    <row r="42" spans="1:5">
      <c r="A42">
        <v>34</v>
      </c>
      <c r="B42">
        <v>222305.00071919267</v>
      </c>
      <c r="C42" s="5"/>
      <c r="D42" s="5"/>
      <c r="E42" s="5"/>
    </row>
    <row r="43" spans="1:5">
      <c r="A43">
        <v>35</v>
      </c>
      <c r="B43">
        <v>227615.80081962203</v>
      </c>
      <c r="C43" s="5"/>
      <c r="D43" s="5"/>
      <c r="E43" s="5"/>
    </row>
    <row r="44" spans="1:5">
      <c r="A44">
        <v>36</v>
      </c>
      <c r="B44">
        <v>214909.24815958983</v>
      </c>
      <c r="C44" s="5"/>
      <c r="D44" s="5"/>
      <c r="E44" s="5"/>
    </row>
    <row r="45" spans="1:5">
      <c r="A45">
        <v>37</v>
      </c>
      <c r="B45">
        <v>223498.19069228662</v>
      </c>
      <c r="C45" s="5"/>
      <c r="D45" s="5"/>
      <c r="E45" s="5"/>
    </row>
    <row r="46" spans="1:5">
      <c r="A46">
        <v>38</v>
      </c>
      <c r="B46">
        <v>228718.2365394673</v>
      </c>
      <c r="C46" s="5"/>
      <c r="D46" s="5"/>
      <c r="E46" s="5"/>
    </row>
    <row r="47" spans="1:5">
      <c r="A47">
        <v>39</v>
      </c>
      <c r="B47">
        <v>188222.66204826027</v>
      </c>
      <c r="C47" s="5"/>
      <c r="D47" s="5"/>
      <c r="E47" s="5"/>
    </row>
    <row r="48" spans="1:5">
      <c r="A48">
        <v>40</v>
      </c>
      <c r="B48">
        <v>232845.58996009023</v>
      </c>
      <c r="C48" s="5"/>
      <c r="D48" s="5"/>
      <c r="E48" s="5"/>
    </row>
    <row r="49" spans="1:5">
      <c r="A49">
        <v>41</v>
      </c>
      <c r="B49">
        <v>183880.22786173463</v>
      </c>
      <c r="C49" s="5"/>
      <c r="D49" s="5"/>
      <c r="E49" s="5"/>
    </row>
    <row r="50" spans="1:5">
      <c r="A50">
        <v>42</v>
      </c>
      <c r="B50">
        <v>223698.41652850495</v>
      </c>
      <c r="C50" s="5"/>
      <c r="D50" s="5"/>
      <c r="E50" s="5"/>
    </row>
    <row r="51" spans="1:5">
      <c r="A51">
        <v>43</v>
      </c>
      <c r="B51">
        <v>198336.52346282706</v>
      </c>
      <c r="C51" s="5"/>
      <c r="D51" s="5"/>
      <c r="E51" s="5"/>
    </row>
    <row r="52" spans="1:5">
      <c r="A52">
        <v>44</v>
      </c>
      <c r="B52">
        <v>190339.55988473329</v>
      </c>
      <c r="C52" s="5"/>
      <c r="D52" s="5"/>
      <c r="E52" s="5"/>
    </row>
    <row r="53" spans="1:5">
      <c r="A53">
        <v>45</v>
      </c>
      <c r="B53">
        <v>205695.42010391798</v>
      </c>
      <c r="C53" s="5"/>
      <c r="D53" s="5"/>
      <c r="E53" s="5"/>
    </row>
    <row r="54" spans="1:5">
      <c r="A54">
        <v>46</v>
      </c>
      <c r="B54">
        <v>204291.57423617289</v>
      </c>
      <c r="C54" s="5"/>
      <c r="D54" s="5"/>
      <c r="E54" s="5"/>
    </row>
    <row r="55" spans="1:5">
      <c r="A55">
        <v>47</v>
      </c>
      <c r="B55">
        <v>191521.99953657386</v>
      </c>
      <c r="C55" s="5"/>
      <c r="D55" s="5"/>
      <c r="E55" s="5"/>
    </row>
    <row r="56" spans="1:5">
      <c r="A56">
        <v>48</v>
      </c>
      <c r="B56">
        <v>188546.05378454924</v>
      </c>
      <c r="C56" s="5"/>
      <c r="D56" s="5"/>
      <c r="E56" s="5"/>
    </row>
    <row r="57" spans="1:5">
      <c r="A57">
        <v>49</v>
      </c>
      <c r="B57">
        <v>208216.12600819394</v>
      </c>
      <c r="C57" s="5"/>
      <c r="D57" s="5"/>
      <c r="E57" s="5"/>
    </row>
    <row r="58" spans="1:5">
      <c r="A58">
        <v>50</v>
      </c>
      <c r="B58">
        <v>213415.57052773249</v>
      </c>
      <c r="C58" s="5"/>
      <c r="D58" s="5"/>
      <c r="E58" s="5"/>
    </row>
    <row r="59" spans="1:5">
      <c r="A59">
        <v>51</v>
      </c>
      <c r="B59">
        <v>235467.4704903785</v>
      </c>
      <c r="C59" s="5"/>
      <c r="D59" s="5"/>
      <c r="E59" s="5"/>
    </row>
    <row r="60" spans="1:5">
      <c r="A60">
        <v>52</v>
      </c>
      <c r="B60">
        <v>208245.83614522903</v>
      </c>
      <c r="C60" s="5"/>
      <c r="D60" s="5"/>
      <c r="E60" s="5"/>
    </row>
    <row r="61" spans="1:5">
      <c r="A61">
        <v>53</v>
      </c>
      <c r="B61">
        <v>238199.8180788286</v>
      </c>
      <c r="C61" s="5"/>
      <c r="D61" s="5"/>
      <c r="E61" s="5"/>
    </row>
    <row r="62" spans="1:5">
      <c r="A62">
        <v>54</v>
      </c>
      <c r="B62">
        <v>181189.99894627411</v>
      </c>
      <c r="C62" s="5"/>
      <c r="D62" s="5"/>
      <c r="E62" s="5"/>
    </row>
    <row r="63" spans="1:5">
      <c r="A63">
        <v>55</v>
      </c>
      <c r="B63">
        <v>182261.02916085569</v>
      </c>
      <c r="C63" s="5"/>
      <c r="D63" s="5"/>
      <c r="E63" s="5"/>
    </row>
    <row r="64" spans="1:5">
      <c r="A64">
        <v>56</v>
      </c>
      <c r="B64">
        <v>187012.82674885829</v>
      </c>
      <c r="C64" s="5"/>
      <c r="D64" s="5"/>
      <c r="E64" s="5"/>
    </row>
    <row r="65" spans="1:5">
      <c r="A65">
        <v>57</v>
      </c>
      <c r="B65">
        <v>180238.93330149105</v>
      </c>
      <c r="C65" s="5"/>
      <c r="D65" s="5"/>
      <c r="E65" s="5"/>
    </row>
    <row r="66" spans="1:5">
      <c r="A66">
        <v>58</v>
      </c>
      <c r="B66">
        <v>233936.21334813707</v>
      </c>
      <c r="C66" s="5"/>
      <c r="D66" s="5"/>
      <c r="E66" s="5"/>
    </row>
    <row r="67" spans="1:5">
      <c r="A67">
        <v>59</v>
      </c>
      <c r="B67">
        <v>195118.51333028983</v>
      </c>
      <c r="C67" s="5"/>
      <c r="D67" s="5"/>
      <c r="E67" s="5"/>
    </row>
    <row r="68" spans="1:5">
      <c r="A68">
        <v>60</v>
      </c>
      <c r="B68">
        <v>191830.63160540329</v>
      </c>
      <c r="C68" s="5"/>
      <c r="D68" s="5"/>
      <c r="E68" s="5"/>
    </row>
    <row r="69" spans="1:5">
      <c r="A69">
        <v>61</v>
      </c>
      <c r="B69">
        <v>184503.59501804662</v>
      </c>
      <c r="C69" s="5"/>
      <c r="D69" s="5"/>
      <c r="E69" s="5"/>
    </row>
    <row r="70" spans="1:5">
      <c r="A70">
        <v>62</v>
      </c>
      <c r="B70">
        <v>221321.30448346375</v>
      </c>
      <c r="C70" s="5"/>
      <c r="D70" s="5"/>
      <c r="E70" s="5"/>
    </row>
    <row r="71" spans="1:5">
      <c r="A71">
        <v>63</v>
      </c>
      <c r="B71">
        <v>230759.32466212704</v>
      </c>
      <c r="C71" s="5"/>
      <c r="D71" s="5"/>
      <c r="E71" s="5"/>
    </row>
    <row r="72" spans="1:5">
      <c r="A72">
        <v>64</v>
      </c>
      <c r="B72">
        <v>244510.47580419853</v>
      </c>
      <c r="C72" s="5"/>
      <c r="D72" s="5"/>
      <c r="E72" s="5"/>
    </row>
    <row r="73" spans="1:5">
      <c r="A73">
        <v>65</v>
      </c>
      <c r="B73">
        <v>198393.32568106212</v>
      </c>
      <c r="C73" s="5"/>
      <c r="D73" s="5"/>
      <c r="E73" s="5"/>
    </row>
    <row r="74" spans="1:5">
      <c r="A74">
        <v>66</v>
      </c>
      <c r="B74">
        <v>180420.44520618449</v>
      </c>
      <c r="C74" s="5"/>
      <c r="D74" s="5"/>
      <c r="E74" s="5"/>
    </row>
    <row r="75" spans="1:5">
      <c r="A75">
        <v>67</v>
      </c>
      <c r="B75">
        <v>189449.33981514559</v>
      </c>
      <c r="C75" s="5"/>
      <c r="D75" s="5"/>
      <c r="E75" s="5"/>
    </row>
    <row r="76" spans="1:5">
      <c r="A76">
        <v>68</v>
      </c>
      <c r="B76">
        <v>195087.61936344995</v>
      </c>
      <c r="C76" s="5"/>
      <c r="D76" s="5"/>
      <c r="E76" s="5"/>
    </row>
    <row r="77" spans="1:5">
      <c r="A77">
        <v>69</v>
      </c>
      <c r="B77">
        <v>220402.53196204256</v>
      </c>
      <c r="C77" s="5"/>
      <c r="D77" s="5"/>
      <c r="E77" s="5"/>
    </row>
    <row r="78" spans="1:5">
      <c r="A78">
        <v>70</v>
      </c>
      <c r="B78">
        <v>197172.78254363145</v>
      </c>
      <c r="C78" s="5"/>
      <c r="D78" s="5"/>
      <c r="E78" s="5"/>
    </row>
    <row r="79" spans="1:5">
      <c r="A79">
        <v>71</v>
      </c>
      <c r="B79">
        <v>207105.32350328521</v>
      </c>
      <c r="C79" s="5"/>
      <c r="D79" s="5"/>
      <c r="E79" s="5"/>
    </row>
    <row r="80" spans="1:5">
      <c r="A80">
        <v>72</v>
      </c>
      <c r="B80">
        <v>199094.35940126373</v>
      </c>
      <c r="C80" s="5"/>
      <c r="D80" s="5"/>
      <c r="E80" s="5"/>
    </row>
    <row r="81" spans="1:5">
      <c r="A81">
        <v>73</v>
      </c>
      <c r="B81">
        <v>180814.58944040598</v>
      </c>
      <c r="C81" s="5"/>
      <c r="D81" s="5"/>
      <c r="E81" s="5"/>
    </row>
    <row r="82" spans="1:5">
      <c r="A82">
        <v>74</v>
      </c>
      <c r="B82">
        <v>224868.11290680687</v>
      </c>
      <c r="C82" s="5"/>
      <c r="D82" s="5"/>
      <c r="E82" s="5"/>
    </row>
    <row r="83" spans="1:5">
      <c r="A83">
        <v>75</v>
      </c>
      <c r="B83">
        <v>171228.72897877372</v>
      </c>
      <c r="C83" s="5"/>
      <c r="D83" s="5"/>
      <c r="E83" s="5"/>
    </row>
    <row r="84" spans="1:5">
      <c r="A84">
        <v>76</v>
      </c>
      <c r="B84">
        <v>227360.21900090651</v>
      </c>
      <c r="C84" s="5"/>
      <c r="D84" s="5"/>
      <c r="E84" s="5"/>
    </row>
    <row r="85" spans="1:5">
      <c r="A85">
        <v>77</v>
      </c>
      <c r="B85">
        <v>182605.01448631319</v>
      </c>
      <c r="C85" s="5"/>
      <c r="D85" s="5"/>
      <c r="E85" s="5"/>
    </row>
    <row r="86" spans="1:5">
      <c r="A86">
        <v>78</v>
      </c>
      <c r="B86">
        <v>224160.06074172189</v>
      </c>
      <c r="C86" s="5"/>
      <c r="D86" s="5"/>
      <c r="E86" s="5"/>
    </row>
    <row r="87" spans="1:5">
      <c r="A87">
        <v>79</v>
      </c>
      <c r="B87">
        <v>212830.68490887678</v>
      </c>
      <c r="C87" s="5"/>
      <c r="D87" s="5"/>
      <c r="E87" s="5"/>
    </row>
    <row r="88" spans="1:5">
      <c r="A88">
        <v>80</v>
      </c>
      <c r="B88">
        <v>186908.29416428661</v>
      </c>
      <c r="C88" s="5"/>
      <c r="D88" s="5"/>
      <c r="E88" s="5"/>
    </row>
    <row r="89" spans="1:5">
      <c r="A89">
        <v>81</v>
      </c>
      <c r="B89">
        <v>184883.51136424148</v>
      </c>
      <c r="C89" s="5"/>
      <c r="D89" s="5"/>
      <c r="E89" s="5"/>
    </row>
    <row r="90" spans="1:5">
      <c r="A90">
        <v>82</v>
      </c>
      <c r="B90">
        <v>170609.84026846197</v>
      </c>
      <c r="C90" s="5"/>
      <c r="D90" s="5"/>
      <c r="E90" s="5"/>
    </row>
    <row r="91" spans="1:5">
      <c r="A91">
        <v>83</v>
      </c>
      <c r="B91">
        <v>225144.09493738078</v>
      </c>
      <c r="C91" s="5"/>
      <c r="D91" s="5"/>
      <c r="E91" s="5"/>
    </row>
    <row r="92" spans="1:5">
      <c r="A92">
        <v>84</v>
      </c>
      <c r="B92">
        <v>203505.07354394824</v>
      </c>
      <c r="C92" s="5"/>
      <c r="D92" s="5"/>
      <c r="E92" s="5"/>
    </row>
    <row r="93" spans="1:5">
      <c r="A93">
        <v>85</v>
      </c>
      <c r="B93">
        <v>193247.16327361559</v>
      </c>
      <c r="C93" s="5"/>
      <c r="D93" s="5"/>
      <c r="E93" s="5"/>
    </row>
    <row r="94" spans="1:5">
      <c r="A94">
        <v>86</v>
      </c>
      <c r="B94">
        <v>193738.55915752923</v>
      </c>
      <c r="C94" s="5"/>
      <c r="D94" s="5"/>
      <c r="E94" s="5"/>
    </row>
    <row r="95" spans="1:5">
      <c r="A95">
        <v>87</v>
      </c>
      <c r="B95">
        <v>203766.31233953082</v>
      </c>
      <c r="C95" s="5"/>
      <c r="D95" s="5"/>
      <c r="E95" s="5"/>
    </row>
    <row r="96" spans="1:5">
      <c r="A96">
        <v>88</v>
      </c>
      <c r="B96">
        <v>195944.46234442235</v>
      </c>
      <c r="C96" s="5"/>
      <c r="D96" s="5"/>
      <c r="E96" s="5"/>
    </row>
    <row r="97" spans="1:5">
      <c r="A97">
        <v>89</v>
      </c>
      <c r="B97">
        <v>206332.3709804028</v>
      </c>
      <c r="C97" s="5"/>
      <c r="D97" s="5"/>
      <c r="E97" s="5"/>
    </row>
    <row r="98" spans="1:5">
      <c r="A98">
        <v>90</v>
      </c>
      <c r="B98">
        <v>171967.07274676394</v>
      </c>
      <c r="C98" s="5"/>
      <c r="D98" s="5"/>
      <c r="E98" s="5"/>
    </row>
    <row r="99" spans="1:5">
      <c r="A99">
        <v>91</v>
      </c>
      <c r="B99">
        <v>213483.06362201052</v>
      </c>
      <c r="C99" s="5"/>
      <c r="D99" s="5"/>
      <c r="E99" s="5"/>
    </row>
    <row r="100" spans="1:5">
      <c r="A100">
        <v>92</v>
      </c>
      <c r="B100">
        <v>219716.48038021158</v>
      </c>
      <c r="C100" s="5"/>
      <c r="D100" s="5"/>
      <c r="E100" s="5"/>
    </row>
    <row r="101" spans="1:5">
      <c r="A101">
        <v>93</v>
      </c>
      <c r="B101">
        <v>178747.83833279531</v>
      </c>
      <c r="C101" s="5"/>
      <c r="D101" s="5"/>
      <c r="E101" s="5"/>
    </row>
    <row r="102" spans="1:5">
      <c r="A102">
        <v>94</v>
      </c>
      <c r="B102">
        <v>219465.94980563599</v>
      </c>
      <c r="C102" s="5"/>
      <c r="D102" s="5"/>
      <c r="E102" s="5"/>
    </row>
    <row r="103" spans="1:5">
      <c r="A103">
        <v>95</v>
      </c>
      <c r="B103">
        <v>190572.78615788018</v>
      </c>
      <c r="C103" s="5"/>
      <c r="D103" s="5"/>
      <c r="E103" s="5"/>
    </row>
    <row r="104" spans="1:5">
      <c r="A104">
        <v>96</v>
      </c>
      <c r="B104">
        <v>230886.7803659669</v>
      </c>
      <c r="C104" s="5"/>
      <c r="D104" s="5"/>
      <c r="E104" s="5"/>
    </row>
    <row r="105" spans="1:5">
      <c r="A105">
        <v>97</v>
      </c>
      <c r="B105">
        <v>193097.26676456182</v>
      </c>
      <c r="C105" s="5"/>
      <c r="D105" s="5"/>
      <c r="E105" s="5"/>
    </row>
    <row r="106" spans="1:5">
      <c r="A106">
        <v>98</v>
      </c>
      <c r="B106">
        <v>215270.70317446961</v>
      </c>
      <c r="C106" s="5"/>
      <c r="D106" s="5"/>
      <c r="E106" s="5"/>
    </row>
    <row r="107" spans="1:5">
      <c r="A107">
        <v>99</v>
      </c>
      <c r="B107">
        <v>188346.05440895914</v>
      </c>
      <c r="C107" s="5"/>
      <c r="D107" s="5"/>
      <c r="E107" s="5"/>
    </row>
    <row r="108" spans="1:5">
      <c r="A108">
        <v>100</v>
      </c>
      <c r="B108">
        <v>181499.89517406837</v>
      </c>
      <c r="C108" s="5"/>
      <c r="D108" s="5"/>
      <c r="E108" s="5"/>
    </row>
    <row r="110" spans="1:5">
      <c r="A110" t="s">
        <v>79</v>
      </c>
    </row>
    <row r="111" spans="1:5">
      <c r="A111" t="s">
        <v>80</v>
      </c>
      <c r="B111" t="str">
        <f>IF(ISBLANK($B110)=TRUE,"",_xll.EDF(B9:B108,$B110))</f>
        <v/>
      </c>
    </row>
    <row r="112" spans="1:5">
      <c r="A112" t="s">
        <v>81</v>
      </c>
    </row>
    <row r="113" spans="1:2">
      <c r="A113" t="s">
        <v>82</v>
      </c>
      <c r="B113" t="str">
        <f>IF(ISBLANK($B112)=TRUE,"",_xll.EDF(B9:B108,$B112))</f>
        <v/>
      </c>
    </row>
    <row r="114" spans="1:2">
      <c r="A114" t="s">
        <v>83</v>
      </c>
    </row>
    <row r="115" spans="1:2">
      <c r="A115" t="s">
        <v>84</v>
      </c>
      <c r="B115" t="str">
        <f>IF(ISBLANK($B114)=TRUE,"",_xll.EDF(B9:B108,$B114))</f>
        <v/>
      </c>
    </row>
    <row r="116" spans="1:2">
      <c r="A116" t="s">
        <v>85</v>
      </c>
    </row>
    <row r="117" spans="1:2">
      <c r="A117" t="s">
        <v>86</v>
      </c>
      <c r="B117" t="str">
        <f>IF(ISBLANK($B116)=TRUE,"",_xll.EDF(B9:B108,$B116))</f>
        <v/>
      </c>
    </row>
    <row r="118" spans="1:2">
      <c r="A118" t="s">
        <v>87</v>
      </c>
    </row>
    <row r="119" spans="1:2">
      <c r="A119" t="s">
        <v>88</v>
      </c>
      <c r="B119" t="str">
        <f>IF(ISBLANK($B118)=TRUE,"",_xll.EDF(B9:B108,$B118))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topLeftCell="A92" workbookViewId="0">
      <selection activeCell="H123" sqref="H123"/>
    </sheetView>
  </sheetViews>
  <sheetFormatPr defaultRowHeight="12.75"/>
  <cols>
    <col min="2" max="2" width="11.140625" bestFit="1" customWidth="1"/>
    <col min="3" max="3" width="11" bestFit="1" customWidth="1"/>
    <col min="4" max="4" width="10.28515625" bestFit="1" customWidth="1"/>
    <col min="5" max="5" width="10.7109375" bestFit="1" customWidth="1"/>
    <col min="6" max="6" width="10.5703125" bestFit="1" customWidth="1"/>
    <col min="7" max="7" width="9.5703125" bestFit="1" customWidth="1"/>
    <col min="8" max="9" width="10.5703125" bestFit="1" customWidth="1"/>
    <col min="10" max="10" width="9.5703125" bestFit="1" customWidth="1"/>
    <col min="11" max="12" width="10.5703125" bestFit="1" customWidth="1"/>
    <col min="13" max="13" width="9.28515625" bestFit="1" customWidth="1"/>
  </cols>
  <sheetData>
    <row r="1" spans="1:16">
      <c r="A1" t="s">
        <v>63</v>
      </c>
    </row>
    <row r="2" spans="1:16">
      <c r="B2" s="6" t="s">
        <v>62</v>
      </c>
      <c r="C2" s="6" t="s">
        <v>62</v>
      </c>
      <c r="D2" s="6" t="s">
        <v>62</v>
      </c>
      <c r="E2" s="6" t="s">
        <v>62</v>
      </c>
      <c r="F2" s="6"/>
      <c r="G2" s="6"/>
      <c r="H2" s="6"/>
      <c r="I2" s="6"/>
      <c r="J2" s="6"/>
      <c r="K2" s="6"/>
      <c r="L2" s="6"/>
      <c r="M2" s="6"/>
    </row>
    <row r="3" spans="1:16">
      <c r="A3" t="s">
        <v>28</v>
      </c>
      <c r="B3" s="5">
        <v>8879.2275542387197</v>
      </c>
      <c r="C3" s="5">
        <v>4951.5595472382884</v>
      </c>
      <c r="D3" s="5">
        <v>2331.6960412471062</v>
      </c>
      <c r="E3" s="5">
        <v>930.13885723958026</v>
      </c>
    </row>
    <row r="4" spans="1:16">
      <c r="A4" t="s">
        <v>29</v>
      </c>
      <c r="B4">
        <v>6797.7770823006895</v>
      </c>
      <c r="C4">
        <v>5665.7643235694532</v>
      </c>
      <c r="D4">
        <v>3996.0032947353952</v>
      </c>
      <c r="E4">
        <v>2187.6674041394067</v>
      </c>
    </row>
    <row r="5" spans="1:16">
      <c r="A5" t="s">
        <v>30</v>
      </c>
      <c r="B5">
        <v>76.558203298389415</v>
      </c>
      <c r="C5">
        <v>114.42383494568918</v>
      </c>
      <c r="D5">
        <v>171.37753909802649</v>
      </c>
      <c r="E5">
        <v>235.19793707273524</v>
      </c>
    </row>
    <row r="6" spans="1:16">
      <c r="A6" t="s">
        <v>31</v>
      </c>
      <c r="B6" s="5">
        <v>0</v>
      </c>
      <c r="C6" s="5">
        <v>0</v>
      </c>
      <c r="D6" s="5">
        <v>0</v>
      </c>
      <c r="E6" s="5">
        <v>0</v>
      </c>
    </row>
    <row r="7" spans="1:16">
      <c r="A7" t="s">
        <v>32</v>
      </c>
      <c r="B7" s="5">
        <v>24763.116394380922</v>
      </c>
      <c r="C7" s="5">
        <v>19763.116394380922</v>
      </c>
      <c r="D7" s="5">
        <v>14763.116394380922</v>
      </c>
      <c r="E7" s="5">
        <v>9763.1163943809224</v>
      </c>
    </row>
    <row r="8" spans="1:16">
      <c r="A8" t="s">
        <v>33</v>
      </c>
      <c r="B8" t="s">
        <v>50</v>
      </c>
      <c r="C8" t="s">
        <v>51</v>
      </c>
      <c r="D8" t="s">
        <v>52</v>
      </c>
      <c r="E8" t="s">
        <v>53</v>
      </c>
      <c r="I8" t="str">
        <f>CostOverRun!$B$8</f>
        <v>Bid 1</v>
      </c>
      <c r="J8" t="s">
        <v>44</v>
      </c>
      <c r="K8" t="str">
        <f>CostOverRun!$C$8</f>
        <v>Bid 2</v>
      </c>
      <c r="L8" t="s">
        <v>44</v>
      </c>
      <c r="M8" t="str">
        <f>CostOverRun!$D$8</f>
        <v>Bid 3</v>
      </c>
      <c r="N8" t="s">
        <v>44</v>
      </c>
      <c r="O8" t="str">
        <f>CostOverRun!$E$8</f>
        <v>Bid 4</v>
      </c>
      <c r="P8" t="s">
        <v>44</v>
      </c>
    </row>
    <row r="9" spans="1:16">
      <c r="A9">
        <v>1</v>
      </c>
      <c r="B9" s="5">
        <v>8906.6854818107386</v>
      </c>
      <c r="C9" s="5">
        <v>3906.6854818107386</v>
      </c>
      <c r="D9" s="5">
        <v>0</v>
      </c>
      <c r="E9" s="5">
        <v>0</v>
      </c>
      <c r="F9" s="5"/>
      <c r="G9" s="5"/>
      <c r="H9" s="5"/>
      <c r="I9">
        <f>SMALL(CostOverRun!$B$9:$B$108,1)</f>
        <v>0</v>
      </c>
      <c r="J9">
        <v>0</v>
      </c>
      <c r="K9">
        <f>SMALL(CostOverRun!$C$9:$C$108,1)</f>
        <v>0</v>
      </c>
      <c r="L9">
        <v>0</v>
      </c>
      <c r="M9">
        <f>SMALL(CostOverRun!$D$9:$D$108,1)</f>
        <v>0</v>
      </c>
      <c r="N9">
        <v>0</v>
      </c>
      <c r="O9">
        <f>SMALL(CostOverRun!$E$9:$E$108,1)</f>
        <v>0</v>
      </c>
      <c r="P9">
        <v>0</v>
      </c>
    </row>
    <row r="10" spans="1:16">
      <c r="A10">
        <v>2</v>
      </c>
      <c r="B10" s="5">
        <v>5371.5593638547289</v>
      </c>
      <c r="C10" s="5">
        <v>371.55936385472887</v>
      </c>
      <c r="D10" s="5">
        <v>0</v>
      </c>
      <c r="E10" s="5">
        <v>0</v>
      </c>
      <c r="F10" s="5"/>
      <c r="G10" s="5"/>
      <c r="H10" s="5"/>
      <c r="I10">
        <f>SMALL(CostOverRun!$B$9:$B$108,2)</f>
        <v>0</v>
      </c>
      <c r="J10">
        <f>1/(COUNT(CostOverRun!$B$9:$B$108)-1)+$J$9</f>
        <v>1.0101010101010102E-2</v>
      </c>
      <c r="K10">
        <f>SMALL(CostOverRun!$C$9:$C$108,2)</f>
        <v>0</v>
      </c>
      <c r="L10">
        <f>1/(COUNT(CostOverRun!$C$9:$C$108)-1)+$L$9</f>
        <v>1.0101010101010102E-2</v>
      </c>
      <c r="M10">
        <f>SMALL(CostOverRun!$D$9:$D$108,2)</f>
        <v>0</v>
      </c>
      <c r="N10">
        <f>1/(COUNT(CostOverRun!$D$9:$D$108)-1)+$N$9</f>
        <v>1.0101010101010102E-2</v>
      </c>
      <c r="O10">
        <f>SMALL(CostOverRun!$E$9:$E$108,2)</f>
        <v>0</v>
      </c>
      <c r="P10">
        <f>1/(COUNT(CostOverRun!$E$9:$E$108)-1)+$P$9</f>
        <v>1.0101010101010102E-2</v>
      </c>
    </row>
    <row r="11" spans="1:16">
      <c r="A11">
        <v>3</v>
      </c>
      <c r="B11" s="5">
        <v>12567.061029153847</v>
      </c>
      <c r="C11" s="5">
        <v>7567.0610291538469</v>
      </c>
      <c r="D11" s="5">
        <v>2567.0610291538469</v>
      </c>
      <c r="E11" s="5">
        <v>0</v>
      </c>
      <c r="F11" s="5"/>
      <c r="G11" s="5"/>
      <c r="H11" s="5"/>
      <c r="I11">
        <f>SMALL(CostOverRun!$B$9:$B$108,3)</f>
        <v>0</v>
      </c>
      <c r="J11">
        <f>1/(COUNT(CostOverRun!$B$9:$B$108)-1)+$J$10</f>
        <v>2.0202020202020204E-2</v>
      </c>
      <c r="K11">
        <f>SMALL(CostOverRun!$C$9:$C$108,3)</f>
        <v>0</v>
      </c>
      <c r="L11">
        <f>1/(COUNT(CostOverRun!$C$9:$C$108)-1)+$L$10</f>
        <v>2.0202020202020204E-2</v>
      </c>
      <c r="M11">
        <f>SMALL(CostOverRun!$D$9:$D$108,3)</f>
        <v>0</v>
      </c>
      <c r="N11">
        <f>1/(COUNT(CostOverRun!$D$9:$D$108)-1)+$N$10</f>
        <v>2.0202020202020204E-2</v>
      </c>
      <c r="O11">
        <f>SMALL(CostOverRun!$E$9:$E$108,3)</f>
        <v>0</v>
      </c>
      <c r="P11">
        <f>1/(COUNT(CostOverRun!$E$9:$E$108)-1)+$P$10</f>
        <v>2.0202020202020204E-2</v>
      </c>
    </row>
    <row r="12" spans="1:16">
      <c r="A12">
        <v>4</v>
      </c>
      <c r="B12" s="5">
        <v>23391.461208125547</v>
      </c>
      <c r="C12" s="5">
        <v>18391.461208125547</v>
      </c>
      <c r="D12" s="5">
        <v>13391.461208125547</v>
      </c>
      <c r="E12" s="5">
        <v>8391.4612081255473</v>
      </c>
      <c r="F12" s="5"/>
      <c r="G12" s="5"/>
      <c r="H12" s="5"/>
      <c r="I12">
        <f>SMALL(CostOverRun!$B$9:$B$108,4)</f>
        <v>0</v>
      </c>
      <c r="J12">
        <f>1/(COUNT(CostOverRun!$B$9:$B$108)-1)+$J$11</f>
        <v>3.0303030303030304E-2</v>
      </c>
      <c r="K12">
        <f>SMALL(CostOverRun!$C$9:$C$108,4)</f>
        <v>0</v>
      </c>
      <c r="L12">
        <f>1/(COUNT(CostOverRun!$C$9:$C$108)-1)+$L$11</f>
        <v>3.0303030303030304E-2</v>
      </c>
      <c r="M12">
        <f>SMALL(CostOverRun!$D$9:$D$108,4)</f>
        <v>0</v>
      </c>
      <c r="N12">
        <f>1/(COUNT(CostOverRun!$D$9:$D$108)-1)+$N$11</f>
        <v>3.0303030303030304E-2</v>
      </c>
      <c r="O12">
        <f>SMALL(CostOverRun!$E$9:$E$108,4)</f>
        <v>0</v>
      </c>
      <c r="P12">
        <f>1/(COUNT(CostOverRun!$E$9:$E$108)-1)+$P$11</f>
        <v>3.0303030303030304E-2</v>
      </c>
    </row>
    <row r="13" spans="1:16">
      <c r="A13">
        <v>5</v>
      </c>
      <c r="B13" s="5">
        <v>17217.876432795776</v>
      </c>
      <c r="C13" s="5">
        <v>12217.876432795776</v>
      </c>
      <c r="D13" s="5">
        <v>7217.8764327957761</v>
      </c>
      <c r="E13" s="5">
        <v>2217.8764327957761</v>
      </c>
      <c r="F13" s="5"/>
      <c r="G13" s="5"/>
      <c r="H13" s="5"/>
      <c r="I13">
        <f>SMALL(CostOverRun!$B$9:$B$108,5)</f>
        <v>0</v>
      </c>
      <c r="J13">
        <f>1/(COUNT(CostOverRun!$B$9:$B$108)-1)+$J$12</f>
        <v>4.0404040404040407E-2</v>
      </c>
      <c r="K13">
        <f>SMALL(CostOverRun!$C$9:$C$108,5)</f>
        <v>0</v>
      </c>
      <c r="L13">
        <f>1/(COUNT(CostOverRun!$C$9:$C$108)-1)+$L$12</f>
        <v>4.0404040404040407E-2</v>
      </c>
      <c r="M13">
        <f>SMALL(CostOverRun!$D$9:$D$108,5)</f>
        <v>0</v>
      </c>
      <c r="N13">
        <f>1/(COUNT(CostOverRun!$D$9:$D$108)-1)+$N$12</f>
        <v>4.0404040404040407E-2</v>
      </c>
      <c r="O13">
        <f>SMALL(CostOverRun!$E$9:$E$108,5)</f>
        <v>0</v>
      </c>
      <c r="P13">
        <f>1/(COUNT(CostOverRun!$E$9:$E$108)-1)+$P$12</f>
        <v>4.0404040404040407E-2</v>
      </c>
    </row>
    <row r="14" spans="1:16">
      <c r="A14">
        <v>6</v>
      </c>
      <c r="B14" s="5">
        <v>9178.6977109022555</v>
      </c>
      <c r="C14" s="5">
        <v>4178.6977109022555</v>
      </c>
      <c r="D14" s="5">
        <v>0</v>
      </c>
      <c r="E14" s="5">
        <v>0</v>
      </c>
      <c r="F14" s="5"/>
      <c r="G14" s="5"/>
      <c r="H14" s="5"/>
      <c r="I14">
        <f>SMALL(CostOverRun!$B$9:$B$108,6)</f>
        <v>0</v>
      </c>
      <c r="J14">
        <f>1/(COUNT(CostOverRun!$B$9:$B$108)-1)+$J$13</f>
        <v>5.0505050505050511E-2</v>
      </c>
      <c r="K14">
        <f>SMALL(CostOverRun!$C$9:$C$108,6)</f>
        <v>0</v>
      </c>
      <c r="L14">
        <f>1/(COUNT(CostOverRun!$C$9:$C$108)-1)+$L$13</f>
        <v>5.0505050505050511E-2</v>
      </c>
      <c r="M14">
        <f>SMALL(CostOverRun!$D$9:$D$108,6)</f>
        <v>0</v>
      </c>
      <c r="N14">
        <f>1/(COUNT(CostOverRun!$D$9:$D$108)-1)+$N$13</f>
        <v>5.0505050505050511E-2</v>
      </c>
      <c r="O14">
        <f>SMALL(CostOverRun!$E$9:$E$108,6)</f>
        <v>0</v>
      </c>
      <c r="P14">
        <f>1/(COUNT(CostOverRun!$E$9:$E$108)-1)+$P$13</f>
        <v>5.0505050505050511E-2</v>
      </c>
    </row>
    <row r="15" spans="1:16">
      <c r="A15">
        <v>7</v>
      </c>
      <c r="B15" s="5">
        <v>7449.6164435998653</v>
      </c>
      <c r="C15" s="5">
        <v>2449.6164435998653</v>
      </c>
      <c r="D15" s="5">
        <v>0</v>
      </c>
      <c r="E15" s="5">
        <v>0</v>
      </c>
      <c r="F15" s="5"/>
      <c r="G15" s="5"/>
      <c r="H15" s="5"/>
      <c r="I15">
        <f>SMALL(CostOverRun!$B$9:$B$108,7)</f>
        <v>0</v>
      </c>
      <c r="J15">
        <f>1/(COUNT(CostOverRun!$B$9:$B$108)-1)+$J$14</f>
        <v>6.0606060606060615E-2</v>
      </c>
      <c r="K15">
        <f>SMALL(CostOverRun!$C$9:$C$108,7)</f>
        <v>0</v>
      </c>
      <c r="L15">
        <f>1/(COUNT(CostOverRun!$C$9:$C$108)-1)+$L$14</f>
        <v>6.0606060606060615E-2</v>
      </c>
      <c r="M15">
        <f>SMALL(CostOverRun!$D$9:$D$108,7)</f>
        <v>0</v>
      </c>
      <c r="N15">
        <f>1/(COUNT(CostOverRun!$D$9:$D$108)-1)+$N$14</f>
        <v>6.0606060606060615E-2</v>
      </c>
      <c r="O15">
        <f>SMALL(CostOverRun!$E$9:$E$108,7)</f>
        <v>0</v>
      </c>
      <c r="P15">
        <f>1/(COUNT(CostOverRun!$E$9:$E$108)-1)+$P$14</f>
        <v>6.0606060606060615E-2</v>
      </c>
    </row>
    <row r="16" spans="1:16">
      <c r="A16">
        <v>8</v>
      </c>
      <c r="B16" s="5">
        <v>0</v>
      </c>
      <c r="C16" s="5">
        <v>0</v>
      </c>
      <c r="D16" s="5">
        <v>0</v>
      </c>
      <c r="E16" s="5">
        <v>0</v>
      </c>
      <c r="F16" s="5"/>
      <c r="G16" s="5"/>
      <c r="H16" s="5"/>
      <c r="I16">
        <f>SMALL(CostOverRun!$B$9:$B$108,8)</f>
        <v>0</v>
      </c>
      <c r="J16">
        <f>1/(COUNT(CostOverRun!$B$9:$B$108)-1)+$J$15</f>
        <v>7.0707070707070718E-2</v>
      </c>
      <c r="K16">
        <f>SMALL(CostOverRun!$C$9:$C$108,8)</f>
        <v>0</v>
      </c>
      <c r="L16">
        <f>1/(COUNT(CostOverRun!$C$9:$C$108)-1)+$L$15</f>
        <v>7.0707070707070718E-2</v>
      </c>
      <c r="M16">
        <f>SMALL(CostOverRun!$D$9:$D$108,8)</f>
        <v>0</v>
      </c>
      <c r="N16">
        <f>1/(COUNT(CostOverRun!$D$9:$D$108)-1)+$N$15</f>
        <v>7.0707070707070718E-2</v>
      </c>
      <c r="O16">
        <f>SMALL(CostOverRun!$E$9:$E$108,8)</f>
        <v>0</v>
      </c>
      <c r="P16">
        <f>1/(COUNT(CostOverRun!$E$9:$E$108)-1)+$P$15</f>
        <v>7.0707070707070718E-2</v>
      </c>
    </row>
    <row r="17" spans="1:16">
      <c r="A17">
        <v>9</v>
      </c>
      <c r="B17" s="5">
        <v>17262.787757449609</v>
      </c>
      <c r="C17" s="5">
        <v>12262.787757449609</v>
      </c>
      <c r="D17" s="5">
        <v>7262.7877574496088</v>
      </c>
      <c r="E17" s="5">
        <v>2262.7877574496088</v>
      </c>
      <c r="F17" s="5"/>
      <c r="G17" s="5"/>
      <c r="H17" s="5"/>
      <c r="I17">
        <f>SMALL(CostOverRun!$B$9:$B$108,9)</f>
        <v>0</v>
      </c>
      <c r="J17">
        <f>1/(COUNT(CostOverRun!$B$9:$B$108)-1)+$J$16</f>
        <v>8.0808080808080815E-2</v>
      </c>
      <c r="K17">
        <f>SMALL(CostOverRun!$C$9:$C$108,9)</f>
        <v>0</v>
      </c>
      <c r="L17">
        <f>1/(COUNT(CostOverRun!$C$9:$C$108)-1)+$L$16</f>
        <v>8.0808080808080815E-2</v>
      </c>
      <c r="M17">
        <f>SMALL(CostOverRun!$D$9:$D$108,9)</f>
        <v>0</v>
      </c>
      <c r="N17">
        <f>1/(COUNT(CostOverRun!$D$9:$D$108)-1)+$N$16</f>
        <v>8.0808080808080815E-2</v>
      </c>
      <c r="O17">
        <f>SMALL(CostOverRun!$E$9:$E$108,9)</f>
        <v>0</v>
      </c>
      <c r="P17">
        <f>1/(COUNT(CostOverRun!$E$9:$E$108)-1)+$P$16</f>
        <v>8.0808080808080815E-2</v>
      </c>
    </row>
    <row r="18" spans="1:16">
      <c r="A18">
        <v>10</v>
      </c>
      <c r="B18" s="5">
        <v>5719.1145763120148</v>
      </c>
      <c r="C18" s="5">
        <v>719.11457631201483</v>
      </c>
      <c r="D18" s="5">
        <v>0</v>
      </c>
      <c r="E18" s="5">
        <v>0</v>
      </c>
      <c r="F18" s="5"/>
      <c r="G18" s="5"/>
      <c r="H18" s="5"/>
      <c r="I18">
        <f>SMALL(CostOverRun!$B$9:$B$108,10)</f>
        <v>0</v>
      </c>
      <c r="J18">
        <f>1/(COUNT(CostOverRun!$B$9:$B$108)-1)+$J$17</f>
        <v>9.0909090909090912E-2</v>
      </c>
      <c r="K18">
        <f>SMALL(CostOverRun!$C$9:$C$108,10)</f>
        <v>0</v>
      </c>
      <c r="L18">
        <f>1/(COUNT(CostOverRun!$C$9:$C$108)-1)+$L$17</f>
        <v>9.0909090909090912E-2</v>
      </c>
      <c r="M18">
        <f>SMALL(CostOverRun!$D$9:$D$108,10)</f>
        <v>0</v>
      </c>
      <c r="N18">
        <f>1/(COUNT(CostOverRun!$D$9:$D$108)-1)+$N$17</f>
        <v>9.0909090909090912E-2</v>
      </c>
      <c r="O18">
        <f>SMALL(CostOverRun!$E$9:$E$108,10)</f>
        <v>0</v>
      </c>
      <c r="P18">
        <f>1/(COUNT(CostOverRun!$E$9:$E$108)-1)+$P$17</f>
        <v>9.0909090909090912E-2</v>
      </c>
    </row>
    <row r="19" spans="1:16">
      <c r="A19">
        <v>11</v>
      </c>
      <c r="B19" s="5">
        <v>16097.627475290443</v>
      </c>
      <c r="C19" s="5">
        <v>11097.627475290443</v>
      </c>
      <c r="D19" s="5">
        <v>6097.6274752904428</v>
      </c>
      <c r="E19" s="5">
        <v>1097.6274752904428</v>
      </c>
      <c r="F19" s="5"/>
      <c r="G19" s="5"/>
      <c r="H19" s="5"/>
      <c r="I19">
        <f>SMALL(CostOverRun!$B$9:$B$108,11)</f>
        <v>0</v>
      </c>
      <c r="J19">
        <f>1/(COUNT(CostOverRun!$B$9:$B$108)-1)+$J$18</f>
        <v>0.10101010101010101</v>
      </c>
      <c r="K19">
        <f>SMALL(CostOverRun!$C$9:$C$108,11)</f>
        <v>0</v>
      </c>
      <c r="L19">
        <f>1/(COUNT(CostOverRun!$C$9:$C$108)-1)+$L$18</f>
        <v>0.10101010101010101</v>
      </c>
      <c r="M19">
        <f>SMALL(CostOverRun!$D$9:$D$108,11)</f>
        <v>0</v>
      </c>
      <c r="N19">
        <f>1/(COUNT(CostOverRun!$D$9:$D$108)-1)+$N$18</f>
        <v>0.10101010101010101</v>
      </c>
      <c r="O19">
        <f>SMALL(CostOverRun!$E$9:$E$108,11)</f>
        <v>0</v>
      </c>
      <c r="P19">
        <f>1/(COUNT(CostOverRun!$E$9:$E$108)-1)+$P$18</f>
        <v>0.10101010101010101</v>
      </c>
    </row>
    <row r="20" spans="1:16">
      <c r="A20">
        <v>12</v>
      </c>
      <c r="B20" s="5">
        <v>856.26404316612752</v>
      </c>
      <c r="C20" s="5">
        <v>0</v>
      </c>
      <c r="D20" s="5">
        <v>0</v>
      </c>
      <c r="E20" s="5">
        <v>0</v>
      </c>
      <c r="F20" s="5"/>
      <c r="G20" s="5"/>
      <c r="H20" s="5"/>
      <c r="I20">
        <f>SMALL(CostOverRun!$B$9:$B$108,12)</f>
        <v>0</v>
      </c>
      <c r="J20">
        <f>1/(COUNT(CostOverRun!$B$9:$B$108)-1)+$J$19</f>
        <v>0.1111111111111111</v>
      </c>
      <c r="K20">
        <f>SMALL(CostOverRun!$C$9:$C$108,12)</f>
        <v>0</v>
      </c>
      <c r="L20">
        <f>1/(COUNT(CostOverRun!$C$9:$C$108)-1)+$L$19</f>
        <v>0.1111111111111111</v>
      </c>
      <c r="M20">
        <f>SMALL(CostOverRun!$D$9:$D$108,12)</f>
        <v>0</v>
      </c>
      <c r="N20">
        <f>1/(COUNT(CostOverRun!$D$9:$D$108)-1)+$N$19</f>
        <v>0.1111111111111111</v>
      </c>
      <c r="O20">
        <f>SMALL(CostOverRun!$E$9:$E$108,12)</f>
        <v>0</v>
      </c>
      <c r="P20">
        <f>1/(COUNT(CostOverRun!$E$9:$E$108)-1)+$P$19</f>
        <v>0.1111111111111111</v>
      </c>
    </row>
    <row r="21" spans="1:16">
      <c r="A21">
        <v>13</v>
      </c>
      <c r="B21" s="5">
        <v>10447.909757799032</v>
      </c>
      <c r="C21" s="5">
        <v>5447.9097577990324</v>
      </c>
      <c r="D21" s="5">
        <v>447.90975779903238</v>
      </c>
      <c r="E21" s="5">
        <v>0</v>
      </c>
      <c r="F21" s="5"/>
      <c r="G21" s="5"/>
      <c r="H21" s="5"/>
      <c r="I21">
        <f>SMALL(CostOverRun!$B$9:$B$108,13)</f>
        <v>0</v>
      </c>
      <c r="J21">
        <f>1/(COUNT(CostOverRun!$B$9:$B$108)-1)+$J$20</f>
        <v>0.1212121212121212</v>
      </c>
      <c r="K21">
        <f>SMALL(CostOverRun!$C$9:$C$108,13)</f>
        <v>0</v>
      </c>
      <c r="L21">
        <f>1/(COUNT(CostOverRun!$C$9:$C$108)-1)+$L$20</f>
        <v>0.1212121212121212</v>
      </c>
      <c r="M21">
        <f>SMALL(CostOverRun!$D$9:$D$108,13)</f>
        <v>0</v>
      </c>
      <c r="N21">
        <f>1/(COUNT(CostOverRun!$D$9:$D$108)-1)+$N$20</f>
        <v>0.1212121212121212</v>
      </c>
      <c r="O21">
        <f>SMALL(CostOverRun!$E$9:$E$108,13)</f>
        <v>0</v>
      </c>
      <c r="P21">
        <f>1/(COUNT(CostOverRun!$E$9:$E$108)-1)+$P$20</f>
        <v>0.1212121212121212</v>
      </c>
    </row>
    <row r="22" spans="1:16">
      <c r="A22">
        <v>14</v>
      </c>
      <c r="B22" s="5">
        <v>6181.7471396319161</v>
      </c>
      <c r="C22" s="5">
        <v>1181.7471396319161</v>
      </c>
      <c r="D22" s="5">
        <v>0</v>
      </c>
      <c r="E22" s="5">
        <v>0</v>
      </c>
      <c r="F22" s="5"/>
      <c r="G22" s="5"/>
      <c r="H22" s="5"/>
      <c r="I22">
        <f>SMALL(CostOverRun!$B$9:$B$108,14)</f>
        <v>778.81116298708366</v>
      </c>
      <c r="J22">
        <f>1/(COUNT(CostOverRun!$B$9:$B$108)-1)+$J$21</f>
        <v>0.1313131313131313</v>
      </c>
      <c r="K22">
        <f>SMALL(CostOverRun!$C$9:$C$108,14)</f>
        <v>0</v>
      </c>
      <c r="L22">
        <f>1/(COUNT(CostOverRun!$C$9:$C$108)-1)+$L$21</f>
        <v>0.1313131313131313</v>
      </c>
      <c r="M22">
        <f>SMALL(CostOverRun!$D$9:$D$108,14)</f>
        <v>0</v>
      </c>
      <c r="N22">
        <f>1/(COUNT(CostOverRun!$D$9:$D$108)-1)+$N$21</f>
        <v>0.1313131313131313</v>
      </c>
      <c r="O22">
        <f>SMALL(CostOverRun!$E$9:$E$108,14)</f>
        <v>0</v>
      </c>
      <c r="P22">
        <f>1/(COUNT(CostOverRun!$E$9:$E$108)-1)+$P$21</f>
        <v>0.1313131313131313</v>
      </c>
    </row>
    <row r="23" spans="1:16">
      <c r="A23">
        <v>15</v>
      </c>
      <c r="B23" s="5">
        <v>13150.696037859889</v>
      </c>
      <c r="C23" s="5">
        <v>8150.6960378598887</v>
      </c>
      <c r="D23" s="5">
        <v>3150.6960378598887</v>
      </c>
      <c r="E23" s="5">
        <v>0</v>
      </c>
      <c r="F23" s="5"/>
      <c r="G23" s="5"/>
      <c r="H23" s="5"/>
      <c r="I23">
        <f>SMALL(CostOverRun!$B$9:$B$108,15)</f>
        <v>856.26404316612752</v>
      </c>
      <c r="J23">
        <f>1/(COUNT(CostOverRun!$B$9:$B$108)-1)+$J$22</f>
        <v>0.14141414141414141</v>
      </c>
      <c r="K23">
        <f>SMALL(CostOverRun!$C$9:$C$108,15)</f>
        <v>0</v>
      </c>
      <c r="L23">
        <f>1/(COUNT(CostOverRun!$C$9:$C$108)-1)+$L$22</f>
        <v>0.14141414141414141</v>
      </c>
      <c r="M23">
        <f>SMALL(CostOverRun!$D$9:$D$108,15)</f>
        <v>0</v>
      </c>
      <c r="N23">
        <f>1/(COUNT(CostOverRun!$D$9:$D$108)-1)+$N$22</f>
        <v>0.14141414141414141</v>
      </c>
      <c r="O23">
        <f>SMALL(CostOverRun!$E$9:$E$108,15)</f>
        <v>0</v>
      </c>
      <c r="P23">
        <f>1/(COUNT(CostOverRun!$E$9:$E$108)-1)+$P$22</f>
        <v>0.14141414141414141</v>
      </c>
    </row>
    <row r="24" spans="1:16">
      <c r="A24">
        <v>16</v>
      </c>
      <c r="B24" s="5">
        <v>14040.985370357113</v>
      </c>
      <c r="C24" s="5">
        <v>9040.9853703571134</v>
      </c>
      <c r="D24" s="5">
        <v>4040.9853703571134</v>
      </c>
      <c r="E24" s="5">
        <v>0</v>
      </c>
      <c r="F24" s="5"/>
      <c r="G24" s="5"/>
      <c r="H24" s="5"/>
      <c r="I24">
        <f>SMALL(CostOverRun!$B$9:$B$108,16)</f>
        <v>1264.0839902177395</v>
      </c>
      <c r="J24">
        <f>1/(COUNT(CostOverRun!$B$9:$B$108)-1)+$J$23</f>
        <v>0.15151515151515152</v>
      </c>
      <c r="K24">
        <f>SMALL(CostOverRun!$C$9:$C$108,16)</f>
        <v>0</v>
      </c>
      <c r="L24">
        <f>1/(COUNT(CostOverRun!$C$9:$C$108)-1)+$L$23</f>
        <v>0.15151515151515152</v>
      </c>
      <c r="M24">
        <f>SMALL(CostOverRun!$D$9:$D$108,16)</f>
        <v>0</v>
      </c>
      <c r="N24">
        <f>1/(COUNT(CostOverRun!$D$9:$D$108)-1)+$N$23</f>
        <v>0.15151515151515152</v>
      </c>
      <c r="O24">
        <f>SMALL(CostOverRun!$E$9:$E$108,16)</f>
        <v>0</v>
      </c>
      <c r="P24">
        <f>1/(COUNT(CostOverRun!$E$9:$E$108)-1)+$P$23</f>
        <v>0.15151515151515152</v>
      </c>
    </row>
    <row r="25" spans="1:16">
      <c r="A25">
        <v>17</v>
      </c>
      <c r="B25" s="5">
        <v>20777.693418934738</v>
      </c>
      <c r="C25" s="5">
        <v>15777.693418934738</v>
      </c>
      <c r="D25" s="5">
        <v>10777.693418934738</v>
      </c>
      <c r="E25" s="5">
        <v>5777.6934189347376</v>
      </c>
      <c r="F25" s="5"/>
      <c r="G25" s="5"/>
      <c r="H25" s="5"/>
      <c r="I25">
        <f>SMALL(CostOverRun!$B$9:$B$108,17)</f>
        <v>1319.9836151936324</v>
      </c>
      <c r="J25">
        <f>1/(COUNT(CostOverRun!$B$9:$B$108)-1)+$J$24</f>
        <v>0.16161616161616163</v>
      </c>
      <c r="K25">
        <f>SMALL(CostOverRun!$C$9:$C$108,17)</f>
        <v>0</v>
      </c>
      <c r="L25">
        <f>1/(COUNT(CostOverRun!$C$9:$C$108)-1)+$L$24</f>
        <v>0.16161616161616163</v>
      </c>
      <c r="M25">
        <f>SMALL(CostOverRun!$D$9:$D$108,17)</f>
        <v>0</v>
      </c>
      <c r="N25">
        <f>1/(COUNT(CostOverRun!$D$9:$D$108)-1)+$N$24</f>
        <v>0.16161616161616163</v>
      </c>
      <c r="O25">
        <f>SMALL(CostOverRun!$E$9:$E$108,17)</f>
        <v>0</v>
      </c>
      <c r="P25">
        <f>1/(COUNT(CostOverRun!$E$9:$E$108)-1)+$P$24</f>
        <v>0.16161616161616163</v>
      </c>
    </row>
    <row r="26" spans="1:16">
      <c r="A26">
        <v>18</v>
      </c>
      <c r="B26" s="5">
        <v>0</v>
      </c>
      <c r="C26" s="5">
        <v>0</v>
      </c>
      <c r="D26" s="5">
        <v>0</v>
      </c>
      <c r="E26" s="5">
        <v>0</v>
      </c>
      <c r="F26" s="5"/>
      <c r="G26" s="5"/>
      <c r="H26" s="5"/>
      <c r="I26">
        <f>SMALL(CostOverRun!$B$9:$B$108,18)</f>
        <v>1450.0400939252868</v>
      </c>
      <c r="J26">
        <f>1/(COUNT(CostOverRun!$B$9:$B$108)-1)+$J$25</f>
        <v>0.17171717171717174</v>
      </c>
      <c r="K26">
        <f>SMALL(CostOverRun!$C$9:$C$108,18)</f>
        <v>0</v>
      </c>
      <c r="L26">
        <f>1/(COUNT(CostOverRun!$C$9:$C$108)-1)+$L$25</f>
        <v>0.17171717171717174</v>
      </c>
      <c r="M26">
        <f>SMALL(CostOverRun!$D$9:$D$108,18)</f>
        <v>0</v>
      </c>
      <c r="N26">
        <f>1/(COUNT(CostOverRun!$D$9:$D$108)-1)+$N$25</f>
        <v>0.17171717171717174</v>
      </c>
      <c r="O26">
        <f>SMALL(CostOverRun!$E$9:$E$108,18)</f>
        <v>0</v>
      </c>
      <c r="P26">
        <f>1/(COUNT(CostOverRun!$E$9:$E$108)-1)+$P$25</f>
        <v>0.17171717171717174</v>
      </c>
    </row>
    <row r="27" spans="1:16">
      <c r="A27">
        <v>19</v>
      </c>
      <c r="B27" s="5">
        <v>19435.522062748321</v>
      </c>
      <c r="C27" s="5">
        <v>14435.522062748321</v>
      </c>
      <c r="D27" s="5">
        <v>9435.5220627483213</v>
      </c>
      <c r="E27" s="5">
        <v>4435.5220627483213</v>
      </c>
      <c r="F27" s="5"/>
      <c r="G27" s="5"/>
      <c r="H27" s="5"/>
      <c r="I27">
        <f>SMALL(CostOverRun!$B$9:$B$108,19)</f>
        <v>1648.5601223295671</v>
      </c>
      <c r="J27">
        <f>1/(COUNT(CostOverRun!$B$9:$B$108)-1)+$J$26</f>
        <v>0.18181818181818185</v>
      </c>
      <c r="K27">
        <f>SMALL(CostOverRun!$C$9:$C$108,19)</f>
        <v>0</v>
      </c>
      <c r="L27">
        <f>1/(COUNT(CostOverRun!$C$9:$C$108)-1)+$L$26</f>
        <v>0.18181818181818185</v>
      </c>
      <c r="M27">
        <f>SMALL(CostOverRun!$D$9:$D$108,19)</f>
        <v>0</v>
      </c>
      <c r="N27">
        <f>1/(COUNT(CostOverRun!$D$9:$D$108)-1)+$N$26</f>
        <v>0.18181818181818185</v>
      </c>
      <c r="O27">
        <f>SMALL(CostOverRun!$E$9:$E$108,19)</f>
        <v>0</v>
      </c>
      <c r="P27">
        <f>1/(COUNT(CostOverRun!$E$9:$E$108)-1)+$P$26</f>
        <v>0.18181818181818185</v>
      </c>
    </row>
    <row r="28" spans="1:16">
      <c r="A28">
        <v>20</v>
      </c>
      <c r="B28" s="5">
        <v>4182.1378586965729</v>
      </c>
      <c r="C28" s="5">
        <v>0</v>
      </c>
      <c r="D28" s="5">
        <v>0</v>
      </c>
      <c r="E28" s="5">
        <v>0</v>
      </c>
      <c r="F28" s="5"/>
      <c r="G28" s="5"/>
      <c r="H28" s="5"/>
      <c r="I28">
        <f>SMALL(CostOverRun!$B$9:$B$108,20)</f>
        <v>1681.0208668959967</v>
      </c>
      <c r="J28">
        <f>1/(COUNT(CostOverRun!$B$9:$B$108)-1)+$J$27</f>
        <v>0.19191919191919196</v>
      </c>
      <c r="K28">
        <f>SMALL(CostOverRun!$C$9:$C$108,20)</f>
        <v>0</v>
      </c>
      <c r="L28">
        <f>1/(COUNT(CostOverRun!$C$9:$C$108)-1)+$L$27</f>
        <v>0.19191919191919196</v>
      </c>
      <c r="M28">
        <f>SMALL(CostOverRun!$D$9:$D$108,20)</f>
        <v>0</v>
      </c>
      <c r="N28">
        <f>1/(COUNT(CostOverRun!$D$9:$D$108)-1)+$N$27</f>
        <v>0.19191919191919196</v>
      </c>
      <c r="O28">
        <f>SMALL(CostOverRun!$E$9:$E$108,20)</f>
        <v>0</v>
      </c>
      <c r="P28">
        <f>1/(COUNT(CostOverRun!$E$9:$E$108)-1)+$P$27</f>
        <v>0.19191919191919196</v>
      </c>
    </row>
    <row r="29" spans="1:16">
      <c r="A29">
        <v>21</v>
      </c>
      <c r="B29" s="5">
        <v>6131.1722179507487</v>
      </c>
      <c r="C29" s="5">
        <v>1131.1722179507487</v>
      </c>
      <c r="D29" s="5">
        <v>0</v>
      </c>
      <c r="E29" s="5">
        <v>0</v>
      </c>
      <c r="F29" s="5"/>
      <c r="G29" s="5"/>
      <c r="H29" s="5"/>
      <c r="I29">
        <f>SMALL(CostOverRun!$B$9:$B$108,21)</f>
        <v>2372.9555230995466</v>
      </c>
      <c r="J29">
        <f>1/(COUNT(CostOverRun!$B$9:$B$108)-1)+$J$28</f>
        <v>0.20202020202020207</v>
      </c>
      <c r="K29">
        <f>SMALL(CostOverRun!$C$9:$C$108,21)</f>
        <v>0</v>
      </c>
      <c r="L29">
        <f>1/(COUNT(CostOverRun!$C$9:$C$108)-1)+$L$28</f>
        <v>0.20202020202020207</v>
      </c>
      <c r="M29">
        <f>SMALL(CostOverRun!$D$9:$D$108,21)</f>
        <v>0</v>
      </c>
      <c r="N29">
        <f>1/(COUNT(CostOverRun!$D$9:$D$108)-1)+$N$28</f>
        <v>0.20202020202020207</v>
      </c>
      <c r="O29">
        <f>SMALL(CostOverRun!$E$9:$E$108,21)</f>
        <v>0</v>
      </c>
      <c r="P29">
        <f>1/(COUNT(CostOverRun!$E$9:$E$108)-1)+$P$28</f>
        <v>0.20202020202020207</v>
      </c>
    </row>
    <row r="30" spans="1:16">
      <c r="A30">
        <v>22</v>
      </c>
      <c r="B30" s="5">
        <v>9392.7216768235667</v>
      </c>
      <c r="C30" s="5">
        <v>4392.7216768235667</v>
      </c>
      <c r="D30" s="5">
        <v>0</v>
      </c>
      <c r="E30" s="5">
        <v>0</v>
      </c>
      <c r="F30" s="5"/>
      <c r="G30" s="5"/>
      <c r="H30" s="5"/>
      <c r="I30">
        <f>SMALL(CostOverRun!$B$9:$B$108,22)</f>
        <v>2832.774379178969</v>
      </c>
      <c r="J30">
        <f>1/(COUNT(CostOverRun!$B$9:$B$108)-1)+$J$29</f>
        <v>0.21212121212121218</v>
      </c>
      <c r="K30">
        <f>SMALL(CostOverRun!$C$9:$C$108,22)</f>
        <v>0</v>
      </c>
      <c r="L30">
        <f>1/(COUNT(CostOverRun!$C$9:$C$108)-1)+$L$29</f>
        <v>0.21212121212121218</v>
      </c>
      <c r="M30">
        <f>SMALL(CostOverRun!$D$9:$D$108,22)</f>
        <v>0</v>
      </c>
      <c r="N30">
        <f>1/(COUNT(CostOverRun!$D$9:$D$108)-1)+$N$29</f>
        <v>0.21212121212121218</v>
      </c>
      <c r="O30">
        <f>SMALL(CostOverRun!$E$9:$E$108,22)</f>
        <v>0</v>
      </c>
      <c r="P30">
        <f>1/(COUNT(CostOverRun!$E$9:$E$108)-1)+$P$29</f>
        <v>0.21212121212121218</v>
      </c>
    </row>
    <row r="31" spans="1:16">
      <c r="A31">
        <v>23</v>
      </c>
      <c r="B31" s="5">
        <v>1648.5601223295671</v>
      </c>
      <c r="C31" s="5">
        <v>0</v>
      </c>
      <c r="D31" s="5">
        <v>0</v>
      </c>
      <c r="E31" s="5">
        <v>0</v>
      </c>
      <c r="F31" s="5"/>
      <c r="G31" s="5"/>
      <c r="H31" s="5"/>
      <c r="I31">
        <f>SMALL(CostOverRun!$B$9:$B$108,23)</f>
        <v>2952.3322081354272</v>
      </c>
      <c r="J31">
        <f>1/(COUNT(CostOverRun!$B$9:$B$108)-1)+$J$30</f>
        <v>0.22222222222222229</v>
      </c>
      <c r="K31">
        <f>SMALL(CostOverRun!$C$9:$C$108,23)</f>
        <v>0</v>
      </c>
      <c r="L31">
        <f>1/(COUNT(CostOverRun!$C$9:$C$108)-1)+$L$30</f>
        <v>0.22222222222222229</v>
      </c>
      <c r="M31">
        <f>SMALL(CostOverRun!$D$9:$D$108,23)</f>
        <v>0</v>
      </c>
      <c r="N31">
        <f>1/(COUNT(CostOverRun!$D$9:$D$108)-1)+$N$30</f>
        <v>0.22222222222222229</v>
      </c>
      <c r="O31">
        <f>SMALL(CostOverRun!$E$9:$E$108,23)</f>
        <v>0</v>
      </c>
      <c r="P31">
        <f>1/(COUNT(CostOverRun!$E$9:$E$108)-1)+$P$30</f>
        <v>0.22222222222222229</v>
      </c>
    </row>
    <row r="32" spans="1:16">
      <c r="A32">
        <v>24</v>
      </c>
      <c r="B32" s="5">
        <v>24763.116394380922</v>
      </c>
      <c r="C32" s="5">
        <v>19763.116394380922</v>
      </c>
      <c r="D32" s="5">
        <v>14763.116394380922</v>
      </c>
      <c r="E32" s="5">
        <v>9763.1163943809224</v>
      </c>
      <c r="F32" s="5"/>
      <c r="G32" s="5"/>
      <c r="H32" s="5"/>
      <c r="I32">
        <f>SMALL(CostOverRun!$B$9:$B$108,24)</f>
        <v>3024.1020278393116</v>
      </c>
      <c r="J32">
        <f>1/(COUNT(CostOverRun!$B$9:$B$108)-1)+$J$31</f>
        <v>0.2323232323232324</v>
      </c>
      <c r="K32">
        <f>SMALL(CostOverRun!$C$9:$C$108,24)</f>
        <v>0</v>
      </c>
      <c r="L32">
        <f>1/(COUNT(CostOverRun!$C$9:$C$108)-1)+$L$31</f>
        <v>0.2323232323232324</v>
      </c>
      <c r="M32">
        <f>SMALL(CostOverRun!$D$9:$D$108,24)</f>
        <v>0</v>
      </c>
      <c r="N32">
        <f>1/(COUNT(CostOverRun!$D$9:$D$108)-1)+$N$31</f>
        <v>0.2323232323232324</v>
      </c>
      <c r="O32">
        <f>SMALL(CostOverRun!$E$9:$E$108,24)</f>
        <v>0</v>
      </c>
      <c r="P32">
        <f>1/(COUNT(CostOverRun!$E$9:$E$108)-1)+$P$31</f>
        <v>0.2323232323232324</v>
      </c>
    </row>
    <row r="33" spans="1:16">
      <c r="A33">
        <v>25</v>
      </c>
      <c r="B33" s="5">
        <v>7109.0876553102571</v>
      </c>
      <c r="C33" s="5">
        <v>2109.0876553102571</v>
      </c>
      <c r="D33" s="5">
        <v>0</v>
      </c>
      <c r="E33" s="5">
        <v>0</v>
      </c>
      <c r="F33" s="5"/>
      <c r="G33" s="5"/>
      <c r="H33" s="5"/>
      <c r="I33">
        <f>SMALL(CostOverRun!$B$9:$B$108,25)</f>
        <v>3318.082898473338</v>
      </c>
      <c r="J33">
        <f>1/(COUNT(CostOverRun!$B$9:$B$108)-1)+$J$32</f>
        <v>0.24242424242424251</v>
      </c>
      <c r="K33">
        <f>SMALL(CostOverRun!$C$9:$C$108,25)</f>
        <v>0</v>
      </c>
      <c r="L33">
        <f>1/(COUNT(CostOverRun!$C$9:$C$108)-1)+$L$32</f>
        <v>0.24242424242424251</v>
      </c>
      <c r="M33">
        <f>SMALL(CostOverRun!$D$9:$D$108,25)</f>
        <v>0</v>
      </c>
      <c r="N33">
        <f>1/(COUNT(CostOverRun!$D$9:$D$108)-1)+$N$32</f>
        <v>0.24242424242424251</v>
      </c>
      <c r="O33">
        <f>SMALL(CostOverRun!$E$9:$E$108,25)</f>
        <v>0</v>
      </c>
      <c r="P33">
        <f>1/(COUNT(CostOverRun!$E$9:$E$108)-1)+$P$32</f>
        <v>0.24242424242424251</v>
      </c>
    </row>
    <row r="34" spans="1:16">
      <c r="A34">
        <v>26</v>
      </c>
      <c r="B34" s="5">
        <v>10916.243184469145</v>
      </c>
      <c r="C34" s="5">
        <v>5916.2431844691455</v>
      </c>
      <c r="D34" s="5">
        <v>916.24318446914549</v>
      </c>
      <c r="E34" s="5">
        <v>0</v>
      </c>
      <c r="F34" s="5"/>
      <c r="G34" s="5"/>
      <c r="H34" s="5"/>
      <c r="I34">
        <f>SMALL(CostOverRun!$B$9:$B$108,26)</f>
        <v>3744.5298451466078</v>
      </c>
      <c r="J34">
        <f>1/(COUNT(CostOverRun!$B$9:$B$108)-1)+$J$33</f>
        <v>0.2525252525252526</v>
      </c>
      <c r="K34">
        <f>SMALL(CostOverRun!$C$9:$C$108,26)</f>
        <v>0</v>
      </c>
      <c r="L34">
        <f>1/(COUNT(CostOverRun!$C$9:$C$108)-1)+$L$33</f>
        <v>0.2525252525252526</v>
      </c>
      <c r="M34">
        <f>SMALL(CostOverRun!$D$9:$D$108,26)</f>
        <v>0</v>
      </c>
      <c r="N34">
        <f>1/(COUNT(CostOverRun!$D$9:$D$108)-1)+$N$33</f>
        <v>0.2525252525252526</v>
      </c>
      <c r="O34">
        <f>SMALL(CostOverRun!$E$9:$E$108,26)</f>
        <v>0</v>
      </c>
      <c r="P34">
        <f>1/(COUNT(CostOverRun!$E$9:$E$108)-1)+$P$33</f>
        <v>0.2525252525252526</v>
      </c>
    </row>
    <row r="35" spans="1:16">
      <c r="A35">
        <v>27</v>
      </c>
      <c r="B35" s="5">
        <v>1450.0400939252868</v>
      </c>
      <c r="C35" s="5">
        <v>0</v>
      </c>
      <c r="D35" s="5">
        <v>0</v>
      </c>
      <c r="E35" s="5">
        <v>0</v>
      </c>
      <c r="F35" s="5"/>
      <c r="G35" s="5"/>
      <c r="H35" s="5"/>
      <c r="I35">
        <f>SMALL(CostOverRun!$B$9:$B$108,27)</f>
        <v>4074.7497563251818</v>
      </c>
      <c r="J35">
        <f>1/(COUNT(CostOverRun!$B$9:$B$108)-1)+$J$34</f>
        <v>0.26262626262626271</v>
      </c>
      <c r="K35">
        <f>SMALL(CostOverRun!$C$9:$C$108,27)</f>
        <v>0</v>
      </c>
      <c r="L35">
        <f>1/(COUNT(CostOverRun!$C$9:$C$108)-1)+$L$34</f>
        <v>0.26262626262626271</v>
      </c>
      <c r="M35">
        <f>SMALL(CostOverRun!$D$9:$D$108,27)</f>
        <v>0</v>
      </c>
      <c r="N35">
        <f>1/(COUNT(CostOverRun!$D$9:$D$108)-1)+$N$34</f>
        <v>0.26262626262626271</v>
      </c>
      <c r="O35">
        <f>SMALL(CostOverRun!$E$9:$E$108,27)</f>
        <v>0</v>
      </c>
      <c r="P35">
        <f>1/(COUNT(CostOverRun!$E$9:$E$108)-1)+$P$34</f>
        <v>0.26262626262626271</v>
      </c>
    </row>
    <row r="36" spans="1:16">
      <c r="A36">
        <v>28</v>
      </c>
      <c r="B36" s="5">
        <v>18609.364977834106</v>
      </c>
      <c r="C36" s="5">
        <v>13609.364977834106</v>
      </c>
      <c r="D36" s="5">
        <v>8609.364977834106</v>
      </c>
      <c r="E36" s="5">
        <v>3609.364977834106</v>
      </c>
      <c r="F36" s="5"/>
      <c r="G36" s="5"/>
      <c r="H36" s="5"/>
      <c r="I36">
        <f>SMALL(CostOverRun!$B$9:$B$108,28)</f>
        <v>4076.4475345727114</v>
      </c>
      <c r="J36">
        <f>1/(COUNT(CostOverRun!$B$9:$B$108)-1)+$J$35</f>
        <v>0.27272727272727282</v>
      </c>
      <c r="K36">
        <f>SMALL(CostOverRun!$C$9:$C$108,28)</f>
        <v>0</v>
      </c>
      <c r="L36">
        <f>1/(COUNT(CostOverRun!$C$9:$C$108)-1)+$L$35</f>
        <v>0.27272727272727282</v>
      </c>
      <c r="M36">
        <f>SMALL(CostOverRun!$D$9:$D$108,28)</f>
        <v>0</v>
      </c>
      <c r="N36">
        <f>1/(COUNT(CostOverRun!$D$9:$D$108)-1)+$N$35</f>
        <v>0.27272727272727282</v>
      </c>
      <c r="O36">
        <f>SMALL(CostOverRun!$E$9:$E$108,28)</f>
        <v>0</v>
      </c>
      <c r="P36">
        <f>1/(COUNT(CostOverRun!$E$9:$E$108)-1)+$P$35</f>
        <v>0.27272727272727282</v>
      </c>
    </row>
    <row r="37" spans="1:16">
      <c r="A37">
        <v>29</v>
      </c>
      <c r="B37" s="5">
        <v>8518.0905712384556</v>
      </c>
      <c r="C37" s="5">
        <v>3518.0905712384556</v>
      </c>
      <c r="D37" s="5">
        <v>0</v>
      </c>
      <c r="E37" s="5">
        <v>0</v>
      </c>
      <c r="F37" s="5"/>
      <c r="G37" s="5"/>
      <c r="H37" s="5"/>
      <c r="I37">
        <f>SMALL(CostOverRun!$B$9:$B$108,29)</f>
        <v>4169.6787275537499</v>
      </c>
      <c r="J37">
        <f>1/(COUNT(CostOverRun!$B$9:$B$108)-1)+$J$36</f>
        <v>0.28282828282828293</v>
      </c>
      <c r="K37">
        <f>SMALL(CostOverRun!$C$9:$C$108,29)</f>
        <v>0</v>
      </c>
      <c r="L37">
        <f>1/(COUNT(CostOverRun!$C$9:$C$108)-1)+$L$36</f>
        <v>0.28282828282828293</v>
      </c>
      <c r="M37">
        <f>SMALL(CostOverRun!$D$9:$D$108,29)</f>
        <v>0</v>
      </c>
      <c r="N37">
        <f>1/(COUNT(CostOverRun!$D$9:$D$108)-1)+$N$36</f>
        <v>0.28282828282828293</v>
      </c>
      <c r="O37">
        <f>SMALL(CostOverRun!$E$9:$E$108,29)</f>
        <v>0</v>
      </c>
      <c r="P37">
        <f>1/(COUNT(CostOverRun!$E$9:$E$108)-1)+$P$36</f>
        <v>0.28282828282828293</v>
      </c>
    </row>
    <row r="38" spans="1:16">
      <c r="A38">
        <v>30</v>
      </c>
      <c r="B38" s="5">
        <v>5384.367562832369</v>
      </c>
      <c r="C38" s="5">
        <v>384.367562832369</v>
      </c>
      <c r="D38" s="5">
        <v>0</v>
      </c>
      <c r="E38" s="5">
        <v>0</v>
      </c>
      <c r="F38" s="5"/>
      <c r="G38" s="5"/>
      <c r="H38" s="5"/>
      <c r="I38">
        <f>SMALL(CostOverRun!$B$9:$B$108,30)</f>
        <v>4182.1378586965729</v>
      </c>
      <c r="J38">
        <f>1/(COUNT(CostOverRun!$B$9:$B$108)-1)+$J$37</f>
        <v>0.29292929292929304</v>
      </c>
      <c r="K38">
        <f>SMALL(CostOverRun!$C$9:$C$108,30)</f>
        <v>0</v>
      </c>
      <c r="L38">
        <f>1/(COUNT(CostOverRun!$C$9:$C$108)-1)+$L$37</f>
        <v>0.29292929292929304</v>
      </c>
      <c r="M38">
        <f>SMALL(CostOverRun!$D$9:$D$108,30)</f>
        <v>0</v>
      </c>
      <c r="N38">
        <f>1/(COUNT(CostOverRun!$D$9:$D$108)-1)+$N$37</f>
        <v>0.29292929292929304</v>
      </c>
      <c r="O38">
        <f>SMALL(CostOverRun!$E$9:$E$108,30)</f>
        <v>0</v>
      </c>
      <c r="P38">
        <f>1/(COUNT(CostOverRun!$E$9:$E$108)-1)+$P$37</f>
        <v>0.29292929292929304</v>
      </c>
    </row>
    <row r="39" spans="1:16">
      <c r="A39">
        <v>31</v>
      </c>
      <c r="B39" s="5">
        <v>7361.8939262869826</v>
      </c>
      <c r="C39" s="5">
        <v>2361.8939262869826</v>
      </c>
      <c r="D39" s="5">
        <v>0</v>
      </c>
      <c r="E39" s="5">
        <v>0</v>
      </c>
      <c r="F39" s="5"/>
      <c r="G39" s="5"/>
      <c r="H39" s="5"/>
      <c r="I39">
        <f>SMALL(CostOverRun!$B$9:$B$108,31)</f>
        <v>4667.9437778098218</v>
      </c>
      <c r="J39">
        <f>1/(COUNT(CostOverRun!$B$9:$B$108)-1)+$J$38</f>
        <v>0.30303030303030315</v>
      </c>
      <c r="K39">
        <f>SMALL(CostOverRun!$C$9:$C$108,31)</f>
        <v>0</v>
      </c>
      <c r="L39">
        <f>1/(COUNT(CostOverRun!$C$9:$C$108)-1)+$L$38</f>
        <v>0.30303030303030315</v>
      </c>
      <c r="M39">
        <f>SMALL(CostOverRun!$D$9:$D$108,31)</f>
        <v>0</v>
      </c>
      <c r="N39">
        <f>1/(COUNT(CostOverRun!$D$9:$D$108)-1)+$N$38</f>
        <v>0.30303030303030315</v>
      </c>
      <c r="O39">
        <f>SMALL(CostOverRun!$E$9:$E$108,31)</f>
        <v>0</v>
      </c>
      <c r="P39">
        <f>1/(COUNT(CostOverRun!$E$9:$E$108)-1)+$P$38</f>
        <v>0.30303030303030315</v>
      </c>
    </row>
    <row r="40" spans="1:16">
      <c r="A40">
        <v>32</v>
      </c>
      <c r="B40" s="5">
        <v>15286.55427994515</v>
      </c>
      <c r="C40" s="5">
        <v>10286.55427994515</v>
      </c>
      <c r="D40" s="5">
        <v>5286.5542799451505</v>
      </c>
      <c r="E40" s="5">
        <v>286.55427994515048</v>
      </c>
      <c r="F40" s="5"/>
      <c r="G40" s="5"/>
      <c r="H40" s="5"/>
      <c r="I40">
        <f>SMALL(CostOverRun!$B$9:$B$108,32)</f>
        <v>4674.3953724657476</v>
      </c>
      <c r="J40">
        <f>1/(COUNT(CostOverRun!$B$9:$B$108)-1)+$J$39</f>
        <v>0.31313131313131326</v>
      </c>
      <c r="K40">
        <f>SMALL(CostOverRun!$C$9:$C$108,32)</f>
        <v>0</v>
      </c>
      <c r="L40">
        <f>1/(COUNT(CostOverRun!$C$9:$C$108)-1)+$L$39</f>
        <v>0.31313131313131326</v>
      </c>
      <c r="M40">
        <f>SMALL(CostOverRun!$D$9:$D$108,32)</f>
        <v>0</v>
      </c>
      <c r="N40">
        <f>1/(COUNT(CostOverRun!$D$9:$D$108)-1)+$N$39</f>
        <v>0.31313131313131326</v>
      </c>
      <c r="O40">
        <f>SMALL(CostOverRun!$E$9:$E$108,32)</f>
        <v>0</v>
      </c>
      <c r="P40">
        <f>1/(COUNT(CostOverRun!$E$9:$E$108)-1)+$P$39</f>
        <v>0.31313131313131326</v>
      </c>
    </row>
    <row r="41" spans="1:16">
      <c r="A41">
        <v>33</v>
      </c>
      <c r="B41" s="5">
        <v>16560.081812159653</v>
      </c>
      <c r="C41" s="5">
        <v>11560.081812159653</v>
      </c>
      <c r="D41" s="5">
        <v>6560.0818121596531</v>
      </c>
      <c r="E41" s="5">
        <v>1560.0818121596531</v>
      </c>
      <c r="F41" s="5"/>
      <c r="G41" s="5"/>
      <c r="H41" s="5"/>
      <c r="I41">
        <f>SMALL(CostOverRun!$B$9:$B$108,33)</f>
        <v>4677.9068960305885</v>
      </c>
      <c r="J41">
        <f>1/(COUNT(CostOverRun!$B$9:$B$108)-1)+$J$40</f>
        <v>0.32323232323232337</v>
      </c>
      <c r="K41">
        <f>SMALL(CostOverRun!$C$9:$C$108,33)</f>
        <v>0</v>
      </c>
      <c r="L41">
        <f>1/(COUNT(CostOverRun!$C$9:$C$108)-1)+$L$40</f>
        <v>0.32323232323232337</v>
      </c>
      <c r="M41">
        <f>SMALL(CostOverRun!$D$9:$D$108,33)</f>
        <v>0</v>
      </c>
      <c r="N41">
        <f>1/(COUNT(CostOverRun!$D$9:$D$108)-1)+$N$40</f>
        <v>0.32323232323232337</v>
      </c>
      <c r="O41">
        <f>SMALL(CostOverRun!$E$9:$E$108,33)</f>
        <v>0</v>
      </c>
      <c r="P41">
        <f>1/(COUNT(CostOverRun!$E$9:$E$108)-1)+$P$40</f>
        <v>0.32323232323232337</v>
      </c>
    </row>
    <row r="42" spans="1:16">
      <c r="A42">
        <v>34</v>
      </c>
      <c r="B42" s="5">
        <v>7600.3884709141566</v>
      </c>
      <c r="C42" s="5">
        <v>2600.3884709141566</v>
      </c>
      <c r="D42" s="5">
        <v>0</v>
      </c>
      <c r="E42" s="5">
        <v>0</v>
      </c>
      <c r="F42" s="5"/>
      <c r="G42" s="5"/>
      <c r="H42" s="5"/>
      <c r="I42">
        <f>SMALL(CostOverRun!$B$9:$B$108,34)</f>
        <v>5371.5593638547289</v>
      </c>
      <c r="J42">
        <f>1/(COUNT(CostOverRun!$B$9:$B$108)-1)+$J$41</f>
        <v>0.33333333333333348</v>
      </c>
      <c r="K42">
        <f>SMALL(CostOverRun!$C$9:$C$108,34)</f>
        <v>371.55936385472887</v>
      </c>
      <c r="L42">
        <f>1/(COUNT(CostOverRun!$C$9:$C$108)-1)+$L$41</f>
        <v>0.33333333333333348</v>
      </c>
      <c r="M42">
        <f>SMALL(CostOverRun!$D$9:$D$108,34)</f>
        <v>0</v>
      </c>
      <c r="N42">
        <f>1/(COUNT(CostOverRun!$D$9:$D$108)-1)+$N$41</f>
        <v>0.33333333333333348</v>
      </c>
      <c r="O42">
        <f>SMALL(CostOverRun!$E$9:$E$108,34)</f>
        <v>0</v>
      </c>
      <c r="P42">
        <f>1/(COUNT(CostOverRun!$E$9:$E$108)-1)+$P$41</f>
        <v>0.33333333333333348</v>
      </c>
    </row>
    <row r="43" spans="1:16">
      <c r="A43">
        <v>35</v>
      </c>
      <c r="B43" s="5">
        <v>0</v>
      </c>
      <c r="C43" s="5">
        <v>0</v>
      </c>
      <c r="D43" s="5">
        <v>0</v>
      </c>
      <c r="E43" s="5">
        <v>0</v>
      </c>
      <c r="F43" s="5"/>
      <c r="G43" s="5"/>
      <c r="H43" s="5"/>
      <c r="I43">
        <f>SMALL(CostOverRun!$B$9:$B$108,35)</f>
        <v>5384.367562832369</v>
      </c>
      <c r="J43">
        <f>1/(COUNT(CostOverRun!$B$9:$B$108)-1)+$J$42</f>
        <v>0.34343434343434359</v>
      </c>
      <c r="K43">
        <f>SMALL(CostOverRun!$C$9:$C$108,35)</f>
        <v>384.367562832369</v>
      </c>
      <c r="L43">
        <f>1/(COUNT(CostOverRun!$C$9:$C$108)-1)+$L$42</f>
        <v>0.34343434343434359</v>
      </c>
      <c r="M43">
        <f>SMALL(CostOverRun!$D$9:$D$108,35)</f>
        <v>0</v>
      </c>
      <c r="N43">
        <f>1/(COUNT(CostOverRun!$D$9:$D$108)-1)+$N$42</f>
        <v>0.34343434343434359</v>
      </c>
      <c r="O43">
        <f>SMALL(CostOverRun!$E$9:$E$108,35)</f>
        <v>0</v>
      </c>
      <c r="P43">
        <f>1/(COUNT(CostOverRun!$E$9:$E$108)-1)+$P$42</f>
        <v>0.34343434343434359</v>
      </c>
    </row>
    <row r="44" spans="1:16">
      <c r="A44">
        <v>36</v>
      </c>
      <c r="B44" s="5">
        <v>11885.848612591915</v>
      </c>
      <c r="C44" s="5">
        <v>6885.8486125919153</v>
      </c>
      <c r="D44" s="5">
        <v>1885.8486125919153</v>
      </c>
      <c r="E44" s="5">
        <v>0</v>
      </c>
      <c r="F44" s="5"/>
      <c r="G44" s="5"/>
      <c r="H44" s="5"/>
      <c r="I44">
        <f>SMALL(CostOverRun!$B$9:$B$108,36)</f>
        <v>5494.295404477627</v>
      </c>
      <c r="J44">
        <f>1/(COUNT(CostOverRun!$B$9:$B$108)-1)+$J$43</f>
        <v>0.3535353535353537</v>
      </c>
      <c r="K44">
        <f>SMALL(CostOverRun!$C$9:$C$108,36)</f>
        <v>494.29540447762702</v>
      </c>
      <c r="L44">
        <f>1/(COUNT(CostOverRun!$C$9:$C$108)-1)+$L$43</f>
        <v>0.3535353535353537</v>
      </c>
      <c r="M44">
        <f>SMALL(CostOverRun!$D$9:$D$108,36)</f>
        <v>0</v>
      </c>
      <c r="N44">
        <f>1/(COUNT(CostOverRun!$D$9:$D$108)-1)+$N$43</f>
        <v>0.3535353535353537</v>
      </c>
      <c r="O44">
        <f>SMALL(CostOverRun!$E$9:$E$108,36)</f>
        <v>0</v>
      </c>
      <c r="P44">
        <f>1/(COUNT(CostOverRun!$E$9:$E$108)-1)+$P$43</f>
        <v>0.3535353535353537</v>
      </c>
    </row>
    <row r="45" spans="1:16">
      <c r="A45">
        <v>37</v>
      </c>
      <c r="B45" s="5">
        <v>6611.2818866828165</v>
      </c>
      <c r="C45" s="5">
        <v>1611.2818866828165</v>
      </c>
      <c r="D45" s="5">
        <v>0</v>
      </c>
      <c r="E45" s="5">
        <v>0</v>
      </c>
      <c r="F45" s="5"/>
      <c r="G45" s="5"/>
      <c r="H45" s="5"/>
      <c r="I45">
        <f>SMALL(CostOverRun!$B$9:$B$108,37)</f>
        <v>5719.1145763120148</v>
      </c>
      <c r="J45">
        <f>1/(COUNT(CostOverRun!$B$9:$B$108)-1)+$J$44</f>
        <v>0.36363636363636381</v>
      </c>
      <c r="K45">
        <f>SMALL(CostOverRun!$C$9:$C$108,37)</f>
        <v>719.11457631201483</v>
      </c>
      <c r="L45">
        <f>1/(COUNT(CostOverRun!$C$9:$C$108)-1)+$L$44</f>
        <v>0.36363636363636381</v>
      </c>
      <c r="M45">
        <f>SMALL(CostOverRun!$D$9:$D$108,37)</f>
        <v>0</v>
      </c>
      <c r="N45">
        <f>1/(COUNT(CostOverRun!$D$9:$D$108)-1)+$N$44</f>
        <v>0.36363636363636381</v>
      </c>
      <c r="O45">
        <f>SMALL(CostOverRun!$E$9:$E$108,37)</f>
        <v>0</v>
      </c>
      <c r="P45">
        <f>1/(COUNT(CostOverRun!$E$9:$E$108)-1)+$P$44</f>
        <v>0.36363636363636381</v>
      </c>
    </row>
    <row r="46" spans="1:16">
      <c r="A46">
        <v>38</v>
      </c>
      <c r="B46" s="5">
        <v>18996.948947996658</v>
      </c>
      <c r="C46" s="5">
        <v>13996.948947996658</v>
      </c>
      <c r="D46" s="5">
        <v>8996.9489479966578</v>
      </c>
      <c r="E46" s="5">
        <v>3996.9489479966578</v>
      </c>
      <c r="F46" s="5"/>
      <c r="G46" s="5"/>
      <c r="H46" s="5"/>
      <c r="I46">
        <f>SMALL(CostOverRun!$B$9:$B$108,38)</f>
        <v>5983.5382929583138</v>
      </c>
      <c r="J46">
        <f>1/(COUNT(CostOverRun!$B$9:$B$108)-1)+$J$45</f>
        <v>0.37373737373737392</v>
      </c>
      <c r="K46">
        <f>SMALL(CostOverRun!$C$9:$C$108,38)</f>
        <v>983.53829295831383</v>
      </c>
      <c r="L46">
        <f>1/(COUNT(CostOverRun!$C$9:$C$108)-1)+$L$45</f>
        <v>0.37373737373737392</v>
      </c>
      <c r="M46">
        <f>SMALL(CostOverRun!$D$9:$D$108,38)</f>
        <v>0</v>
      </c>
      <c r="N46">
        <f>1/(COUNT(CostOverRun!$D$9:$D$108)-1)+$N$45</f>
        <v>0.37373737373737392</v>
      </c>
      <c r="O46">
        <f>SMALL(CostOverRun!$E$9:$E$108,38)</f>
        <v>0</v>
      </c>
      <c r="P46">
        <f>1/(COUNT(CostOverRun!$E$9:$E$108)-1)+$P$45</f>
        <v>0.37373737373737392</v>
      </c>
    </row>
    <row r="47" spans="1:16">
      <c r="A47">
        <v>39</v>
      </c>
      <c r="B47" s="5">
        <v>4169.6787275537499</v>
      </c>
      <c r="C47" s="5">
        <v>0</v>
      </c>
      <c r="D47" s="5">
        <v>0</v>
      </c>
      <c r="E47" s="5">
        <v>0</v>
      </c>
      <c r="F47" s="5"/>
      <c r="G47" s="5"/>
      <c r="H47" s="5"/>
      <c r="I47">
        <f>SMALL(CostOverRun!$B$9:$B$108,39)</f>
        <v>6131.1722179507487</v>
      </c>
      <c r="J47">
        <f>1/(COUNT(CostOverRun!$B$9:$B$108)-1)+$J$46</f>
        <v>0.38383838383838403</v>
      </c>
      <c r="K47">
        <f>SMALL(CostOverRun!$C$9:$C$108,39)</f>
        <v>1131.1722179507487</v>
      </c>
      <c r="L47">
        <f>1/(COUNT(CostOverRun!$C$9:$C$108)-1)+$L$46</f>
        <v>0.38383838383838403</v>
      </c>
      <c r="M47">
        <f>SMALL(CostOverRun!$D$9:$D$108,39)</f>
        <v>0</v>
      </c>
      <c r="N47">
        <f>1/(COUNT(CostOverRun!$D$9:$D$108)-1)+$N$46</f>
        <v>0.38383838383838403</v>
      </c>
      <c r="O47">
        <f>SMALL(CostOverRun!$E$9:$E$108,39)</f>
        <v>0</v>
      </c>
      <c r="P47">
        <f>1/(COUNT(CostOverRun!$E$9:$E$108)-1)+$P$46</f>
        <v>0.38383838383838403</v>
      </c>
    </row>
    <row r="48" spans="1:16">
      <c r="A48">
        <v>40</v>
      </c>
      <c r="B48" s="5">
        <v>5983.5382929583138</v>
      </c>
      <c r="C48" s="5">
        <v>983.53829295831383</v>
      </c>
      <c r="D48" s="5">
        <v>0</v>
      </c>
      <c r="E48" s="5">
        <v>0</v>
      </c>
      <c r="F48" s="5"/>
      <c r="G48" s="5"/>
      <c r="H48" s="5"/>
      <c r="I48">
        <f>SMALL(CostOverRun!$B$9:$B$108,40)</f>
        <v>6181.7471396319161</v>
      </c>
      <c r="J48">
        <f>1/(COUNT(CostOverRun!$B$9:$B$108)-1)+$J$47</f>
        <v>0.39393939393939414</v>
      </c>
      <c r="K48">
        <f>SMALL(CostOverRun!$C$9:$C$108,40)</f>
        <v>1181.7471396319161</v>
      </c>
      <c r="L48">
        <f>1/(COUNT(CostOverRun!$C$9:$C$108)-1)+$L$47</f>
        <v>0.39393939393939414</v>
      </c>
      <c r="M48">
        <f>SMALL(CostOverRun!$D$9:$D$108,40)</f>
        <v>0</v>
      </c>
      <c r="N48">
        <f>1/(COUNT(CostOverRun!$D$9:$D$108)-1)+$N$47</f>
        <v>0.39393939393939414</v>
      </c>
      <c r="O48">
        <f>SMALL(CostOverRun!$E$9:$E$108,40)</f>
        <v>0</v>
      </c>
      <c r="P48">
        <f>1/(COUNT(CostOverRun!$E$9:$E$108)-1)+$P$47</f>
        <v>0.39393939393939414</v>
      </c>
    </row>
    <row r="49" spans="1:16">
      <c r="A49">
        <v>41</v>
      </c>
      <c r="B49" s="5">
        <v>12137.688956692495</v>
      </c>
      <c r="C49" s="5">
        <v>7137.6889566924947</v>
      </c>
      <c r="D49" s="5">
        <v>2137.6889566924947</v>
      </c>
      <c r="E49" s="5">
        <v>0</v>
      </c>
      <c r="F49" s="5"/>
      <c r="G49" s="5"/>
      <c r="H49" s="5"/>
      <c r="I49">
        <f>SMALL(CostOverRun!$B$9:$B$108,41)</f>
        <v>6396.5102391408291</v>
      </c>
      <c r="J49">
        <f>1/(COUNT(CostOverRun!$B$9:$B$108)-1)+$J$48</f>
        <v>0.40404040404040426</v>
      </c>
      <c r="K49">
        <f>SMALL(CostOverRun!$C$9:$C$108,41)</f>
        <v>1396.5102391408291</v>
      </c>
      <c r="L49">
        <f>1/(COUNT(CostOverRun!$C$9:$C$108)-1)+$L$48</f>
        <v>0.40404040404040426</v>
      </c>
      <c r="M49">
        <f>SMALL(CostOverRun!$D$9:$D$108,41)</f>
        <v>0</v>
      </c>
      <c r="N49">
        <f>1/(COUNT(CostOverRun!$D$9:$D$108)-1)+$N$48</f>
        <v>0.40404040404040426</v>
      </c>
      <c r="O49">
        <f>SMALL(CostOverRun!$E$9:$E$108,41)</f>
        <v>0</v>
      </c>
      <c r="P49">
        <f>1/(COUNT(CostOverRun!$E$9:$E$108)-1)+$P$48</f>
        <v>0.40404040404040426</v>
      </c>
    </row>
    <row r="50" spans="1:16">
      <c r="A50">
        <v>42</v>
      </c>
      <c r="B50" s="5">
        <v>4674.3953724657476</v>
      </c>
      <c r="C50" s="5">
        <v>0</v>
      </c>
      <c r="D50" s="5">
        <v>0</v>
      </c>
      <c r="E50" s="5">
        <v>0</v>
      </c>
      <c r="F50" s="5"/>
      <c r="G50" s="5"/>
      <c r="H50" s="5"/>
      <c r="I50">
        <f>SMALL(CostOverRun!$B$9:$B$108,42)</f>
        <v>6574.0792478449875</v>
      </c>
      <c r="J50">
        <f>1/(COUNT(CostOverRun!$B$9:$B$108)-1)+$J$49</f>
        <v>0.41414141414141437</v>
      </c>
      <c r="K50">
        <f>SMALL(CostOverRun!$C$9:$C$108,42)</f>
        <v>1574.0792478449875</v>
      </c>
      <c r="L50">
        <f>1/(COUNT(CostOverRun!$C$9:$C$108)-1)+$L$49</f>
        <v>0.41414141414141437</v>
      </c>
      <c r="M50">
        <f>SMALL(CostOverRun!$D$9:$D$108,42)</f>
        <v>0</v>
      </c>
      <c r="N50">
        <f>1/(COUNT(CostOverRun!$D$9:$D$108)-1)+$N$49</f>
        <v>0.41414141414141437</v>
      </c>
      <c r="O50">
        <f>SMALL(CostOverRun!$E$9:$E$108,42)</f>
        <v>0</v>
      </c>
      <c r="P50">
        <f>1/(COUNT(CostOverRun!$E$9:$E$108)-1)+$P$49</f>
        <v>0.41414141414141437</v>
      </c>
    </row>
    <row r="51" spans="1:16">
      <c r="A51">
        <v>43</v>
      </c>
      <c r="B51" s="5">
        <v>4074.7497563251818</v>
      </c>
      <c r="C51" s="5">
        <v>0</v>
      </c>
      <c r="D51" s="5">
        <v>0</v>
      </c>
      <c r="E51" s="5">
        <v>0</v>
      </c>
      <c r="F51" s="5"/>
      <c r="G51" s="5"/>
      <c r="H51" s="5"/>
      <c r="I51">
        <f>SMALL(CostOverRun!$B$9:$B$108,43)</f>
        <v>6611.2818866828165</v>
      </c>
      <c r="J51">
        <f>1/(COUNT(CostOverRun!$B$9:$B$108)-1)+$J$50</f>
        <v>0.42424242424242448</v>
      </c>
      <c r="K51">
        <f>SMALL(CostOverRun!$C$9:$C$108,43)</f>
        <v>1611.2818866828165</v>
      </c>
      <c r="L51">
        <f>1/(COUNT(CostOverRun!$C$9:$C$108)-1)+$L$50</f>
        <v>0.42424242424242448</v>
      </c>
      <c r="M51">
        <f>SMALL(CostOverRun!$D$9:$D$108,43)</f>
        <v>0</v>
      </c>
      <c r="N51">
        <f>1/(COUNT(CostOverRun!$D$9:$D$108)-1)+$N$50</f>
        <v>0.42424242424242448</v>
      </c>
      <c r="O51">
        <f>SMALL(CostOverRun!$E$9:$E$108,43)</f>
        <v>0</v>
      </c>
      <c r="P51">
        <f>1/(COUNT(CostOverRun!$E$9:$E$108)-1)+$P$50</f>
        <v>0.42424242424242448</v>
      </c>
    </row>
    <row r="52" spans="1:16">
      <c r="A52">
        <v>44</v>
      </c>
      <c r="B52" s="5">
        <v>7963.025590943842</v>
      </c>
      <c r="C52" s="5">
        <v>2963.025590943842</v>
      </c>
      <c r="D52" s="5">
        <v>0</v>
      </c>
      <c r="E52" s="5">
        <v>0</v>
      </c>
      <c r="F52" s="5"/>
      <c r="G52" s="5"/>
      <c r="H52" s="5"/>
      <c r="I52">
        <f>SMALL(CostOverRun!$B$9:$B$108,44)</f>
        <v>7109.0876553102571</v>
      </c>
      <c r="J52">
        <f>1/(COUNT(CostOverRun!$B$9:$B$108)-1)+$J$51</f>
        <v>0.43434343434343459</v>
      </c>
      <c r="K52">
        <f>SMALL(CostOverRun!$C$9:$C$108,44)</f>
        <v>2109.0876553102571</v>
      </c>
      <c r="L52">
        <f>1/(COUNT(CostOverRun!$C$9:$C$108)-1)+$L$51</f>
        <v>0.43434343434343459</v>
      </c>
      <c r="M52">
        <f>SMALL(CostOverRun!$D$9:$D$108,44)</f>
        <v>0</v>
      </c>
      <c r="N52">
        <f>1/(COUNT(CostOverRun!$D$9:$D$108)-1)+$N$51</f>
        <v>0.43434343434343459</v>
      </c>
      <c r="O52">
        <f>SMALL(CostOverRun!$E$9:$E$108,44)</f>
        <v>0</v>
      </c>
      <c r="P52">
        <f>1/(COUNT(CostOverRun!$E$9:$E$108)-1)+$P$51</f>
        <v>0.43434343434343459</v>
      </c>
    </row>
    <row r="53" spans="1:16">
      <c r="A53">
        <v>45</v>
      </c>
      <c r="B53" s="5">
        <v>19156.049630939378</v>
      </c>
      <c r="C53" s="5">
        <v>14156.049630939378</v>
      </c>
      <c r="D53" s="5">
        <v>9156.0496309393784</v>
      </c>
      <c r="E53" s="5">
        <v>4156.0496309393784</v>
      </c>
      <c r="F53" s="5"/>
      <c r="G53" s="5"/>
      <c r="H53" s="5"/>
      <c r="I53">
        <f>SMALL(CostOverRun!$B$9:$B$108,45)</f>
        <v>7313.59434659619</v>
      </c>
      <c r="J53">
        <f>1/(COUNT(CostOverRun!$B$9:$B$108)-1)+$J$52</f>
        <v>0.4444444444444447</v>
      </c>
      <c r="K53">
        <f>SMALL(CostOverRun!$C$9:$C$108,45)</f>
        <v>2313.59434659619</v>
      </c>
      <c r="L53">
        <f>1/(COUNT(CostOverRun!$C$9:$C$108)-1)+$L$52</f>
        <v>0.4444444444444447</v>
      </c>
      <c r="M53">
        <f>SMALL(CostOverRun!$D$9:$D$108,45)</f>
        <v>0</v>
      </c>
      <c r="N53">
        <f>1/(COUNT(CostOverRun!$D$9:$D$108)-1)+$N$52</f>
        <v>0.4444444444444447</v>
      </c>
      <c r="O53">
        <f>SMALL(CostOverRun!$E$9:$E$108,45)</f>
        <v>0</v>
      </c>
      <c r="P53">
        <f>1/(COUNT(CostOverRun!$E$9:$E$108)-1)+$P$52</f>
        <v>0.4444444444444447</v>
      </c>
    </row>
    <row r="54" spans="1:16">
      <c r="A54">
        <v>46</v>
      </c>
      <c r="B54" s="5">
        <v>14362.516985458351</v>
      </c>
      <c r="C54" s="5">
        <v>9362.516985458351</v>
      </c>
      <c r="D54" s="5">
        <v>4362.516985458351</v>
      </c>
      <c r="E54" s="5">
        <v>0</v>
      </c>
      <c r="F54" s="5"/>
      <c r="G54" s="5"/>
      <c r="H54" s="5"/>
      <c r="I54">
        <f>SMALL(CostOverRun!$B$9:$B$108,46)</f>
        <v>7361.8939262869826</v>
      </c>
      <c r="J54">
        <f>1/(COUNT(CostOverRun!$B$9:$B$108)-1)+$J$53</f>
        <v>0.45454545454545481</v>
      </c>
      <c r="K54">
        <f>SMALL(CostOverRun!$C$9:$C$108,46)</f>
        <v>2361.8939262869826</v>
      </c>
      <c r="L54">
        <f>1/(COUNT(CostOverRun!$C$9:$C$108)-1)+$L$53</f>
        <v>0.45454545454545481</v>
      </c>
      <c r="M54">
        <f>SMALL(CostOverRun!$D$9:$D$108,46)</f>
        <v>0</v>
      </c>
      <c r="N54">
        <f>1/(COUNT(CostOverRun!$D$9:$D$108)-1)+$N$53</f>
        <v>0.45454545454545481</v>
      </c>
      <c r="O54">
        <f>SMALL(CostOverRun!$E$9:$E$108,46)</f>
        <v>0</v>
      </c>
      <c r="P54">
        <f>1/(COUNT(CostOverRun!$E$9:$E$108)-1)+$P$53</f>
        <v>0.45454545454545481</v>
      </c>
    </row>
    <row r="55" spans="1:16">
      <c r="A55">
        <v>47</v>
      </c>
      <c r="B55" s="5">
        <v>9234.8770511723706</v>
      </c>
      <c r="C55" s="5">
        <v>4234.8770511723706</v>
      </c>
      <c r="D55" s="5">
        <v>0</v>
      </c>
      <c r="E55" s="5">
        <v>0</v>
      </c>
      <c r="F55" s="5"/>
      <c r="G55" s="5"/>
      <c r="H55" s="5"/>
      <c r="I55">
        <f>SMALL(CostOverRun!$B$9:$B$108,47)</f>
        <v>7449.6164435998653</v>
      </c>
      <c r="J55">
        <f>1/(COUNT(CostOverRun!$B$9:$B$108)-1)+$J$54</f>
        <v>0.46464646464646492</v>
      </c>
      <c r="K55">
        <f>SMALL(CostOverRun!$C$9:$C$108,47)</f>
        <v>2449.6164435998653</v>
      </c>
      <c r="L55">
        <f>1/(COUNT(CostOverRun!$C$9:$C$108)-1)+$L$54</f>
        <v>0.46464646464646492</v>
      </c>
      <c r="M55">
        <f>SMALL(CostOverRun!$D$9:$D$108,47)</f>
        <v>0</v>
      </c>
      <c r="N55">
        <f>1/(COUNT(CostOverRun!$D$9:$D$108)-1)+$N$54</f>
        <v>0.46464646464646492</v>
      </c>
      <c r="O55">
        <f>SMALL(CostOverRun!$E$9:$E$108,47)</f>
        <v>0</v>
      </c>
      <c r="P55">
        <f>1/(COUNT(CostOverRun!$E$9:$E$108)-1)+$P$54</f>
        <v>0.46464646464646492</v>
      </c>
    </row>
    <row r="56" spans="1:16">
      <c r="A56">
        <v>48</v>
      </c>
      <c r="B56" s="5">
        <v>11064.16334926468</v>
      </c>
      <c r="C56" s="5">
        <v>6064.1633492646797</v>
      </c>
      <c r="D56" s="5">
        <v>1064.1633492646797</v>
      </c>
      <c r="E56" s="5">
        <v>0</v>
      </c>
      <c r="F56" s="5"/>
      <c r="G56" s="5"/>
      <c r="H56" s="5"/>
      <c r="I56">
        <f>SMALL(CostOverRun!$B$9:$B$108,48)</f>
        <v>7517.3780931396177</v>
      </c>
      <c r="J56">
        <f>1/(COUNT(CostOverRun!$B$9:$B$108)-1)+$J$55</f>
        <v>0.47474747474747503</v>
      </c>
      <c r="K56">
        <f>SMALL(CostOverRun!$C$9:$C$108,48)</f>
        <v>2517.3780931396177</v>
      </c>
      <c r="L56">
        <f>1/(COUNT(CostOverRun!$C$9:$C$108)-1)+$L$55</f>
        <v>0.47474747474747503</v>
      </c>
      <c r="M56">
        <f>SMALL(CostOverRun!$D$9:$D$108,48)</f>
        <v>0</v>
      </c>
      <c r="N56">
        <f>1/(COUNT(CostOverRun!$D$9:$D$108)-1)+$N$55</f>
        <v>0.47474747474747503</v>
      </c>
      <c r="O56">
        <f>SMALL(CostOverRun!$E$9:$E$108,48)</f>
        <v>0</v>
      </c>
      <c r="P56">
        <f>1/(COUNT(CostOverRun!$E$9:$E$108)-1)+$P$55</f>
        <v>0.47474747474747503</v>
      </c>
    </row>
    <row r="57" spans="1:16">
      <c r="A57">
        <v>49</v>
      </c>
      <c r="B57" s="5">
        <v>14673.112683363608</v>
      </c>
      <c r="C57" s="5">
        <v>9673.1126833636081</v>
      </c>
      <c r="D57" s="5">
        <v>4673.1126833636081</v>
      </c>
      <c r="E57" s="5">
        <v>0</v>
      </c>
      <c r="F57" s="5"/>
      <c r="G57" s="5"/>
      <c r="H57" s="5"/>
      <c r="I57">
        <f>SMALL(CostOverRun!$B$9:$B$108,49)</f>
        <v>7600.3884709141566</v>
      </c>
      <c r="J57">
        <f>1/(COUNT(CostOverRun!$B$9:$B$108)-1)+$J$56</f>
        <v>0.48484848484848514</v>
      </c>
      <c r="K57">
        <f>SMALL(CostOverRun!$C$9:$C$108,49)</f>
        <v>2600.3884709141566</v>
      </c>
      <c r="L57">
        <f>1/(COUNT(CostOverRun!$C$9:$C$108)-1)+$L$56</f>
        <v>0.48484848484848514</v>
      </c>
      <c r="M57">
        <f>SMALL(CostOverRun!$D$9:$D$108,49)</f>
        <v>0</v>
      </c>
      <c r="N57">
        <f>1/(COUNT(CostOverRun!$D$9:$D$108)-1)+$N$56</f>
        <v>0.48484848484848514</v>
      </c>
      <c r="O57">
        <f>SMALL(CostOverRun!$E$9:$E$108,49)</f>
        <v>0</v>
      </c>
      <c r="P57">
        <f>1/(COUNT(CostOverRun!$E$9:$E$108)-1)+$P$56</f>
        <v>0.48484848484848514</v>
      </c>
    </row>
    <row r="58" spans="1:16">
      <c r="A58">
        <v>50</v>
      </c>
      <c r="B58" s="5">
        <v>19190.544308286917</v>
      </c>
      <c r="C58" s="5">
        <v>14190.544308286917</v>
      </c>
      <c r="D58" s="5">
        <v>9190.5443082869169</v>
      </c>
      <c r="E58" s="5">
        <v>4190.5443082869169</v>
      </c>
      <c r="F58" s="5"/>
      <c r="G58" s="5"/>
      <c r="H58" s="5"/>
      <c r="I58">
        <f>SMALL(CostOverRun!$B$9:$B$108,50)</f>
        <v>7960.9961257153482</v>
      </c>
      <c r="J58">
        <f>1/(COUNT(CostOverRun!$B$9:$B$108)-1)+$J$57</f>
        <v>0.49494949494949525</v>
      </c>
      <c r="K58">
        <f>SMALL(CostOverRun!$C$9:$C$108,50)</f>
        <v>2960.9961257153482</v>
      </c>
      <c r="L58">
        <f>1/(COUNT(CostOverRun!$C$9:$C$108)-1)+$L$57</f>
        <v>0.49494949494949525</v>
      </c>
      <c r="M58">
        <f>SMALL(CostOverRun!$D$9:$D$108,50)</f>
        <v>0</v>
      </c>
      <c r="N58">
        <f>1/(COUNT(CostOverRun!$D$9:$D$108)-1)+$N$57</f>
        <v>0.49494949494949525</v>
      </c>
      <c r="O58">
        <f>SMALL(CostOverRun!$E$9:$E$108,50)</f>
        <v>0</v>
      </c>
      <c r="P58">
        <f>1/(COUNT(CostOverRun!$E$9:$E$108)-1)+$P$57</f>
        <v>0.49494949494949525</v>
      </c>
    </row>
    <row r="59" spans="1:16">
      <c r="A59">
        <v>51</v>
      </c>
      <c r="B59" s="5">
        <v>3318.082898473338</v>
      </c>
      <c r="C59" s="5">
        <v>0</v>
      </c>
      <c r="D59" s="5">
        <v>0</v>
      </c>
      <c r="E59" s="5">
        <v>0</v>
      </c>
      <c r="F59" s="5"/>
      <c r="G59" s="5"/>
      <c r="H59" s="5"/>
      <c r="I59">
        <f>SMALL(CostOverRun!$B$9:$B$108,51)</f>
        <v>7963.025590943842</v>
      </c>
      <c r="J59">
        <f>1/(COUNT(CostOverRun!$B$9:$B$108)-1)+$J$58</f>
        <v>0.50505050505050531</v>
      </c>
      <c r="K59">
        <f>SMALL(CostOverRun!$C$9:$C$108,51)</f>
        <v>2963.025590943842</v>
      </c>
      <c r="L59">
        <f>1/(COUNT(CostOverRun!$C$9:$C$108)-1)+$L$58</f>
        <v>0.50505050505050531</v>
      </c>
      <c r="M59">
        <f>SMALL(CostOverRun!$D$9:$D$108,51)</f>
        <v>0</v>
      </c>
      <c r="N59">
        <f>1/(COUNT(CostOverRun!$D$9:$D$108)-1)+$N$58</f>
        <v>0.50505050505050531</v>
      </c>
      <c r="O59">
        <f>SMALL(CostOverRun!$E$9:$E$108,51)</f>
        <v>0</v>
      </c>
      <c r="P59">
        <f>1/(COUNT(CostOverRun!$E$9:$E$108)-1)+$P$58</f>
        <v>0.50505050505050531</v>
      </c>
    </row>
    <row r="60" spans="1:16">
      <c r="A60">
        <v>52</v>
      </c>
      <c r="B60" s="5">
        <v>2372.9555230995466</v>
      </c>
      <c r="C60" s="5">
        <v>0</v>
      </c>
      <c r="D60" s="5">
        <v>0</v>
      </c>
      <c r="E60" s="5">
        <v>0</v>
      </c>
      <c r="F60" s="5"/>
      <c r="G60" s="5"/>
      <c r="H60" s="5"/>
      <c r="I60">
        <f>SMALL(CostOverRun!$B$9:$B$108,52)</f>
        <v>8063.9373334978882</v>
      </c>
      <c r="J60">
        <f>1/(COUNT(CostOverRun!$B$9:$B$108)-1)+$J$59</f>
        <v>0.51515151515151536</v>
      </c>
      <c r="K60">
        <f>SMALL(CostOverRun!$C$9:$C$108,52)</f>
        <v>3063.9373334978882</v>
      </c>
      <c r="L60">
        <f>1/(COUNT(CostOverRun!$C$9:$C$108)-1)+$L$59</f>
        <v>0.51515151515151536</v>
      </c>
      <c r="M60">
        <f>SMALL(CostOverRun!$D$9:$D$108,52)</f>
        <v>0</v>
      </c>
      <c r="N60">
        <f>1/(COUNT(CostOverRun!$D$9:$D$108)-1)+$N$59</f>
        <v>0.51515151515151536</v>
      </c>
      <c r="O60">
        <f>SMALL(CostOverRun!$E$9:$E$108,52)</f>
        <v>0</v>
      </c>
      <c r="P60">
        <f>1/(COUNT(CostOverRun!$E$9:$E$108)-1)+$P$59</f>
        <v>0.51515151515151536</v>
      </c>
    </row>
    <row r="61" spans="1:16">
      <c r="A61">
        <v>53</v>
      </c>
      <c r="B61" s="5">
        <v>19417.885407044174</v>
      </c>
      <c r="C61" s="5">
        <v>14417.885407044174</v>
      </c>
      <c r="D61" s="5">
        <v>9417.8854070441739</v>
      </c>
      <c r="E61" s="5">
        <v>4417.8854070441739</v>
      </c>
      <c r="F61" s="5"/>
      <c r="G61" s="5"/>
      <c r="H61" s="5"/>
      <c r="I61">
        <f>SMALL(CostOverRun!$B$9:$B$108,53)</f>
        <v>8518.0905712384556</v>
      </c>
      <c r="J61">
        <f>1/(COUNT(CostOverRun!$B$9:$B$108)-1)+$J$60</f>
        <v>0.52525252525252542</v>
      </c>
      <c r="K61">
        <f>SMALL(CostOverRun!$C$9:$C$108,53)</f>
        <v>3518.0905712384556</v>
      </c>
      <c r="L61">
        <f>1/(COUNT(CostOverRun!$C$9:$C$108)-1)+$L$60</f>
        <v>0.52525252525252542</v>
      </c>
      <c r="M61">
        <f>SMALL(CostOverRun!$D$9:$D$108,53)</f>
        <v>0</v>
      </c>
      <c r="N61">
        <f>1/(COUNT(CostOverRun!$D$9:$D$108)-1)+$N$60</f>
        <v>0.52525252525252542</v>
      </c>
      <c r="O61">
        <f>SMALL(CostOverRun!$E$9:$E$108,53)</f>
        <v>0</v>
      </c>
      <c r="P61">
        <f>1/(COUNT(CostOverRun!$E$9:$E$108)-1)+$P$60</f>
        <v>0.52525252525252542</v>
      </c>
    </row>
    <row r="62" spans="1:16">
      <c r="A62">
        <v>54</v>
      </c>
      <c r="B62" s="5">
        <v>4667.9437778098218</v>
      </c>
      <c r="C62" s="5">
        <v>0</v>
      </c>
      <c r="D62" s="5">
        <v>0</v>
      </c>
      <c r="E62" s="5">
        <v>0</v>
      </c>
      <c r="F62" s="5"/>
      <c r="G62" s="5"/>
      <c r="H62" s="5"/>
      <c r="I62">
        <f>SMALL(CostOverRun!$B$9:$B$108,54)</f>
        <v>8546.8828613204532</v>
      </c>
      <c r="J62">
        <f>1/(COUNT(CostOverRun!$B$9:$B$108)-1)+$J$61</f>
        <v>0.53535353535353547</v>
      </c>
      <c r="K62">
        <f>SMALL(CostOverRun!$C$9:$C$108,54)</f>
        <v>3546.8828613204532</v>
      </c>
      <c r="L62">
        <f>1/(COUNT(CostOverRun!$C$9:$C$108)-1)+$L$61</f>
        <v>0.53535353535353547</v>
      </c>
      <c r="M62">
        <f>SMALL(CostOverRun!$D$9:$D$108,54)</f>
        <v>0</v>
      </c>
      <c r="N62">
        <f>1/(COUNT(CostOverRun!$D$9:$D$108)-1)+$N$61</f>
        <v>0.53535353535353547</v>
      </c>
      <c r="O62">
        <f>SMALL(CostOverRun!$E$9:$E$108,54)</f>
        <v>0</v>
      </c>
      <c r="P62">
        <f>1/(COUNT(CostOverRun!$E$9:$E$108)-1)+$P$61</f>
        <v>0.53535353535353547</v>
      </c>
    </row>
    <row r="63" spans="1:16">
      <c r="A63">
        <v>55</v>
      </c>
      <c r="B63" s="5">
        <v>0</v>
      </c>
      <c r="C63" s="5">
        <v>0</v>
      </c>
      <c r="D63" s="5">
        <v>0</v>
      </c>
      <c r="E63" s="5">
        <v>0</v>
      </c>
      <c r="F63" s="5"/>
      <c r="G63" s="5"/>
      <c r="H63" s="5"/>
      <c r="I63">
        <f>SMALL(CostOverRun!$B$9:$B$108,55)</f>
        <v>8655.5951214940869</v>
      </c>
      <c r="J63">
        <f>1/(COUNT(CostOverRun!$B$9:$B$108)-1)+$J$62</f>
        <v>0.54545454545454553</v>
      </c>
      <c r="K63">
        <f>SMALL(CostOverRun!$C$9:$C$108,55)</f>
        <v>3655.5951214940869</v>
      </c>
      <c r="L63">
        <f>1/(COUNT(CostOverRun!$C$9:$C$108)-1)+$L$62</f>
        <v>0.54545454545454553</v>
      </c>
      <c r="M63">
        <f>SMALL(CostOverRun!$D$9:$D$108,55)</f>
        <v>0</v>
      </c>
      <c r="N63">
        <f>1/(COUNT(CostOverRun!$D$9:$D$108)-1)+$N$62</f>
        <v>0.54545454545454553</v>
      </c>
      <c r="O63">
        <f>SMALL(CostOverRun!$E$9:$E$108,55)</f>
        <v>0</v>
      </c>
      <c r="P63">
        <f>1/(COUNT(CostOverRun!$E$9:$E$108)-1)+$P$62</f>
        <v>0.54545454545454553</v>
      </c>
    </row>
    <row r="64" spans="1:16">
      <c r="A64">
        <v>56</v>
      </c>
      <c r="B64" s="5">
        <v>778.81116298708366</v>
      </c>
      <c r="C64" s="5">
        <v>0</v>
      </c>
      <c r="D64" s="5">
        <v>0</v>
      </c>
      <c r="E64" s="5">
        <v>0</v>
      </c>
      <c r="F64" s="5"/>
      <c r="G64" s="5"/>
      <c r="H64" s="5"/>
      <c r="I64">
        <f>SMALL(CostOverRun!$B$9:$B$108,56)</f>
        <v>8902.8006904104841</v>
      </c>
      <c r="J64">
        <f>1/(COUNT(CostOverRun!$B$9:$B$108)-1)+$J$63</f>
        <v>0.55555555555555558</v>
      </c>
      <c r="K64">
        <f>SMALL(CostOverRun!$C$9:$C$108,56)</f>
        <v>3902.8006904104841</v>
      </c>
      <c r="L64">
        <f>1/(COUNT(CostOverRun!$C$9:$C$108)-1)+$L$63</f>
        <v>0.55555555555555558</v>
      </c>
      <c r="M64">
        <f>SMALL(CostOverRun!$D$9:$D$108,56)</f>
        <v>0</v>
      </c>
      <c r="N64">
        <f>1/(COUNT(CostOverRun!$D$9:$D$108)-1)+$N$63</f>
        <v>0.55555555555555558</v>
      </c>
      <c r="O64">
        <f>SMALL(CostOverRun!$E$9:$E$108,56)</f>
        <v>0</v>
      </c>
      <c r="P64">
        <f>1/(COUNT(CostOverRun!$E$9:$E$108)-1)+$P$63</f>
        <v>0.55555555555555558</v>
      </c>
    </row>
    <row r="65" spans="1:16">
      <c r="A65">
        <v>57</v>
      </c>
      <c r="B65" s="5">
        <v>1681.0208668959967</v>
      </c>
      <c r="C65" s="5">
        <v>0</v>
      </c>
      <c r="D65" s="5">
        <v>0</v>
      </c>
      <c r="E65" s="5">
        <v>0</v>
      </c>
      <c r="F65" s="5"/>
      <c r="G65" s="5"/>
      <c r="H65" s="5"/>
      <c r="I65">
        <f>SMALL(CostOverRun!$B$9:$B$108,57)</f>
        <v>8906.6854818107386</v>
      </c>
      <c r="J65">
        <f>1/(COUNT(CostOverRun!$B$9:$B$108)-1)+$J$64</f>
        <v>0.56565656565656564</v>
      </c>
      <c r="K65">
        <f>SMALL(CostOverRun!$C$9:$C$108,57)</f>
        <v>3906.6854818107386</v>
      </c>
      <c r="L65">
        <f>1/(COUNT(CostOverRun!$C$9:$C$108)-1)+$L$64</f>
        <v>0.56565656565656564</v>
      </c>
      <c r="M65">
        <f>SMALL(CostOverRun!$D$9:$D$108,57)</f>
        <v>0</v>
      </c>
      <c r="N65">
        <f>1/(COUNT(CostOverRun!$D$9:$D$108)-1)+$N$64</f>
        <v>0.56565656565656564</v>
      </c>
      <c r="O65">
        <f>SMALL(CostOverRun!$E$9:$E$108,57)</f>
        <v>0</v>
      </c>
      <c r="P65">
        <f>1/(COUNT(CostOverRun!$E$9:$E$108)-1)+$P$64</f>
        <v>0.56565656565656564</v>
      </c>
    </row>
    <row r="66" spans="1:16">
      <c r="A66">
        <v>58</v>
      </c>
      <c r="B66" s="5">
        <v>17860.569216328731</v>
      </c>
      <c r="C66" s="5">
        <v>12860.569216328731</v>
      </c>
      <c r="D66" s="5">
        <v>7860.5692163287313</v>
      </c>
      <c r="E66" s="5">
        <v>2860.5692163287313</v>
      </c>
      <c r="F66" s="5"/>
      <c r="G66" s="5"/>
      <c r="H66" s="5"/>
      <c r="I66">
        <f>SMALL(CostOverRun!$B$9:$B$108,58)</f>
        <v>8944.5582587140088</v>
      </c>
      <c r="J66">
        <f>1/(COUNT(CostOverRun!$B$9:$B$108)-1)+$J$65</f>
        <v>0.57575757575757569</v>
      </c>
      <c r="K66">
        <f>SMALL(CostOverRun!$C$9:$C$108,58)</f>
        <v>3944.5582587140088</v>
      </c>
      <c r="L66">
        <f>1/(COUNT(CostOverRun!$C$9:$C$108)-1)+$L$65</f>
        <v>0.57575757575757569</v>
      </c>
      <c r="M66">
        <f>SMALL(CostOverRun!$D$9:$D$108,58)</f>
        <v>0</v>
      </c>
      <c r="N66">
        <f>1/(COUNT(CostOverRun!$D$9:$D$108)-1)+$N$65</f>
        <v>0.57575757575757569</v>
      </c>
      <c r="O66">
        <f>SMALL(CostOverRun!$E$9:$E$108,58)</f>
        <v>0</v>
      </c>
      <c r="P66">
        <f>1/(COUNT(CostOverRun!$E$9:$E$108)-1)+$P$65</f>
        <v>0.57575757575757569</v>
      </c>
    </row>
    <row r="67" spans="1:16">
      <c r="A67">
        <v>59</v>
      </c>
      <c r="B67" s="5">
        <v>23893.514363843307</v>
      </c>
      <c r="C67" s="5">
        <v>18893.514363843307</v>
      </c>
      <c r="D67" s="5">
        <v>13893.514363843307</v>
      </c>
      <c r="E67" s="5">
        <v>8893.5143638433074</v>
      </c>
      <c r="F67" s="5"/>
      <c r="G67" s="5"/>
      <c r="H67" s="5"/>
      <c r="I67">
        <f>SMALL(CostOverRun!$B$9:$B$108,59)</f>
        <v>9038.6118606471573</v>
      </c>
      <c r="J67">
        <f>1/(COUNT(CostOverRun!$B$9:$B$108)-1)+$J$66</f>
        <v>0.58585858585858575</v>
      </c>
      <c r="K67">
        <f>SMALL(CostOverRun!$C$9:$C$108,59)</f>
        <v>4038.6118606471573</v>
      </c>
      <c r="L67">
        <f>1/(COUNT(CostOverRun!$C$9:$C$108)-1)+$L$66</f>
        <v>0.58585858585858575</v>
      </c>
      <c r="M67">
        <f>SMALL(CostOverRun!$D$9:$D$108,59)</f>
        <v>0</v>
      </c>
      <c r="N67">
        <f>1/(COUNT(CostOverRun!$D$9:$D$108)-1)+$N$66</f>
        <v>0.58585858585858575</v>
      </c>
      <c r="O67">
        <f>SMALL(CostOverRun!$E$9:$E$108,59)</f>
        <v>0</v>
      </c>
      <c r="P67">
        <f>1/(COUNT(CostOverRun!$E$9:$E$108)-1)+$P$66</f>
        <v>0.58585858585858575</v>
      </c>
    </row>
    <row r="68" spans="1:16">
      <c r="A68">
        <v>60</v>
      </c>
      <c r="B68" s="5">
        <v>0</v>
      </c>
      <c r="C68" s="5">
        <v>0</v>
      </c>
      <c r="D68" s="5">
        <v>0</v>
      </c>
      <c r="E68" s="5">
        <v>0</v>
      </c>
      <c r="F68" s="5"/>
      <c r="G68" s="5"/>
      <c r="H68" s="5"/>
      <c r="I68">
        <f>SMALL(CostOverRun!$B$9:$B$108,60)</f>
        <v>9178.6977109022555</v>
      </c>
      <c r="J68">
        <f>1/(COUNT(CostOverRun!$B$9:$B$108)-1)+$J$67</f>
        <v>0.5959595959595958</v>
      </c>
      <c r="K68">
        <f>SMALL(CostOverRun!$C$9:$C$108,60)</f>
        <v>4178.6977109022555</v>
      </c>
      <c r="L68">
        <f>1/(COUNT(CostOverRun!$C$9:$C$108)-1)+$L$67</f>
        <v>0.5959595959595958</v>
      </c>
      <c r="M68">
        <f>SMALL(CostOverRun!$D$9:$D$108,60)</f>
        <v>0</v>
      </c>
      <c r="N68">
        <f>1/(COUNT(CostOverRun!$D$9:$D$108)-1)+$N$67</f>
        <v>0.5959595959595958</v>
      </c>
      <c r="O68">
        <f>SMALL(CostOverRun!$E$9:$E$108,60)</f>
        <v>0</v>
      </c>
      <c r="P68">
        <f>1/(COUNT(CostOverRun!$E$9:$E$108)-1)+$P$67</f>
        <v>0.5959595959595958</v>
      </c>
    </row>
    <row r="69" spans="1:16">
      <c r="A69">
        <v>61</v>
      </c>
      <c r="B69" s="5">
        <v>9479.2453968942864</v>
      </c>
      <c r="C69" s="5">
        <v>4479.2453968942864</v>
      </c>
      <c r="D69" s="5">
        <v>0</v>
      </c>
      <c r="E69" s="5">
        <v>0</v>
      </c>
      <c r="F69" s="5"/>
      <c r="G69" s="5"/>
      <c r="H69" s="5"/>
      <c r="I69">
        <f>SMALL(CostOverRun!$B$9:$B$108,61)</f>
        <v>9234.8770511723706</v>
      </c>
      <c r="J69">
        <f>1/(COUNT(CostOverRun!$B$9:$B$108)-1)+$J$68</f>
        <v>0.60606060606060586</v>
      </c>
      <c r="K69">
        <f>SMALL(CostOverRun!$C$9:$C$108,61)</f>
        <v>4234.8770511723706</v>
      </c>
      <c r="L69">
        <f>1/(COUNT(CostOverRun!$C$9:$C$108)-1)+$L$68</f>
        <v>0.60606060606060586</v>
      </c>
      <c r="M69">
        <f>SMALL(CostOverRun!$D$9:$D$108,61)</f>
        <v>0</v>
      </c>
      <c r="N69">
        <f>1/(COUNT(CostOverRun!$D$9:$D$108)-1)+$N$68</f>
        <v>0.60606060606060586</v>
      </c>
      <c r="O69">
        <f>SMALL(CostOverRun!$E$9:$E$108,61)</f>
        <v>0</v>
      </c>
      <c r="P69">
        <f>1/(COUNT(CostOverRun!$E$9:$E$108)-1)+$P$68</f>
        <v>0.60606060606060586</v>
      </c>
    </row>
    <row r="70" spans="1:16">
      <c r="A70">
        <v>62</v>
      </c>
      <c r="B70" s="5">
        <v>11505.637045455922</v>
      </c>
      <c r="C70" s="5">
        <v>6505.6370454559219</v>
      </c>
      <c r="D70" s="5">
        <v>1505.6370454559219</v>
      </c>
      <c r="E70" s="5">
        <v>0</v>
      </c>
      <c r="F70" s="5"/>
      <c r="G70" s="5"/>
      <c r="H70" s="5"/>
      <c r="I70">
        <f>SMALL(CostOverRun!$B$9:$B$108,62)</f>
        <v>9392.7216768235667</v>
      </c>
      <c r="J70">
        <f>1/(COUNT(CostOverRun!$B$9:$B$108)-1)+$J$69</f>
        <v>0.61616161616161591</v>
      </c>
      <c r="K70">
        <f>SMALL(CostOverRun!$C$9:$C$108,62)</f>
        <v>4392.7216768235667</v>
      </c>
      <c r="L70">
        <f>1/(COUNT(CostOverRun!$C$9:$C$108)-1)+$L$69</f>
        <v>0.61616161616161591</v>
      </c>
      <c r="M70">
        <f>SMALL(CostOverRun!$D$9:$D$108,62)</f>
        <v>0</v>
      </c>
      <c r="N70">
        <f>1/(COUNT(CostOverRun!$D$9:$D$108)-1)+$N$69</f>
        <v>0.61616161616161591</v>
      </c>
      <c r="O70">
        <f>SMALL(CostOverRun!$E$9:$E$108,62)</f>
        <v>0</v>
      </c>
      <c r="P70">
        <f>1/(COUNT(CostOverRun!$E$9:$E$108)-1)+$P$69</f>
        <v>0.61616161616161591</v>
      </c>
    </row>
    <row r="71" spans="1:16">
      <c r="A71">
        <v>63</v>
      </c>
      <c r="B71" s="5">
        <v>4076.4475345727114</v>
      </c>
      <c r="C71" s="5">
        <v>0</v>
      </c>
      <c r="D71" s="5">
        <v>0</v>
      </c>
      <c r="E71" s="5">
        <v>0</v>
      </c>
      <c r="F71" s="5"/>
      <c r="G71" s="5"/>
      <c r="H71" s="5"/>
      <c r="I71">
        <f>SMALL(CostOverRun!$B$9:$B$108,63)</f>
        <v>9479.2453968942864</v>
      </c>
      <c r="J71">
        <f>1/(COUNT(CostOverRun!$B$9:$B$108)-1)+$J$70</f>
        <v>0.62626262626262597</v>
      </c>
      <c r="K71">
        <f>SMALL(CostOverRun!$C$9:$C$108,63)</f>
        <v>4479.2453968942864</v>
      </c>
      <c r="L71">
        <f>1/(COUNT(CostOverRun!$C$9:$C$108)-1)+$L$70</f>
        <v>0.62626262626262597</v>
      </c>
      <c r="M71">
        <f>SMALL(CostOverRun!$D$9:$D$108,63)</f>
        <v>0</v>
      </c>
      <c r="N71">
        <f>1/(COUNT(CostOverRun!$D$9:$D$108)-1)+$N$70</f>
        <v>0.62626262626262597</v>
      </c>
      <c r="O71">
        <f>SMALL(CostOverRun!$E$9:$E$108,63)</f>
        <v>0</v>
      </c>
      <c r="P71">
        <f>1/(COUNT(CostOverRun!$E$9:$E$108)-1)+$P$70</f>
        <v>0.62626262626262597</v>
      </c>
    </row>
    <row r="72" spans="1:16">
      <c r="A72">
        <v>64</v>
      </c>
      <c r="B72" s="5">
        <v>1319.9836151936324</v>
      </c>
      <c r="C72" s="5">
        <v>0</v>
      </c>
      <c r="D72" s="5">
        <v>0</v>
      </c>
      <c r="E72" s="5">
        <v>0</v>
      </c>
      <c r="F72" s="5"/>
      <c r="G72" s="5"/>
      <c r="H72" s="5"/>
      <c r="I72">
        <f>SMALL(CostOverRun!$B$9:$B$108,64)</f>
        <v>10037.10094806808</v>
      </c>
      <c r="J72">
        <f>1/(COUNT(CostOverRun!$B$9:$B$108)-1)+$J$71</f>
        <v>0.63636363636363602</v>
      </c>
      <c r="K72">
        <f>SMALL(CostOverRun!$C$9:$C$108,64)</f>
        <v>5037.1009480680805</v>
      </c>
      <c r="L72">
        <f>1/(COUNT(CostOverRun!$C$9:$C$108)-1)+$L$71</f>
        <v>0.63636363636363602</v>
      </c>
      <c r="M72">
        <f>SMALL(CostOverRun!$D$9:$D$108,64)</f>
        <v>37.10094806808047</v>
      </c>
      <c r="N72">
        <f>1/(COUNT(CostOverRun!$D$9:$D$108)-1)+$N$71</f>
        <v>0.63636363636363602</v>
      </c>
      <c r="O72">
        <f>SMALL(CostOverRun!$E$9:$E$108,64)</f>
        <v>0</v>
      </c>
      <c r="P72">
        <f>1/(COUNT(CostOverRun!$E$9:$E$108)-1)+$P$71</f>
        <v>0.63636363636363602</v>
      </c>
    </row>
    <row r="73" spans="1:16">
      <c r="A73">
        <v>65</v>
      </c>
      <c r="B73" s="5">
        <v>3744.5298451466078</v>
      </c>
      <c r="C73" s="5">
        <v>0</v>
      </c>
      <c r="D73" s="5">
        <v>0</v>
      </c>
      <c r="E73" s="5">
        <v>0</v>
      </c>
      <c r="F73" s="5"/>
      <c r="G73" s="5"/>
      <c r="H73" s="5"/>
      <c r="I73">
        <f>SMALL(CostOverRun!$B$9:$B$108,65)</f>
        <v>10447.909757799032</v>
      </c>
      <c r="J73">
        <f>1/(COUNT(CostOverRun!$B$9:$B$108)-1)+$J$72</f>
        <v>0.64646464646464608</v>
      </c>
      <c r="K73">
        <f>SMALL(CostOverRun!$C$9:$C$108,65)</f>
        <v>5447.9097577990324</v>
      </c>
      <c r="L73">
        <f>1/(COUNT(CostOverRun!$C$9:$C$108)-1)+$L$72</f>
        <v>0.64646464646464608</v>
      </c>
      <c r="M73">
        <f>SMALL(CostOverRun!$D$9:$D$108,65)</f>
        <v>447.90975779903238</v>
      </c>
      <c r="N73">
        <f>1/(COUNT(CostOverRun!$D$9:$D$108)-1)+$N$72</f>
        <v>0.64646464646464608</v>
      </c>
      <c r="O73">
        <f>SMALL(CostOverRun!$E$9:$E$108,65)</f>
        <v>0</v>
      </c>
      <c r="P73">
        <f>1/(COUNT(CostOverRun!$E$9:$E$108)-1)+$P$72</f>
        <v>0.64646464646464608</v>
      </c>
    </row>
    <row r="74" spans="1:16">
      <c r="A74">
        <v>66</v>
      </c>
      <c r="B74" s="5">
        <v>6574.0792478449875</v>
      </c>
      <c r="C74" s="5">
        <v>1574.0792478449875</v>
      </c>
      <c r="D74" s="5">
        <v>0</v>
      </c>
      <c r="E74" s="5">
        <v>0</v>
      </c>
      <c r="F74" s="5"/>
      <c r="G74" s="5"/>
      <c r="H74" s="5"/>
      <c r="I74">
        <f>SMALL(CostOverRun!$B$9:$B$108,66)</f>
        <v>10726.743098133011</v>
      </c>
      <c r="J74">
        <f>1/(COUNT(CostOverRun!$B$9:$B$108)-1)+$J$73</f>
        <v>0.65656565656565613</v>
      </c>
      <c r="K74">
        <f>SMALL(CostOverRun!$C$9:$C$108,66)</f>
        <v>5726.7430981330108</v>
      </c>
      <c r="L74">
        <f>1/(COUNT(CostOverRun!$C$9:$C$108)-1)+$L$73</f>
        <v>0.65656565656565613</v>
      </c>
      <c r="M74">
        <f>SMALL(CostOverRun!$D$9:$D$108,66)</f>
        <v>726.74309813301079</v>
      </c>
      <c r="N74">
        <f>1/(COUNT(CostOverRun!$D$9:$D$108)-1)+$N$73</f>
        <v>0.65656565656565613</v>
      </c>
      <c r="O74">
        <f>SMALL(CostOverRun!$E$9:$E$108,66)</f>
        <v>0</v>
      </c>
      <c r="P74">
        <f>1/(COUNT(CostOverRun!$E$9:$E$108)-1)+$P$73</f>
        <v>0.65656565656565613</v>
      </c>
    </row>
    <row r="75" spans="1:16">
      <c r="A75">
        <v>67</v>
      </c>
      <c r="B75" s="5">
        <v>1264.0839902177395</v>
      </c>
      <c r="C75" s="5">
        <v>0</v>
      </c>
      <c r="D75" s="5">
        <v>0</v>
      </c>
      <c r="E75" s="5">
        <v>0</v>
      </c>
      <c r="F75" s="5"/>
      <c r="G75" s="5"/>
      <c r="H75" s="5"/>
      <c r="I75">
        <f>SMALL(CostOverRun!$B$9:$B$108,67)</f>
        <v>10916.243184469145</v>
      </c>
      <c r="J75">
        <f>1/(COUNT(CostOverRun!$B$9:$B$108)-1)+$J$74</f>
        <v>0.66666666666666619</v>
      </c>
      <c r="K75">
        <f>SMALL(CostOverRun!$C$9:$C$108,67)</f>
        <v>5916.2431844691455</v>
      </c>
      <c r="L75">
        <f>1/(COUNT(CostOverRun!$C$9:$C$108)-1)+$L$74</f>
        <v>0.66666666666666619</v>
      </c>
      <c r="M75">
        <f>SMALL(CostOverRun!$D$9:$D$108,67)</f>
        <v>916.24318446914549</v>
      </c>
      <c r="N75">
        <f>1/(COUNT(CostOverRun!$D$9:$D$108)-1)+$N$74</f>
        <v>0.66666666666666619</v>
      </c>
      <c r="O75">
        <f>SMALL(CostOverRun!$E$9:$E$108,67)</f>
        <v>0</v>
      </c>
      <c r="P75">
        <f>1/(COUNT(CostOverRun!$E$9:$E$108)-1)+$P$74</f>
        <v>0.66666666666666619</v>
      </c>
    </row>
    <row r="76" spans="1:16">
      <c r="A76">
        <v>68</v>
      </c>
      <c r="B76" s="5">
        <v>8063.9373334978882</v>
      </c>
      <c r="C76" s="5">
        <v>3063.9373334978882</v>
      </c>
      <c r="D76" s="5">
        <v>0</v>
      </c>
      <c r="E76" s="5">
        <v>0</v>
      </c>
      <c r="F76" s="5"/>
      <c r="G76" s="5"/>
      <c r="H76" s="5"/>
      <c r="I76">
        <f>SMALL(CostOverRun!$B$9:$B$108,68)</f>
        <v>11064.16334926468</v>
      </c>
      <c r="J76">
        <f>1/(COUNT(CostOverRun!$B$9:$B$108)-1)+$J$75</f>
        <v>0.67676767676767624</v>
      </c>
      <c r="K76">
        <f>SMALL(CostOverRun!$C$9:$C$108,68)</f>
        <v>6064.1633492646797</v>
      </c>
      <c r="L76">
        <f>1/(COUNT(CostOverRun!$C$9:$C$108)-1)+$L$75</f>
        <v>0.67676767676767624</v>
      </c>
      <c r="M76">
        <f>SMALL(CostOverRun!$D$9:$D$108,68)</f>
        <v>1064.1633492646797</v>
      </c>
      <c r="N76">
        <f>1/(COUNT(CostOverRun!$D$9:$D$108)-1)+$N$75</f>
        <v>0.67676767676767624</v>
      </c>
      <c r="O76">
        <f>SMALL(CostOverRun!$E$9:$E$108,68)</f>
        <v>0</v>
      </c>
      <c r="P76">
        <f>1/(COUNT(CostOverRun!$E$9:$E$108)-1)+$P$75</f>
        <v>0.67676767676767624</v>
      </c>
    </row>
    <row r="77" spans="1:16">
      <c r="A77">
        <v>69</v>
      </c>
      <c r="B77" s="5">
        <v>8902.8006904104841</v>
      </c>
      <c r="C77" s="5">
        <v>3902.8006904104841</v>
      </c>
      <c r="D77" s="5">
        <v>0</v>
      </c>
      <c r="E77" s="5">
        <v>0</v>
      </c>
      <c r="F77" s="5"/>
      <c r="G77" s="5"/>
      <c r="H77" s="5"/>
      <c r="I77">
        <f>SMALL(CostOverRun!$B$9:$B$108,69)</f>
        <v>11319.588351967803</v>
      </c>
      <c r="J77">
        <f>1/(COUNT(CostOverRun!$B$9:$B$108)-1)+$J$76</f>
        <v>0.6868686868686863</v>
      </c>
      <c r="K77">
        <f>SMALL(CostOverRun!$C$9:$C$108,69)</f>
        <v>6319.5883519678027</v>
      </c>
      <c r="L77">
        <f>1/(COUNT(CostOverRun!$C$9:$C$108)-1)+$L$76</f>
        <v>0.6868686868686863</v>
      </c>
      <c r="M77">
        <f>SMALL(CostOverRun!$D$9:$D$108,69)</f>
        <v>1319.5883519678027</v>
      </c>
      <c r="N77">
        <f>1/(COUNT(CostOverRun!$D$9:$D$108)-1)+$N$76</f>
        <v>0.6868686868686863</v>
      </c>
      <c r="O77">
        <f>SMALL(CostOverRun!$E$9:$E$108,69)</f>
        <v>0</v>
      </c>
      <c r="P77">
        <f>1/(COUNT(CostOverRun!$E$9:$E$108)-1)+$P$76</f>
        <v>0.6868686868686863</v>
      </c>
    </row>
    <row r="78" spans="1:16">
      <c r="A78">
        <v>70</v>
      </c>
      <c r="B78" s="5">
        <v>0</v>
      </c>
      <c r="C78" s="5">
        <v>0</v>
      </c>
      <c r="D78" s="5">
        <v>0</v>
      </c>
      <c r="E78" s="5">
        <v>0</v>
      </c>
      <c r="F78" s="5"/>
      <c r="G78" s="5"/>
      <c r="H78" s="5"/>
      <c r="I78">
        <f>SMALL(CostOverRun!$B$9:$B$108,70)</f>
        <v>11505.637045455922</v>
      </c>
      <c r="J78">
        <f>1/(COUNT(CostOverRun!$B$9:$B$108)-1)+$J$77</f>
        <v>0.69696969696969635</v>
      </c>
      <c r="K78">
        <f>SMALL(CostOverRun!$C$9:$C$108,70)</f>
        <v>6505.6370454559219</v>
      </c>
      <c r="L78">
        <f>1/(COUNT(CostOverRun!$C$9:$C$108)-1)+$L$77</f>
        <v>0.69696969696969635</v>
      </c>
      <c r="M78">
        <f>SMALL(CostOverRun!$D$9:$D$108,70)</f>
        <v>1505.6370454559219</v>
      </c>
      <c r="N78">
        <f>1/(COUNT(CostOverRun!$D$9:$D$108)-1)+$N$77</f>
        <v>0.69696969696969635</v>
      </c>
      <c r="O78">
        <f>SMALL(CostOverRun!$E$9:$E$108,70)</f>
        <v>0</v>
      </c>
      <c r="P78">
        <f>1/(COUNT(CostOverRun!$E$9:$E$108)-1)+$P$77</f>
        <v>0.69696969696969635</v>
      </c>
    </row>
    <row r="79" spans="1:16">
      <c r="A79">
        <v>71</v>
      </c>
      <c r="B79" s="5">
        <v>7960.9961257153482</v>
      </c>
      <c r="C79" s="5">
        <v>2960.9961257153482</v>
      </c>
      <c r="D79" s="5">
        <v>0</v>
      </c>
      <c r="E79" s="5">
        <v>0</v>
      </c>
      <c r="F79" s="5"/>
      <c r="G79" s="5"/>
      <c r="H79" s="5"/>
      <c r="I79">
        <f>SMALL(CostOverRun!$B$9:$B$108,71)</f>
        <v>11885.848612591915</v>
      </c>
      <c r="J79">
        <f>1/(COUNT(CostOverRun!$B$9:$B$108)-1)+$J$78</f>
        <v>0.70707070707070641</v>
      </c>
      <c r="K79">
        <f>SMALL(CostOverRun!$C$9:$C$108,71)</f>
        <v>6885.8486125919153</v>
      </c>
      <c r="L79">
        <f>1/(COUNT(CostOverRun!$C$9:$C$108)-1)+$L$78</f>
        <v>0.70707070707070641</v>
      </c>
      <c r="M79">
        <f>SMALL(CostOverRun!$D$9:$D$108,71)</f>
        <v>1885.8486125919153</v>
      </c>
      <c r="N79">
        <f>1/(COUNT(CostOverRun!$D$9:$D$108)-1)+$N$78</f>
        <v>0.70707070707070641</v>
      </c>
      <c r="O79">
        <f>SMALL(CostOverRun!$E$9:$E$108,71)</f>
        <v>0</v>
      </c>
      <c r="P79">
        <f>1/(COUNT(CostOverRun!$E$9:$E$108)-1)+$P$78</f>
        <v>0.70707070707070641</v>
      </c>
    </row>
    <row r="80" spans="1:16">
      <c r="A80">
        <v>72</v>
      </c>
      <c r="B80" s="5">
        <v>16393.964627842826</v>
      </c>
      <c r="C80" s="5">
        <v>11393.964627842826</v>
      </c>
      <c r="D80" s="5">
        <v>6393.9646278428263</v>
      </c>
      <c r="E80" s="5">
        <v>1393.9646278428263</v>
      </c>
      <c r="F80" s="5"/>
      <c r="G80" s="5"/>
      <c r="H80" s="5"/>
      <c r="I80">
        <f>SMALL(CostOverRun!$B$9:$B$108,72)</f>
        <v>12137.688956692495</v>
      </c>
      <c r="J80">
        <f>1/(COUNT(CostOverRun!$B$9:$B$108)-1)+$J$79</f>
        <v>0.71717171717171646</v>
      </c>
      <c r="K80">
        <f>SMALL(CostOverRun!$C$9:$C$108,72)</f>
        <v>7137.6889566924947</v>
      </c>
      <c r="L80">
        <f>1/(COUNT(CostOverRun!$C$9:$C$108)-1)+$L$79</f>
        <v>0.71717171717171646</v>
      </c>
      <c r="M80">
        <f>SMALL(CostOverRun!$D$9:$D$108,72)</f>
        <v>2137.6889566924947</v>
      </c>
      <c r="N80">
        <f>1/(COUNT(CostOverRun!$D$9:$D$108)-1)+$N$79</f>
        <v>0.71717171717171646</v>
      </c>
      <c r="O80">
        <f>SMALL(CostOverRun!$E$9:$E$108,72)</f>
        <v>0</v>
      </c>
      <c r="P80">
        <f>1/(COUNT(CostOverRun!$E$9:$E$108)-1)+$P$79</f>
        <v>0.71717171717171646</v>
      </c>
    </row>
    <row r="81" spans="1:16">
      <c r="A81">
        <v>73</v>
      </c>
      <c r="B81" s="5">
        <v>8546.8828613204532</v>
      </c>
      <c r="C81" s="5">
        <v>3546.8828613204532</v>
      </c>
      <c r="D81" s="5">
        <v>0</v>
      </c>
      <c r="E81" s="5">
        <v>0</v>
      </c>
      <c r="F81" s="5"/>
      <c r="G81" s="5"/>
      <c r="H81" s="5"/>
      <c r="I81">
        <f>SMALL(CostOverRun!$B$9:$B$108,73)</f>
        <v>12567.061029153847</v>
      </c>
      <c r="J81">
        <f>1/(COUNT(CostOverRun!$B$9:$B$108)-1)+$J$80</f>
        <v>0.72727272727272652</v>
      </c>
      <c r="K81">
        <f>SMALL(CostOverRun!$C$9:$C$108,73)</f>
        <v>7567.0610291538469</v>
      </c>
      <c r="L81">
        <f>1/(COUNT(CostOverRun!$C$9:$C$108)-1)+$L$80</f>
        <v>0.72727272727272652</v>
      </c>
      <c r="M81">
        <f>SMALL(CostOverRun!$D$9:$D$108,73)</f>
        <v>2567.0610291538469</v>
      </c>
      <c r="N81">
        <f>1/(COUNT(CostOverRun!$D$9:$D$108)-1)+$N$80</f>
        <v>0.72727272727272652</v>
      </c>
      <c r="O81">
        <f>SMALL(CostOverRun!$E$9:$E$108,73)</f>
        <v>0</v>
      </c>
      <c r="P81">
        <f>1/(COUNT(CostOverRun!$E$9:$E$108)-1)+$P$80</f>
        <v>0.72727272727272652</v>
      </c>
    </row>
    <row r="82" spans="1:16">
      <c r="A82">
        <v>74</v>
      </c>
      <c r="B82" s="5">
        <v>18028.775500552845</v>
      </c>
      <c r="C82" s="5">
        <v>13028.775500552845</v>
      </c>
      <c r="D82" s="5">
        <v>8028.7755005528452</v>
      </c>
      <c r="E82" s="5">
        <v>3028.7755005528452</v>
      </c>
      <c r="F82" s="5"/>
      <c r="G82" s="5"/>
      <c r="H82" s="5"/>
      <c r="I82">
        <f>SMALL(CostOverRun!$B$9:$B$108,74)</f>
        <v>12643.969170190714</v>
      </c>
      <c r="J82">
        <f>1/(COUNT(CostOverRun!$B$9:$B$108)-1)+$J$81</f>
        <v>0.73737373737373657</v>
      </c>
      <c r="K82">
        <f>SMALL(CostOverRun!$C$9:$C$108,74)</f>
        <v>7643.9691701907141</v>
      </c>
      <c r="L82">
        <f>1/(COUNT(CostOverRun!$C$9:$C$108)-1)+$L$81</f>
        <v>0.73737373737373657</v>
      </c>
      <c r="M82">
        <f>SMALL(CostOverRun!$D$9:$D$108,74)</f>
        <v>2643.9691701907141</v>
      </c>
      <c r="N82">
        <f>1/(COUNT(CostOverRun!$D$9:$D$108)-1)+$N$81</f>
        <v>0.73737373737373657</v>
      </c>
      <c r="O82">
        <f>SMALL(CostOverRun!$E$9:$E$108,74)</f>
        <v>0</v>
      </c>
      <c r="P82">
        <f>1/(COUNT(CostOverRun!$E$9:$E$108)-1)+$P$81</f>
        <v>0.73737373737373657</v>
      </c>
    </row>
    <row r="83" spans="1:16">
      <c r="A83">
        <v>75</v>
      </c>
      <c r="B83" s="5">
        <v>12643.969170190714</v>
      </c>
      <c r="C83" s="5">
        <v>7643.9691701907141</v>
      </c>
      <c r="D83" s="5">
        <v>2643.9691701907141</v>
      </c>
      <c r="E83" s="5">
        <v>0</v>
      </c>
      <c r="F83" s="5"/>
      <c r="G83" s="5"/>
      <c r="H83" s="5"/>
      <c r="I83">
        <f>SMALL(CostOverRun!$B$9:$B$108,75)</f>
        <v>13150.696037859889</v>
      </c>
      <c r="J83">
        <f>1/(COUNT(CostOverRun!$B$9:$B$108)-1)+$J$82</f>
        <v>0.74747474747474663</v>
      </c>
      <c r="K83">
        <f>SMALL(CostOverRun!$C$9:$C$108,75)</f>
        <v>8150.6960378598887</v>
      </c>
      <c r="L83">
        <f>1/(COUNT(CostOverRun!$C$9:$C$108)-1)+$L$82</f>
        <v>0.74747474747474663</v>
      </c>
      <c r="M83">
        <f>SMALL(CostOverRun!$D$9:$D$108,75)</f>
        <v>3150.6960378598887</v>
      </c>
      <c r="N83">
        <f>1/(COUNT(CostOverRun!$D$9:$D$108)-1)+$N$82</f>
        <v>0.74747474747474663</v>
      </c>
      <c r="O83">
        <f>SMALL(CostOverRun!$E$9:$E$108,75)</f>
        <v>0</v>
      </c>
      <c r="P83">
        <f>1/(COUNT(CostOverRun!$E$9:$E$108)-1)+$P$82</f>
        <v>0.74747474747474663</v>
      </c>
    </row>
    <row r="84" spans="1:16">
      <c r="A84">
        <v>76</v>
      </c>
      <c r="B84" s="5">
        <v>10037.10094806808</v>
      </c>
      <c r="C84" s="5">
        <v>5037.1009480680805</v>
      </c>
      <c r="D84" s="5">
        <v>37.10094806808047</v>
      </c>
      <c r="E84" s="5">
        <v>0</v>
      </c>
      <c r="F84" s="5"/>
      <c r="G84" s="5"/>
      <c r="H84" s="5"/>
      <c r="I84">
        <f>SMALL(CostOverRun!$B$9:$B$108,76)</f>
        <v>13676.453819927003</v>
      </c>
      <c r="J84">
        <f>1/(COUNT(CostOverRun!$B$9:$B$108)-1)+$J$83</f>
        <v>0.75757575757575668</v>
      </c>
      <c r="K84">
        <f>SMALL(CostOverRun!$C$9:$C$108,76)</f>
        <v>8676.4538199270028</v>
      </c>
      <c r="L84">
        <f>1/(COUNT(CostOverRun!$C$9:$C$108)-1)+$L$83</f>
        <v>0.75757575757575668</v>
      </c>
      <c r="M84">
        <f>SMALL(CostOverRun!$D$9:$D$108,76)</f>
        <v>3676.4538199270028</v>
      </c>
      <c r="N84">
        <f>1/(COUNT(CostOverRun!$D$9:$D$108)-1)+$N$83</f>
        <v>0.75757575757575668</v>
      </c>
      <c r="O84">
        <f>SMALL(CostOverRun!$E$9:$E$108,76)</f>
        <v>0</v>
      </c>
      <c r="P84">
        <f>1/(COUNT(CostOverRun!$E$9:$E$108)-1)+$P$83</f>
        <v>0.75757575757575668</v>
      </c>
    </row>
    <row r="85" spans="1:16">
      <c r="A85">
        <v>77</v>
      </c>
      <c r="B85" s="5">
        <v>7313.59434659619</v>
      </c>
      <c r="C85" s="5">
        <v>2313.59434659619</v>
      </c>
      <c r="D85" s="5">
        <v>0</v>
      </c>
      <c r="E85" s="5">
        <v>0</v>
      </c>
      <c r="F85" s="5"/>
      <c r="G85" s="5"/>
      <c r="H85" s="5"/>
      <c r="I85">
        <f>SMALL(CostOverRun!$B$9:$B$108,77)</f>
        <v>14040.985370357113</v>
      </c>
      <c r="J85">
        <f>1/(COUNT(CostOverRun!$B$9:$B$108)-1)+$J$84</f>
        <v>0.76767676767676674</v>
      </c>
      <c r="K85">
        <f>SMALL(CostOverRun!$C$9:$C$108,77)</f>
        <v>9040.9853703571134</v>
      </c>
      <c r="L85">
        <f>1/(COUNT(CostOverRun!$C$9:$C$108)-1)+$L$84</f>
        <v>0.76767676767676674</v>
      </c>
      <c r="M85">
        <f>SMALL(CostOverRun!$D$9:$D$108,77)</f>
        <v>4040.9853703571134</v>
      </c>
      <c r="N85">
        <f>1/(COUNT(CostOverRun!$D$9:$D$108)-1)+$N$84</f>
        <v>0.76767676767676674</v>
      </c>
      <c r="O85">
        <f>SMALL(CostOverRun!$E$9:$E$108,77)</f>
        <v>0</v>
      </c>
      <c r="P85">
        <f>1/(COUNT(CostOverRun!$E$9:$E$108)-1)+$P$84</f>
        <v>0.76767676767676674</v>
      </c>
    </row>
    <row r="86" spans="1:16">
      <c r="A86">
        <v>78</v>
      </c>
      <c r="B86" s="5">
        <v>0</v>
      </c>
      <c r="C86" s="5">
        <v>0</v>
      </c>
      <c r="D86" s="5">
        <v>0</v>
      </c>
      <c r="E86" s="5">
        <v>0</v>
      </c>
      <c r="F86" s="5"/>
      <c r="G86" s="5"/>
      <c r="H86" s="5"/>
      <c r="I86">
        <f>SMALL(CostOverRun!$B$9:$B$108,78)</f>
        <v>14362.516985458351</v>
      </c>
      <c r="J86">
        <f>1/(COUNT(CostOverRun!$B$9:$B$108)-1)+$J$85</f>
        <v>0.77777777777777679</v>
      </c>
      <c r="K86">
        <f>SMALL(CostOverRun!$C$9:$C$108,78)</f>
        <v>9362.516985458351</v>
      </c>
      <c r="L86">
        <f>1/(COUNT(CostOverRun!$C$9:$C$108)-1)+$L$85</f>
        <v>0.77777777777777679</v>
      </c>
      <c r="M86">
        <f>SMALL(CostOverRun!$D$9:$D$108,78)</f>
        <v>4362.516985458351</v>
      </c>
      <c r="N86">
        <f>1/(COUNT(CostOverRun!$D$9:$D$108)-1)+$N$85</f>
        <v>0.77777777777777679</v>
      </c>
      <c r="O86">
        <f>SMALL(CostOverRun!$E$9:$E$108,78)</f>
        <v>0</v>
      </c>
      <c r="P86">
        <f>1/(COUNT(CostOverRun!$E$9:$E$108)-1)+$P$85</f>
        <v>0.77777777777777679</v>
      </c>
    </row>
    <row r="87" spans="1:16">
      <c r="A87">
        <v>79</v>
      </c>
      <c r="B87" s="5">
        <v>0</v>
      </c>
      <c r="C87" s="5">
        <v>0</v>
      </c>
      <c r="D87" s="5">
        <v>0</v>
      </c>
      <c r="E87" s="5">
        <v>0</v>
      </c>
      <c r="F87" s="5"/>
      <c r="G87" s="5"/>
      <c r="H87" s="5"/>
      <c r="I87">
        <f>SMALL(CostOverRun!$B$9:$B$108,79)</f>
        <v>14673.112683363608</v>
      </c>
      <c r="J87">
        <f>1/(COUNT(CostOverRun!$B$9:$B$108)-1)+$J$86</f>
        <v>0.78787878787878685</v>
      </c>
      <c r="K87">
        <f>SMALL(CostOverRun!$C$9:$C$108,79)</f>
        <v>9673.1126833636081</v>
      </c>
      <c r="L87">
        <f>1/(COUNT(CostOverRun!$C$9:$C$108)-1)+$L$86</f>
        <v>0.78787878787878685</v>
      </c>
      <c r="M87">
        <f>SMALL(CostOverRun!$D$9:$D$108,79)</f>
        <v>4673.1126833636081</v>
      </c>
      <c r="N87">
        <f>1/(COUNT(CostOverRun!$D$9:$D$108)-1)+$N$86</f>
        <v>0.78787878787878685</v>
      </c>
      <c r="O87">
        <f>SMALL(CostOverRun!$E$9:$E$108,79)</f>
        <v>0</v>
      </c>
      <c r="P87">
        <f>1/(COUNT(CostOverRun!$E$9:$E$108)-1)+$P$86</f>
        <v>0.78787878787878685</v>
      </c>
    </row>
    <row r="88" spans="1:16">
      <c r="A88">
        <v>80</v>
      </c>
      <c r="B88" s="5">
        <v>13676.453819927003</v>
      </c>
      <c r="C88" s="5">
        <v>8676.4538199270028</v>
      </c>
      <c r="D88" s="5">
        <v>3676.4538199270028</v>
      </c>
      <c r="E88" s="5">
        <v>0</v>
      </c>
      <c r="F88" s="5"/>
      <c r="G88" s="5"/>
      <c r="H88" s="5"/>
      <c r="I88">
        <f>SMALL(CostOverRun!$B$9:$B$108,80)</f>
        <v>15286.55427994515</v>
      </c>
      <c r="J88">
        <f>1/(COUNT(CostOverRun!$B$9:$B$108)-1)+$J$87</f>
        <v>0.7979797979797969</v>
      </c>
      <c r="K88">
        <f>SMALL(CostOverRun!$C$9:$C$108,80)</f>
        <v>10286.55427994515</v>
      </c>
      <c r="L88">
        <f>1/(COUNT(CostOverRun!$C$9:$C$108)-1)+$L$87</f>
        <v>0.7979797979797969</v>
      </c>
      <c r="M88">
        <f>SMALL(CostOverRun!$D$9:$D$108,80)</f>
        <v>5286.5542799451505</v>
      </c>
      <c r="N88">
        <f>1/(COUNT(CostOverRun!$D$9:$D$108)-1)+$N$87</f>
        <v>0.7979797979797969</v>
      </c>
      <c r="O88">
        <f>SMALL(CostOverRun!$E$9:$E$108,80)</f>
        <v>286.55427994515048</v>
      </c>
      <c r="P88">
        <f>1/(COUNT(CostOverRun!$E$9:$E$108)-1)+$P$87</f>
        <v>0.7979797979797969</v>
      </c>
    </row>
    <row r="89" spans="1:16">
      <c r="A89">
        <v>81</v>
      </c>
      <c r="B89" s="5">
        <v>8944.5582587140088</v>
      </c>
      <c r="C89" s="5">
        <v>3944.5582587140088</v>
      </c>
      <c r="D89" s="5">
        <v>0</v>
      </c>
      <c r="E89" s="5">
        <v>0</v>
      </c>
      <c r="F89" s="5"/>
      <c r="G89" s="5"/>
      <c r="H89" s="5"/>
      <c r="I89">
        <f>SMALL(CostOverRun!$B$9:$B$108,81)</f>
        <v>16097.627475290443</v>
      </c>
      <c r="J89">
        <f>1/(COUNT(CostOverRun!$B$9:$B$108)-1)+$J$88</f>
        <v>0.80808080808080696</v>
      </c>
      <c r="K89">
        <f>SMALL(CostOverRun!$C$9:$C$108,81)</f>
        <v>11097.627475290443</v>
      </c>
      <c r="L89">
        <f>1/(COUNT(CostOverRun!$C$9:$C$108)-1)+$L$88</f>
        <v>0.80808080808080696</v>
      </c>
      <c r="M89">
        <f>SMALL(CostOverRun!$D$9:$D$108,81)</f>
        <v>6097.6274752904428</v>
      </c>
      <c r="N89">
        <f>1/(COUNT(CostOverRun!$D$9:$D$108)-1)+$N$88</f>
        <v>0.80808080808080696</v>
      </c>
      <c r="O89">
        <f>SMALL(CostOverRun!$E$9:$E$108,81)</f>
        <v>1097.6274752904428</v>
      </c>
      <c r="P89">
        <f>1/(COUNT(CostOverRun!$E$9:$E$108)-1)+$P$88</f>
        <v>0.80808080808080696</v>
      </c>
    </row>
    <row r="90" spans="1:16">
      <c r="A90">
        <v>82</v>
      </c>
      <c r="B90" s="5">
        <v>0</v>
      </c>
      <c r="C90" s="5">
        <v>0</v>
      </c>
      <c r="D90" s="5">
        <v>0</v>
      </c>
      <c r="E90" s="5">
        <v>0</v>
      </c>
      <c r="F90" s="5"/>
      <c r="G90" s="5"/>
      <c r="H90" s="5"/>
      <c r="I90">
        <f>SMALL(CostOverRun!$B$9:$B$108,82)</f>
        <v>16393.964627842826</v>
      </c>
      <c r="J90">
        <f>1/(COUNT(CostOverRun!$B$9:$B$108)-1)+$J$89</f>
        <v>0.81818181818181701</v>
      </c>
      <c r="K90">
        <f>SMALL(CostOverRun!$C$9:$C$108,82)</f>
        <v>11393.964627842826</v>
      </c>
      <c r="L90">
        <f>1/(COUNT(CostOverRun!$C$9:$C$108)-1)+$L$89</f>
        <v>0.81818181818181701</v>
      </c>
      <c r="M90">
        <f>SMALL(CostOverRun!$D$9:$D$108,82)</f>
        <v>6393.9646278428263</v>
      </c>
      <c r="N90">
        <f>1/(COUNT(CostOverRun!$D$9:$D$108)-1)+$N$89</f>
        <v>0.81818181818181701</v>
      </c>
      <c r="O90">
        <f>SMALL(CostOverRun!$E$9:$E$108,82)</f>
        <v>1393.9646278428263</v>
      </c>
      <c r="P90">
        <f>1/(COUNT(CostOverRun!$E$9:$E$108)-1)+$P$89</f>
        <v>0.81818181818181701</v>
      </c>
    </row>
    <row r="91" spans="1:16">
      <c r="A91">
        <v>83</v>
      </c>
      <c r="B91" s="5">
        <v>6396.5102391408291</v>
      </c>
      <c r="C91" s="5">
        <v>1396.5102391408291</v>
      </c>
      <c r="D91" s="5">
        <v>0</v>
      </c>
      <c r="E91" s="5">
        <v>0</v>
      </c>
      <c r="F91" s="5"/>
      <c r="G91" s="5"/>
      <c r="H91" s="5"/>
      <c r="I91">
        <f>SMALL(CostOverRun!$B$9:$B$108,83)</f>
        <v>16560.081812159653</v>
      </c>
      <c r="J91">
        <f>1/(COUNT(CostOverRun!$B$9:$B$108)-1)+$J$90</f>
        <v>0.82828282828282707</v>
      </c>
      <c r="K91">
        <f>SMALL(CostOverRun!$C$9:$C$108,83)</f>
        <v>11560.081812159653</v>
      </c>
      <c r="L91">
        <f>1/(COUNT(CostOverRun!$C$9:$C$108)-1)+$L$90</f>
        <v>0.82828282828282707</v>
      </c>
      <c r="M91">
        <f>SMALL(CostOverRun!$D$9:$D$108,83)</f>
        <v>6560.0818121596531</v>
      </c>
      <c r="N91">
        <f>1/(COUNT(CostOverRun!$D$9:$D$108)-1)+$N$90</f>
        <v>0.82828282828282707</v>
      </c>
      <c r="O91">
        <f>SMALL(CostOverRun!$E$9:$E$108,83)</f>
        <v>1560.0818121596531</v>
      </c>
      <c r="P91">
        <f>1/(COUNT(CostOverRun!$E$9:$E$108)-1)+$P$90</f>
        <v>0.82828282828282707</v>
      </c>
    </row>
    <row r="92" spans="1:16">
      <c r="A92">
        <v>84</v>
      </c>
      <c r="B92" s="5">
        <v>7517.3780931396177</v>
      </c>
      <c r="C92" s="5">
        <v>2517.3780931396177</v>
      </c>
      <c r="D92" s="5">
        <v>0</v>
      </c>
      <c r="E92" s="5">
        <v>0</v>
      </c>
      <c r="F92" s="5"/>
      <c r="G92" s="5"/>
      <c r="H92" s="5"/>
      <c r="I92">
        <f>SMALL(CostOverRun!$B$9:$B$108,84)</f>
        <v>17217.876432795776</v>
      </c>
      <c r="J92">
        <f>1/(COUNT(CostOverRun!$B$9:$B$108)-1)+$J$91</f>
        <v>0.83838383838383712</v>
      </c>
      <c r="K92">
        <f>SMALL(CostOverRun!$C$9:$C$108,84)</f>
        <v>12217.876432795776</v>
      </c>
      <c r="L92">
        <f>1/(COUNT(CostOverRun!$C$9:$C$108)-1)+$L$91</f>
        <v>0.83838383838383712</v>
      </c>
      <c r="M92">
        <f>SMALL(CostOverRun!$D$9:$D$108,84)</f>
        <v>7217.8764327957761</v>
      </c>
      <c r="N92">
        <f>1/(COUNT(CostOverRun!$D$9:$D$108)-1)+$N$91</f>
        <v>0.83838383838383712</v>
      </c>
      <c r="O92">
        <f>SMALL(CostOverRun!$E$9:$E$108,84)</f>
        <v>2217.8764327957761</v>
      </c>
      <c r="P92">
        <f>1/(COUNT(CostOverRun!$E$9:$E$108)-1)+$P$91</f>
        <v>0.83838383838383712</v>
      </c>
    </row>
    <row r="93" spans="1:16">
      <c r="A93">
        <v>85</v>
      </c>
      <c r="B93" s="5">
        <v>9038.6118606471573</v>
      </c>
      <c r="C93" s="5">
        <v>4038.6118606471573</v>
      </c>
      <c r="D93" s="5">
        <v>0</v>
      </c>
      <c r="E93" s="5">
        <v>0</v>
      </c>
      <c r="F93" s="5"/>
      <c r="G93" s="5"/>
      <c r="H93" s="5"/>
      <c r="I93">
        <f>SMALL(CostOverRun!$B$9:$B$108,85)</f>
        <v>17262.787757449609</v>
      </c>
      <c r="J93">
        <f>1/(COUNT(CostOverRun!$B$9:$B$108)-1)+$J$92</f>
        <v>0.84848484848484718</v>
      </c>
      <c r="K93">
        <f>SMALL(CostOverRun!$C$9:$C$108,85)</f>
        <v>12262.787757449609</v>
      </c>
      <c r="L93">
        <f>1/(COUNT(CostOverRun!$C$9:$C$108)-1)+$L$92</f>
        <v>0.84848484848484718</v>
      </c>
      <c r="M93">
        <f>SMALL(CostOverRun!$D$9:$D$108,85)</f>
        <v>7262.7877574496088</v>
      </c>
      <c r="N93">
        <f>1/(COUNT(CostOverRun!$D$9:$D$108)-1)+$N$92</f>
        <v>0.84848484848484718</v>
      </c>
      <c r="O93">
        <f>SMALL(CostOverRun!$E$9:$E$108,85)</f>
        <v>2262.7877574496088</v>
      </c>
      <c r="P93">
        <f>1/(COUNT(CostOverRun!$E$9:$E$108)-1)+$P$92</f>
        <v>0.84848484848484718</v>
      </c>
    </row>
    <row r="94" spans="1:16">
      <c r="A94">
        <v>86</v>
      </c>
      <c r="B94" s="5">
        <v>20548.215044867218</v>
      </c>
      <c r="C94" s="5">
        <v>15548.215044867218</v>
      </c>
      <c r="D94" s="5">
        <v>10548.215044867218</v>
      </c>
      <c r="E94" s="5">
        <v>5548.2150448672182</v>
      </c>
      <c r="F94" s="5"/>
      <c r="G94" s="5"/>
      <c r="H94" s="5"/>
      <c r="I94">
        <f>SMALL(CostOverRun!$B$9:$B$108,86)</f>
        <v>17860.569216328731</v>
      </c>
      <c r="J94">
        <f>1/(COUNT(CostOverRun!$B$9:$B$108)-1)+$J$93</f>
        <v>0.85858585858585723</v>
      </c>
      <c r="K94">
        <f>SMALL(CostOverRun!$C$9:$C$108,86)</f>
        <v>12860.569216328731</v>
      </c>
      <c r="L94">
        <f>1/(COUNT(CostOverRun!$C$9:$C$108)-1)+$L$93</f>
        <v>0.85858585858585723</v>
      </c>
      <c r="M94">
        <f>SMALL(CostOverRun!$D$9:$D$108,86)</f>
        <v>7860.5692163287313</v>
      </c>
      <c r="N94">
        <f>1/(COUNT(CostOverRun!$D$9:$D$108)-1)+$N$93</f>
        <v>0.85858585858585723</v>
      </c>
      <c r="O94">
        <f>SMALL(CostOverRun!$E$9:$E$108,86)</f>
        <v>2860.5692163287313</v>
      </c>
      <c r="P94">
        <f>1/(COUNT(CostOverRun!$E$9:$E$108)-1)+$P$93</f>
        <v>0.85858585858585723</v>
      </c>
    </row>
    <row r="95" spans="1:16">
      <c r="A95">
        <v>87</v>
      </c>
      <c r="B95" s="5">
        <v>11319.588351967803</v>
      </c>
      <c r="C95" s="5">
        <v>6319.5883519678027</v>
      </c>
      <c r="D95" s="5">
        <v>1319.5883519678027</v>
      </c>
      <c r="E95" s="5">
        <v>0</v>
      </c>
      <c r="F95" s="5"/>
      <c r="G95" s="5"/>
      <c r="H95" s="5"/>
      <c r="I95">
        <f>SMALL(CostOverRun!$B$9:$B$108,87)</f>
        <v>18028.775500552845</v>
      </c>
      <c r="J95">
        <f>1/(COUNT(CostOverRun!$B$9:$B$108)-1)+$J$94</f>
        <v>0.86868686868686729</v>
      </c>
      <c r="K95">
        <f>SMALL(CostOverRun!$C$9:$C$108,87)</f>
        <v>13028.775500552845</v>
      </c>
      <c r="L95">
        <f>1/(COUNT(CostOverRun!$C$9:$C$108)-1)+$L$94</f>
        <v>0.86868686868686729</v>
      </c>
      <c r="M95">
        <f>SMALL(CostOverRun!$D$9:$D$108,87)</f>
        <v>8028.7755005528452</v>
      </c>
      <c r="N95">
        <f>1/(COUNT(CostOverRun!$D$9:$D$108)-1)+$N$94</f>
        <v>0.86868686868686729</v>
      </c>
      <c r="O95">
        <f>SMALL(CostOverRun!$E$9:$E$108,87)</f>
        <v>3028.7755005528452</v>
      </c>
      <c r="P95">
        <f>1/(COUNT(CostOverRun!$E$9:$E$108)-1)+$P$94</f>
        <v>0.86868686868686729</v>
      </c>
    </row>
    <row r="96" spans="1:16">
      <c r="A96">
        <v>88</v>
      </c>
      <c r="B96" s="5">
        <v>0</v>
      </c>
      <c r="C96" s="5">
        <v>0</v>
      </c>
      <c r="D96" s="5">
        <v>0</v>
      </c>
      <c r="E96" s="5">
        <v>0</v>
      </c>
      <c r="F96" s="5"/>
      <c r="G96" s="5"/>
      <c r="H96" s="5"/>
      <c r="I96">
        <f>SMALL(CostOverRun!$B$9:$B$108,88)</f>
        <v>18609.364977834106</v>
      </c>
      <c r="J96">
        <f>1/(COUNT(CostOverRun!$B$9:$B$108)-1)+$J$95</f>
        <v>0.87878787878787734</v>
      </c>
      <c r="K96">
        <f>SMALL(CostOverRun!$C$9:$C$108,88)</f>
        <v>13609.364977834106</v>
      </c>
      <c r="L96">
        <f>1/(COUNT(CostOverRun!$C$9:$C$108)-1)+$L$95</f>
        <v>0.87878787878787734</v>
      </c>
      <c r="M96">
        <f>SMALL(CostOverRun!$D$9:$D$108,88)</f>
        <v>8609.364977834106</v>
      </c>
      <c r="N96">
        <f>1/(COUNT(CostOverRun!$D$9:$D$108)-1)+$N$95</f>
        <v>0.87878787878787734</v>
      </c>
      <c r="O96">
        <f>SMALL(CostOverRun!$E$9:$E$108,88)</f>
        <v>3609.364977834106</v>
      </c>
      <c r="P96">
        <f>1/(COUNT(CostOverRun!$E$9:$E$108)-1)+$P$95</f>
        <v>0.87878787878787734</v>
      </c>
    </row>
    <row r="97" spans="1:16">
      <c r="A97">
        <v>89</v>
      </c>
      <c r="B97" s="5">
        <v>21910.991265184595</v>
      </c>
      <c r="C97" s="5">
        <v>16910.991265184595</v>
      </c>
      <c r="D97" s="5">
        <v>11910.991265184595</v>
      </c>
      <c r="E97" s="5">
        <v>6910.9912651845952</v>
      </c>
      <c r="F97" s="5"/>
      <c r="G97" s="5"/>
      <c r="H97" s="5"/>
      <c r="I97">
        <f>SMALL(CostOverRun!$B$9:$B$108,89)</f>
        <v>18996.948947996658</v>
      </c>
      <c r="J97">
        <f>1/(COUNT(CostOverRun!$B$9:$B$108)-1)+$J$96</f>
        <v>0.8888888888888874</v>
      </c>
      <c r="K97">
        <f>SMALL(CostOverRun!$C$9:$C$108,89)</f>
        <v>13996.948947996658</v>
      </c>
      <c r="L97">
        <f>1/(COUNT(CostOverRun!$C$9:$C$108)-1)+$L$96</f>
        <v>0.8888888888888874</v>
      </c>
      <c r="M97">
        <f>SMALL(CostOverRun!$D$9:$D$108,89)</f>
        <v>8996.9489479966578</v>
      </c>
      <c r="N97">
        <f>1/(COUNT(CostOverRun!$D$9:$D$108)-1)+$N$96</f>
        <v>0.8888888888888874</v>
      </c>
      <c r="O97">
        <f>SMALL(CostOverRun!$E$9:$E$108,89)</f>
        <v>3996.9489479966578</v>
      </c>
      <c r="P97">
        <f>1/(COUNT(CostOverRun!$E$9:$E$108)-1)+$P$96</f>
        <v>0.8888888888888874</v>
      </c>
    </row>
    <row r="98" spans="1:16">
      <c r="A98">
        <v>90</v>
      </c>
      <c r="B98" s="5">
        <v>2832.774379178969</v>
      </c>
      <c r="C98" s="5">
        <v>0</v>
      </c>
      <c r="D98" s="5">
        <v>0</v>
      </c>
      <c r="E98" s="5">
        <v>0</v>
      </c>
      <c r="F98" s="5"/>
      <c r="G98" s="5"/>
      <c r="H98" s="5"/>
      <c r="I98">
        <f>SMALL(CostOverRun!$B$9:$B$108,90)</f>
        <v>19156.049630939378</v>
      </c>
      <c r="J98">
        <f>1/(COUNT(CostOverRun!$B$9:$B$108)-1)+$J$97</f>
        <v>0.89898989898989745</v>
      </c>
      <c r="K98">
        <f>SMALL(CostOverRun!$C$9:$C$108,90)</f>
        <v>14156.049630939378</v>
      </c>
      <c r="L98">
        <f>1/(COUNT(CostOverRun!$C$9:$C$108)-1)+$L$97</f>
        <v>0.89898989898989745</v>
      </c>
      <c r="M98">
        <f>SMALL(CostOverRun!$D$9:$D$108,90)</f>
        <v>9156.0496309393784</v>
      </c>
      <c r="N98">
        <f>1/(COUNT(CostOverRun!$D$9:$D$108)-1)+$N$97</f>
        <v>0.89898989898989745</v>
      </c>
      <c r="O98">
        <f>SMALL(CostOverRun!$E$9:$E$108,90)</f>
        <v>4156.0496309393784</v>
      </c>
      <c r="P98">
        <f>1/(COUNT(CostOverRun!$E$9:$E$108)-1)+$P$97</f>
        <v>0.89898989898989745</v>
      </c>
    </row>
    <row r="99" spans="1:16">
      <c r="A99">
        <v>91</v>
      </c>
      <c r="B99" s="5">
        <v>3024.1020278393116</v>
      </c>
      <c r="C99" s="5">
        <v>0</v>
      </c>
      <c r="D99" s="5">
        <v>0</v>
      </c>
      <c r="E99" s="5">
        <v>0</v>
      </c>
      <c r="F99" s="5"/>
      <c r="G99" s="5"/>
      <c r="H99" s="5"/>
      <c r="I99">
        <f>SMALL(CostOverRun!$B$9:$B$108,91)</f>
        <v>19190.544308286917</v>
      </c>
      <c r="J99">
        <f>1/(COUNT(CostOverRun!$B$9:$B$108)-1)+$J$98</f>
        <v>0.90909090909090751</v>
      </c>
      <c r="K99">
        <f>SMALL(CostOverRun!$C$9:$C$108,91)</f>
        <v>14190.544308286917</v>
      </c>
      <c r="L99">
        <f>1/(COUNT(CostOverRun!$C$9:$C$108)-1)+$L$98</f>
        <v>0.90909090909090751</v>
      </c>
      <c r="M99">
        <f>SMALL(CostOverRun!$D$9:$D$108,91)</f>
        <v>9190.5443082869169</v>
      </c>
      <c r="N99">
        <f>1/(COUNT(CostOverRun!$D$9:$D$108)-1)+$N$98</f>
        <v>0.90909090909090751</v>
      </c>
      <c r="O99">
        <f>SMALL(CostOverRun!$E$9:$E$108,91)</f>
        <v>4190.5443082869169</v>
      </c>
      <c r="P99">
        <f>1/(COUNT(CostOverRun!$E$9:$E$108)-1)+$P$98</f>
        <v>0.90909090909090751</v>
      </c>
    </row>
    <row r="100" spans="1:16">
      <c r="A100">
        <v>92</v>
      </c>
      <c r="B100" s="5">
        <v>4677.9068960305885</v>
      </c>
      <c r="C100" s="5">
        <v>0</v>
      </c>
      <c r="D100" s="5">
        <v>0</v>
      </c>
      <c r="E100" s="5">
        <v>0</v>
      </c>
      <c r="F100" s="5"/>
      <c r="G100" s="5"/>
      <c r="H100" s="5"/>
      <c r="I100">
        <f>SMALL(CostOverRun!$B$9:$B$108,92)</f>
        <v>19417.885407044174</v>
      </c>
      <c r="J100">
        <f>1/(COUNT(CostOverRun!$B$9:$B$108)-1)+$J$99</f>
        <v>0.91919191919191756</v>
      </c>
      <c r="K100">
        <f>SMALL(CostOverRun!$C$9:$C$108,92)</f>
        <v>14417.885407044174</v>
      </c>
      <c r="L100">
        <f>1/(COUNT(CostOverRun!$C$9:$C$108)-1)+$L$99</f>
        <v>0.91919191919191756</v>
      </c>
      <c r="M100">
        <f>SMALL(CostOverRun!$D$9:$D$108,92)</f>
        <v>9417.8854070441739</v>
      </c>
      <c r="N100">
        <f>1/(COUNT(CostOverRun!$D$9:$D$108)-1)+$N$99</f>
        <v>0.91919191919191756</v>
      </c>
      <c r="O100">
        <f>SMALL(CostOverRun!$E$9:$E$108,92)</f>
        <v>4417.8854070441739</v>
      </c>
      <c r="P100">
        <f>1/(COUNT(CostOverRun!$E$9:$E$108)-1)+$P$99</f>
        <v>0.91919191919191756</v>
      </c>
    </row>
    <row r="101" spans="1:16">
      <c r="A101">
        <v>93</v>
      </c>
      <c r="B101" s="5">
        <v>0</v>
      </c>
      <c r="C101" s="5">
        <v>0</v>
      </c>
      <c r="D101" s="5">
        <v>0</v>
      </c>
      <c r="E101" s="5">
        <v>0</v>
      </c>
      <c r="F101" s="5"/>
      <c r="G101" s="5"/>
      <c r="H101" s="5"/>
      <c r="I101">
        <f>SMALL(CostOverRun!$B$9:$B$108,93)</f>
        <v>19435.522062748321</v>
      </c>
      <c r="J101">
        <f>1/(COUNT(CostOverRun!$B$9:$B$108)-1)+$J$100</f>
        <v>0.92929292929292762</v>
      </c>
      <c r="K101">
        <f>SMALL(CostOverRun!$C$9:$C$108,93)</f>
        <v>14435.522062748321</v>
      </c>
      <c r="L101">
        <f>1/(COUNT(CostOverRun!$C$9:$C$108)-1)+$L$100</f>
        <v>0.92929292929292762</v>
      </c>
      <c r="M101">
        <f>SMALL(CostOverRun!$D$9:$D$108,93)</f>
        <v>9435.5220627483213</v>
      </c>
      <c r="N101">
        <f>1/(COUNT(CostOverRun!$D$9:$D$108)-1)+$N$100</f>
        <v>0.92929292929292762</v>
      </c>
      <c r="O101">
        <f>SMALL(CostOverRun!$E$9:$E$108,93)</f>
        <v>4435.5220627483213</v>
      </c>
      <c r="P101">
        <f>1/(COUNT(CostOverRun!$E$9:$E$108)-1)+$P$100</f>
        <v>0.92929292929292762</v>
      </c>
    </row>
    <row r="102" spans="1:16">
      <c r="A102">
        <v>94</v>
      </c>
      <c r="B102" s="5">
        <v>0</v>
      </c>
      <c r="C102" s="5">
        <v>0</v>
      </c>
      <c r="D102" s="5">
        <v>0</v>
      </c>
      <c r="E102" s="5">
        <v>0</v>
      </c>
      <c r="F102" s="5"/>
      <c r="G102" s="5"/>
      <c r="H102" s="5"/>
      <c r="I102">
        <f>SMALL(CostOverRun!$B$9:$B$108,94)</f>
        <v>20548.215044867218</v>
      </c>
      <c r="J102">
        <f>1/(COUNT(CostOverRun!$B$9:$B$108)-1)+$J$101</f>
        <v>0.93939393939393767</v>
      </c>
      <c r="K102">
        <f>SMALL(CostOverRun!$C$9:$C$108,94)</f>
        <v>15548.215044867218</v>
      </c>
      <c r="L102">
        <f>1/(COUNT(CostOverRun!$C$9:$C$108)-1)+$L$101</f>
        <v>0.93939393939393767</v>
      </c>
      <c r="M102">
        <f>SMALL(CostOverRun!$D$9:$D$108,94)</f>
        <v>10548.215044867218</v>
      </c>
      <c r="N102">
        <f>1/(COUNT(CostOverRun!$D$9:$D$108)-1)+$N$101</f>
        <v>0.93939393939393767</v>
      </c>
      <c r="O102">
        <f>SMALL(CostOverRun!$E$9:$E$108,94)</f>
        <v>5548.2150448672182</v>
      </c>
      <c r="P102">
        <f>1/(COUNT(CostOverRun!$E$9:$E$108)-1)+$P$101</f>
        <v>0.93939393939393767</v>
      </c>
    </row>
    <row r="103" spans="1:16">
      <c r="A103">
        <v>95</v>
      </c>
      <c r="B103" s="5">
        <v>10726.743098133011</v>
      </c>
      <c r="C103" s="5">
        <v>5726.7430981330108</v>
      </c>
      <c r="D103" s="5">
        <v>726.74309813301079</v>
      </c>
      <c r="E103" s="5">
        <v>0</v>
      </c>
      <c r="F103" s="5"/>
      <c r="G103" s="5"/>
      <c r="H103" s="5"/>
      <c r="I103">
        <f>SMALL(CostOverRun!$B$9:$B$108,95)</f>
        <v>20777.693418934738</v>
      </c>
      <c r="J103">
        <f>1/(COUNT(CostOverRun!$B$9:$B$108)-1)+$J$102</f>
        <v>0.94949494949494773</v>
      </c>
      <c r="K103">
        <f>SMALL(CostOverRun!$C$9:$C$108,95)</f>
        <v>15777.693418934738</v>
      </c>
      <c r="L103">
        <f>1/(COUNT(CostOverRun!$C$9:$C$108)-1)+$L$102</f>
        <v>0.94949494949494773</v>
      </c>
      <c r="M103">
        <f>SMALL(CostOverRun!$D$9:$D$108,95)</f>
        <v>10777.693418934738</v>
      </c>
      <c r="N103">
        <f>1/(COUNT(CostOverRun!$D$9:$D$108)-1)+$N$102</f>
        <v>0.94949494949494773</v>
      </c>
      <c r="O103">
        <f>SMALL(CostOverRun!$E$9:$E$108,95)</f>
        <v>5777.6934189347376</v>
      </c>
      <c r="P103">
        <f>1/(COUNT(CostOverRun!$E$9:$E$108)-1)+$P$102</f>
        <v>0.94949494949494773</v>
      </c>
    </row>
    <row r="104" spans="1:16">
      <c r="A104">
        <v>96</v>
      </c>
      <c r="B104" s="5">
        <v>8655.5951214940869</v>
      </c>
      <c r="C104" s="5">
        <v>3655.5951214940869</v>
      </c>
      <c r="D104" s="5">
        <v>0</v>
      </c>
      <c r="E104" s="5">
        <v>0</v>
      </c>
      <c r="F104" s="5"/>
      <c r="G104" s="5"/>
      <c r="H104" s="5"/>
      <c r="I104">
        <f>SMALL(CostOverRun!$B$9:$B$108,96)</f>
        <v>21910.991265184595</v>
      </c>
      <c r="J104">
        <f>1/(COUNT(CostOverRun!$B$9:$B$108)-1)+$J$103</f>
        <v>0.95959595959595778</v>
      </c>
      <c r="K104">
        <f>SMALL(CostOverRun!$C$9:$C$108,96)</f>
        <v>16910.991265184595</v>
      </c>
      <c r="L104">
        <f>1/(COUNT(CostOverRun!$C$9:$C$108)-1)+$L$103</f>
        <v>0.95959595959595778</v>
      </c>
      <c r="M104">
        <f>SMALL(CostOverRun!$D$9:$D$108,96)</f>
        <v>11910.991265184595</v>
      </c>
      <c r="N104">
        <f>1/(COUNT(CostOverRun!$D$9:$D$108)-1)+$N$103</f>
        <v>0.95959595959595778</v>
      </c>
      <c r="O104">
        <f>SMALL(CostOverRun!$E$9:$E$108,96)</f>
        <v>6910.9912651845952</v>
      </c>
      <c r="P104">
        <f>1/(COUNT(CostOverRun!$E$9:$E$108)-1)+$P$103</f>
        <v>0.95959595959595778</v>
      </c>
    </row>
    <row r="105" spans="1:16">
      <c r="A105">
        <v>97</v>
      </c>
      <c r="B105" s="5">
        <v>0</v>
      </c>
      <c r="C105" s="5">
        <v>0</v>
      </c>
      <c r="D105" s="5">
        <v>0</v>
      </c>
      <c r="E105" s="5">
        <v>0</v>
      </c>
      <c r="F105" s="5"/>
      <c r="G105" s="5"/>
      <c r="H105" s="5"/>
      <c r="I105">
        <f>SMALL(CostOverRun!$B$9:$B$108,97)</f>
        <v>23214.341591407108</v>
      </c>
      <c r="J105">
        <f>1/(COUNT(CostOverRun!$B$9:$B$108)-1)+$J$104</f>
        <v>0.96969696969696784</v>
      </c>
      <c r="K105">
        <f>SMALL(CostOverRun!$C$9:$C$108,97)</f>
        <v>18214.341591407108</v>
      </c>
      <c r="L105">
        <f>1/(COUNT(CostOverRun!$C$9:$C$108)-1)+$L$104</f>
        <v>0.96969696969696784</v>
      </c>
      <c r="M105">
        <f>SMALL(CostOverRun!$D$9:$D$108,97)</f>
        <v>13214.341591407108</v>
      </c>
      <c r="N105">
        <f>1/(COUNT(CostOverRun!$D$9:$D$108)-1)+$N$104</f>
        <v>0.96969696969696784</v>
      </c>
      <c r="O105">
        <f>SMALL(CostOverRun!$E$9:$E$108,97)</f>
        <v>8214.3415914071084</v>
      </c>
      <c r="P105">
        <f>1/(COUNT(CostOverRun!$E$9:$E$108)-1)+$P$104</f>
        <v>0.96969696969696784</v>
      </c>
    </row>
    <row r="106" spans="1:16">
      <c r="A106">
        <v>98</v>
      </c>
      <c r="B106" s="5">
        <v>5494.295404477627</v>
      </c>
      <c r="C106" s="5">
        <v>494.29540447762702</v>
      </c>
      <c r="D106" s="5">
        <v>0</v>
      </c>
      <c r="E106" s="5">
        <v>0</v>
      </c>
      <c r="F106" s="5"/>
      <c r="G106" s="5"/>
      <c r="H106" s="5"/>
      <c r="I106">
        <f>SMALL(CostOverRun!$B$9:$B$108,98)</f>
        <v>23391.461208125547</v>
      </c>
      <c r="J106">
        <f>1/(COUNT(CostOverRun!$B$9:$B$108)-1)+$J$105</f>
        <v>0.97979797979797789</v>
      </c>
      <c r="K106">
        <f>SMALL(CostOverRun!$C$9:$C$108,98)</f>
        <v>18391.461208125547</v>
      </c>
      <c r="L106">
        <f>1/(COUNT(CostOverRun!$C$9:$C$108)-1)+$L$105</f>
        <v>0.97979797979797789</v>
      </c>
      <c r="M106">
        <f>SMALL(CostOverRun!$D$9:$D$108,98)</f>
        <v>13391.461208125547</v>
      </c>
      <c r="N106">
        <f>1/(COUNT(CostOverRun!$D$9:$D$108)-1)+$N$105</f>
        <v>0.97979797979797789</v>
      </c>
      <c r="O106">
        <f>SMALL(CostOverRun!$E$9:$E$108,98)</f>
        <v>8391.4612081255473</v>
      </c>
      <c r="P106">
        <f>1/(COUNT(CostOverRun!$E$9:$E$108)-1)+$P$105</f>
        <v>0.97979797979797789</v>
      </c>
    </row>
    <row r="107" spans="1:16">
      <c r="A107">
        <v>99</v>
      </c>
      <c r="B107" s="5">
        <v>23214.341591407108</v>
      </c>
      <c r="C107" s="5">
        <v>18214.341591407108</v>
      </c>
      <c r="D107" s="5">
        <v>13214.341591407108</v>
      </c>
      <c r="E107" s="5">
        <v>8214.3415914071084</v>
      </c>
      <c r="F107" s="5"/>
      <c r="G107" s="5"/>
      <c r="H107" s="5"/>
      <c r="I107">
        <f>SMALL(CostOverRun!$B$9:$B$108,99)</f>
        <v>23893.514363843307</v>
      </c>
      <c r="J107">
        <f>1/(COUNT(CostOverRun!$B$9:$B$108)-1)+$J$106</f>
        <v>0.98989898989898795</v>
      </c>
      <c r="K107">
        <f>SMALL(CostOverRun!$C$9:$C$108,99)</f>
        <v>18893.514363843307</v>
      </c>
      <c r="L107">
        <f>1/(COUNT(CostOverRun!$C$9:$C$108)-1)+$L$106</f>
        <v>0.98989898989898795</v>
      </c>
      <c r="M107">
        <f>SMALL(CostOverRun!$D$9:$D$108,99)</f>
        <v>13893.514363843307</v>
      </c>
      <c r="N107">
        <f>1/(COUNT(CostOverRun!$D$9:$D$108)-1)+$N$106</f>
        <v>0.98989898989898795</v>
      </c>
      <c r="O107">
        <f>SMALL(CostOverRun!$E$9:$E$108,99)</f>
        <v>8893.5143638433074</v>
      </c>
      <c r="P107">
        <f>1/(COUNT(CostOverRun!$E$9:$E$108)-1)+$P$106</f>
        <v>0.98989898989898795</v>
      </c>
    </row>
    <row r="108" spans="1:16">
      <c r="A108">
        <v>100</v>
      </c>
      <c r="B108" s="5">
        <v>2952.3322081354272</v>
      </c>
      <c r="C108" s="5">
        <v>0</v>
      </c>
      <c r="D108" s="5">
        <v>0</v>
      </c>
      <c r="E108" s="5">
        <v>0</v>
      </c>
      <c r="F108" s="5"/>
      <c r="G108" s="5"/>
      <c r="H108" s="5"/>
      <c r="I108">
        <f>SMALL(CostOverRun!$B$9:$B$108,100)</f>
        <v>24763.116394380922</v>
      </c>
      <c r="J108">
        <f>1/(COUNT(CostOverRun!$B$9:$B$108)-1)+$J$107</f>
        <v>0.999999999999998</v>
      </c>
      <c r="K108">
        <f>SMALL(CostOverRun!$C$9:$C$108,100)</f>
        <v>19763.116394380922</v>
      </c>
      <c r="L108">
        <f>1/(COUNT(CostOverRun!$C$9:$C$108)-1)+$L$107</f>
        <v>0.999999999999998</v>
      </c>
      <c r="M108">
        <f>SMALL(CostOverRun!$D$9:$D$108,100)</f>
        <v>14763.116394380922</v>
      </c>
      <c r="N108">
        <f>1/(COUNT(CostOverRun!$D$9:$D$108)-1)+$N$107</f>
        <v>0.999999999999998</v>
      </c>
      <c r="O108">
        <f>SMALL(CostOverRun!$E$9:$E$108,100)</f>
        <v>9763.1163943809224</v>
      </c>
      <c r="P108">
        <f>1/(COUNT(CostOverRun!$E$9:$E$108)-1)+$P$107</f>
        <v>0.999999999999998</v>
      </c>
    </row>
    <row r="110" spans="1:16">
      <c r="G110" s="5"/>
      <c r="J110" s="5"/>
      <c r="M110" s="5"/>
    </row>
    <row r="111" spans="1:16">
      <c r="J111" s="1" t="s">
        <v>75</v>
      </c>
    </row>
    <row r="112" spans="1:16">
      <c r="J112" t="s">
        <v>34</v>
      </c>
      <c r="K112" s="5">
        <v>0</v>
      </c>
      <c r="L112" s="5">
        <v>0</v>
      </c>
      <c r="M112" s="5">
        <v>0</v>
      </c>
      <c r="N112" s="5">
        <v>0</v>
      </c>
    </row>
    <row r="113" spans="6:14">
      <c r="F113" t="str">
        <f>IF(ISBLANK($F112)=TRUE,"",target($F$9:$F$108,$F112))</f>
        <v/>
      </c>
      <c r="G113" t="str">
        <f>IF(ISBLANK($G112)=TRUE,"",target($G$9:$G$108,$G112))</f>
        <v/>
      </c>
      <c r="H113" t="str">
        <f>IF(ISBLANK($H112)=TRUE,"",target($H$9:$H$108,$H112))</f>
        <v/>
      </c>
      <c r="I113" t="str">
        <f>IF(ISBLANK($I112)=TRUE,"",target($I$9:$I$108,$I112))</f>
        <v/>
      </c>
      <c r="J113" t="s">
        <v>35</v>
      </c>
      <c r="K113" s="5">
        <f>1-_xll.EDF(B$9:B$108,K112)</f>
        <v>0.87</v>
      </c>
      <c r="L113" s="5">
        <f>1-_xll.EDF(C$9:C$108,L112)</f>
        <v>0.66999999999999993</v>
      </c>
      <c r="M113" s="5">
        <f>1-_xll.EDF(D$9:D$108,M112)</f>
        <v>0.37</v>
      </c>
      <c r="N113" s="5">
        <f>1-_xll.EDF(E$9:E$108,N112)</f>
        <v>0.20999999999999996</v>
      </c>
    </row>
    <row r="114" spans="6:14">
      <c r="J114" t="s">
        <v>36</v>
      </c>
      <c r="K114" s="4">
        <v>5000</v>
      </c>
      <c r="L114" s="4">
        <v>5000</v>
      </c>
      <c r="M114" s="4">
        <v>5000</v>
      </c>
      <c r="N114" s="4">
        <v>5000</v>
      </c>
    </row>
    <row r="115" spans="6:14">
      <c r="F115" t="str">
        <f>IF(ISBLANK($F114)=TRUE,"",target($F$9:$F$108,$F114))</f>
        <v/>
      </c>
      <c r="G115" t="str">
        <f>IF(ISBLANK($G114)=TRUE,"",target($G$9:$G$108,$G114))</f>
        <v/>
      </c>
      <c r="H115" t="str">
        <f>IF(ISBLANK($H114)=TRUE,"",target($H$9:$H$108,$H114))</f>
        <v/>
      </c>
      <c r="I115" t="str">
        <f>IF(ISBLANK($I114)=TRUE,"",target($I$9:$I$108,$I114))</f>
        <v/>
      </c>
      <c r="J115" t="s">
        <v>37</v>
      </c>
      <c r="K115" s="5">
        <f>1-_xll.EDF(B$9:B$108,K114)</f>
        <v>0.66535656371295326</v>
      </c>
      <c r="L115" s="5">
        <f>1-_xll.EDF(C$9:C$108,L114)</f>
        <v>0.36066506370672502</v>
      </c>
      <c r="M115" s="5">
        <f>1-_xll.EDF(D$9:D$108,M114)</f>
        <v>0.20467125609906467</v>
      </c>
      <c r="N115" s="5">
        <f>1-_xll.EDF(E$9:E$108,N114)</f>
        <v>6.492692102562958E-2</v>
      </c>
    </row>
    <row r="116" spans="6:14">
      <c r="J116" t="s">
        <v>38</v>
      </c>
      <c r="K116" s="4">
        <v>10000</v>
      </c>
      <c r="L116" s="4">
        <v>10000</v>
      </c>
      <c r="M116" s="4">
        <v>10000</v>
      </c>
      <c r="N116" s="4">
        <v>10000</v>
      </c>
    </row>
    <row r="117" spans="6:14">
      <c r="F117" t="str">
        <f>IF(ISBLANK($F116)=TRUE,"",target($F$9:$F$108,$F116))</f>
        <v/>
      </c>
      <c r="G117" t="str">
        <f>IF(ISBLANK($G116)=TRUE,"",target($G$9:$G$108,$G116))</f>
        <v/>
      </c>
      <c r="H117" t="str">
        <f>IF(ISBLANK($H116)=TRUE,"",target($H$9:$H$108,$H116))</f>
        <v/>
      </c>
      <c r="I117" t="str">
        <f>IF(ISBLANK($I116)=TRUE,"",target($I$9:$I$108,$I116))</f>
        <v/>
      </c>
      <c r="J117" t="s">
        <v>39</v>
      </c>
      <c r="K117" s="5">
        <f>1-_xll.EDF(B$9:B$108,K116)</f>
        <v>0.36066506370672502</v>
      </c>
      <c r="L117" s="5">
        <f>1-_xll.EDF(C$9:C$108,L116)</f>
        <v>0.20467125609906467</v>
      </c>
      <c r="M117" s="5">
        <f>1-_xll.EDF(D$9:D$108,M116)</f>
        <v>6.492692102562958E-2</v>
      </c>
      <c r="N117" s="5">
        <f>1-_xll.EDF(E$9:E$108,N116)</f>
        <v>0</v>
      </c>
    </row>
    <row r="118" spans="6:14">
      <c r="J118" t="s">
        <v>40</v>
      </c>
      <c r="K118" s="4">
        <v>15000</v>
      </c>
      <c r="L118" s="4">
        <v>15000</v>
      </c>
      <c r="M118" s="4">
        <v>15000</v>
      </c>
      <c r="N118" s="4">
        <v>15000</v>
      </c>
    </row>
    <row r="119" spans="6:14">
      <c r="F119" t="str">
        <f>IF(ISBLANK($F118)=TRUE,"",target($F$9:$F$108,$F118))</f>
        <v/>
      </c>
      <c r="G119" t="str">
        <f>IF(ISBLANK($G118)=TRUE,"",target($G$9:$G$108,$G118))</f>
        <v/>
      </c>
      <c r="H119" t="str">
        <f>IF(ISBLANK($H118)=TRUE,"",target($H$9:$H$108,$H118))</f>
        <v/>
      </c>
      <c r="I119" t="str">
        <f>IF(ISBLANK($I118)=TRUE,"",target($I$9:$I$108,$I118))</f>
        <v/>
      </c>
      <c r="J119" t="s">
        <v>41</v>
      </c>
      <c r="K119" s="5">
        <f>1-_xll.EDF(B$9:B$108,K118)</f>
        <v>0.20467125609906467</v>
      </c>
      <c r="L119" s="5">
        <f>1-_xll.EDF(C$9:C$108,L118)</f>
        <v>6.492692102562958E-2</v>
      </c>
      <c r="M119" s="5">
        <f>1-_xll.EDF(D$9:D$108,M118)</f>
        <v>0</v>
      </c>
      <c r="N119" s="5">
        <f>1-_xll.EDF(E$9:E$108,N118)</f>
        <v>0</v>
      </c>
    </row>
    <row r="120" spans="6:14">
      <c r="J120" t="s">
        <v>42</v>
      </c>
      <c r="K120" s="4">
        <v>20000</v>
      </c>
      <c r="L120" s="4">
        <v>20000</v>
      </c>
      <c r="M120" s="4">
        <v>20000</v>
      </c>
      <c r="N120" s="4">
        <v>20000</v>
      </c>
    </row>
    <row r="121" spans="6:14">
      <c r="J121" t="s">
        <v>43</v>
      </c>
      <c r="K121" s="5">
        <f>1-_xll.EDF(B$9:B$108,K120)</f>
        <v>6.492692102562958E-2</v>
      </c>
      <c r="L121" s="5">
        <f>1-_xll.EDF(C$9:C$108,L120)</f>
        <v>0</v>
      </c>
      <c r="M121" s="5">
        <f>1-_xll.EDF(D$9:D$108,M120)</f>
        <v>0</v>
      </c>
      <c r="N121" s="5">
        <f>1-_xll.EDF(E$9:E$108,N120)</f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BidAnalysis</vt:lpstr>
      <vt:lpstr>SimData</vt:lpstr>
      <vt:lpstr>CostOverRun</vt:lpstr>
      <vt:lpstr>BidAnalysis!Print_Area</vt:lpstr>
    </vt:vector>
  </TitlesOfParts>
  <Company>Dept. Ag. Eco. at TAMU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Agricultural and Food Policy Center</dc:creator>
  <cp:lastModifiedBy>James W. Richardson</cp:lastModifiedBy>
  <cp:lastPrinted>2002-12-03T02:19:15Z</cp:lastPrinted>
  <dcterms:created xsi:type="dcterms:W3CDTF">2000-12-10T13:26:35Z</dcterms:created>
  <dcterms:modified xsi:type="dcterms:W3CDTF">2011-02-07T03:59:37Z</dcterms:modified>
</cp:coreProperties>
</file>