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4085" windowHeight="8580" tabRatio="821" activeTab="1"/>
  </bookViews>
  <sheets>
    <sheet name="SimDataScen" sheetId="20" r:id="rId1"/>
    <sheet name="Model" sheetId="1" r:id="rId2"/>
    <sheet name="SimData" sheetId="4" r:id="rId3"/>
    <sheet name="Iter No Test" sheetId="5" r:id="rId4"/>
    <sheet name="25 Iter CDF" sheetId="6" r:id="rId5"/>
    <sheet name="50 Iter CDF" sheetId="7" r:id="rId6"/>
    <sheet name="75 Iter CDF" sheetId="14" r:id="rId7"/>
    <sheet name="100 Iter CDF" sheetId="15" r:id="rId8"/>
    <sheet name="200 Iter CDF" sheetId="16" r:id="rId9"/>
    <sheet name="500 Iter CDF" sheetId="17" r:id="rId10"/>
    <sheet name="1000 Iter CDF" sheetId="18" r:id="rId11"/>
    <sheet name="5000 Iter CDF" sheetId="19" r:id="rId12"/>
  </sheets>
  <definedNames>
    <definedName name="_xlnm.Print_Area" localSheetId="1">Model!$A$1:$P$70</definedName>
  </definedNames>
  <calcPr calcId="125725"/>
</workbook>
</file>

<file path=xl/calcChain.xml><?xml version="1.0" encoding="utf-8"?>
<calcChain xmlns="http://schemas.openxmlformats.org/spreadsheetml/2006/main">
  <c r="X9" i="20"/>
  <c r="X8"/>
  <c r="X16" s="1"/>
  <c r="X12"/>
  <c r="X14"/>
  <c r="V9"/>
  <c r="V8"/>
  <c r="V12"/>
  <c r="V14"/>
  <c r="T9"/>
  <c r="T8"/>
  <c r="T16" s="1"/>
  <c r="T17" s="1"/>
  <c r="T12"/>
  <c r="T14"/>
  <c r="R9"/>
  <c r="R8"/>
  <c r="R16" s="1"/>
  <c r="R14"/>
  <c r="E519"/>
  <c r="E517"/>
  <c r="E515"/>
  <c r="E513"/>
  <c r="E511"/>
  <c r="E8"/>
  <c r="X7" s="1"/>
  <c r="E7"/>
  <c r="E6"/>
  <c r="E4"/>
  <c r="E3"/>
  <c r="E5"/>
  <c r="D519"/>
  <c r="D517"/>
  <c r="D515"/>
  <c r="D513"/>
  <c r="D511"/>
  <c r="D8"/>
  <c r="V7" s="1"/>
  <c r="D7"/>
  <c r="D6"/>
  <c r="D4"/>
  <c r="D3"/>
  <c r="D5"/>
  <c r="C519"/>
  <c r="C517"/>
  <c r="C515"/>
  <c r="C513"/>
  <c r="C511"/>
  <c r="C8"/>
  <c r="T7" s="1"/>
  <c r="C7"/>
  <c r="C6"/>
  <c r="C4"/>
  <c r="C3"/>
  <c r="C5" s="1"/>
  <c r="B519"/>
  <c r="B517"/>
  <c r="B515"/>
  <c r="B513"/>
  <c r="B511"/>
  <c r="B8"/>
  <c r="B7"/>
  <c r="B6"/>
  <c r="B4"/>
  <c r="B3"/>
  <c r="B5" s="1"/>
  <c r="O8"/>
  <c r="O9"/>
  <c r="O10"/>
  <c r="O11" s="1"/>
  <c r="O12" s="1"/>
  <c r="O13" s="1"/>
  <c r="O14" s="1"/>
  <c r="O15" s="1"/>
  <c r="O16" s="1"/>
  <c r="O17" s="1"/>
  <c r="O18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O124" s="1"/>
  <c r="O125" s="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142" s="1"/>
  <c r="O143" s="1"/>
  <c r="O144" s="1"/>
  <c r="O145" s="1"/>
  <c r="O146" s="1"/>
  <c r="O147" s="1"/>
  <c r="O148" s="1"/>
  <c r="O149" s="1"/>
  <c r="O150" s="1"/>
  <c r="O151" s="1"/>
  <c r="O152" s="1"/>
  <c r="O153" s="1"/>
  <c r="O154" s="1"/>
  <c r="O155" s="1"/>
  <c r="O156" s="1"/>
  <c r="O157" s="1"/>
  <c r="O158" s="1"/>
  <c r="O159" s="1"/>
  <c r="O160" s="1"/>
  <c r="O161" s="1"/>
  <c r="O162" s="1"/>
  <c r="O163" s="1"/>
  <c r="O164" s="1"/>
  <c r="O165" s="1"/>
  <c r="O166" s="1"/>
  <c r="O167" s="1"/>
  <c r="O168" s="1"/>
  <c r="O169" s="1"/>
  <c r="O170" s="1"/>
  <c r="O171" s="1"/>
  <c r="O172" s="1"/>
  <c r="O173" s="1"/>
  <c r="O174" s="1"/>
  <c r="O175" s="1"/>
  <c r="O176" s="1"/>
  <c r="O177" s="1"/>
  <c r="O178" s="1"/>
  <c r="O179" s="1"/>
  <c r="O180" s="1"/>
  <c r="O181" s="1"/>
  <c r="O182" s="1"/>
  <c r="O183" s="1"/>
  <c r="O184" s="1"/>
  <c r="O185" s="1"/>
  <c r="O186" s="1"/>
  <c r="O187" s="1"/>
  <c r="O188" s="1"/>
  <c r="O189" s="1"/>
  <c r="O190" s="1"/>
  <c r="O191" s="1"/>
  <c r="O192" s="1"/>
  <c r="O193" s="1"/>
  <c r="O194" s="1"/>
  <c r="O195" s="1"/>
  <c r="O196" s="1"/>
  <c r="O197" s="1"/>
  <c r="O198" s="1"/>
  <c r="O199" s="1"/>
  <c r="O200" s="1"/>
  <c r="O201" s="1"/>
  <c r="O202" s="1"/>
  <c r="O203" s="1"/>
  <c r="O204" s="1"/>
  <c r="O205" s="1"/>
  <c r="O206" s="1"/>
  <c r="O207" s="1"/>
  <c r="O208" s="1"/>
  <c r="O209" s="1"/>
  <c r="O210" s="1"/>
  <c r="O211" s="1"/>
  <c r="O212" s="1"/>
  <c r="O213" s="1"/>
  <c r="O214" s="1"/>
  <c r="O215" s="1"/>
  <c r="O216" s="1"/>
  <c r="O217" s="1"/>
  <c r="O218" s="1"/>
  <c r="O219" s="1"/>
  <c r="O220" s="1"/>
  <c r="O221" s="1"/>
  <c r="O222" s="1"/>
  <c r="O223" s="1"/>
  <c r="O224" s="1"/>
  <c r="O225" s="1"/>
  <c r="O226" s="1"/>
  <c r="O227" s="1"/>
  <c r="O228" s="1"/>
  <c r="O229" s="1"/>
  <c r="O230" s="1"/>
  <c r="O231" s="1"/>
  <c r="O232" s="1"/>
  <c r="O233" s="1"/>
  <c r="O234" s="1"/>
  <c r="O235" s="1"/>
  <c r="O236" s="1"/>
  <c r="O237" s="1"/>
  <c r="O238" s="1"/>
  <c r="O239" s="1"/>
  <c r="O240" s="1"/>
  <c r="O241" s="1"/>
  <c r="O242" s="1"/>
  <c r="O243" s="1"/>
  <c r="O244" s="1"/>
  <c r="O245" s="1"/>
  <c r="O246" s="1"/>
  <c r="O247" s="1"/>
  <c r="O248" s="1"/>
  <c r="O249" s="1"/>
  <c r="O250" s="1"/>
  <c r="O251" s="1"/>
  <c r="O252" s="1"/>
  <c r="O253" s="1"/>
  <c r="O254" s="1"/>
  <c r="O255" s="1"/>
  <c r="O256" s="1"/>
  <c r="O257" s="1"/>
  <c r="O258" s="1"/>
  <c r="O259" s="1"/>
  <c r="O260" s="1"/>
  <c r="O261" s="1"/>
  <c r="O262" s="1"/>
  <c r="O263" s="1"/>
  <c r="O264" s="1"/>
  <c r="O265" s="1"/>
  <c r="O266" s="1"/>
  <c r="O267" s="1"/>
  <c r="O268" s="1"/>
  <c r="O269" s="1"/>
  <c r="O270" s="1"/>
  <c r="O271" s="1"/>
  <c r="O272" s="1"/>
  <c r="O273" s="1"/>
  <c r="O274" s="1"/>
  <c r="O275" s="1"/>
  <c r="O276" s="1"/>
  <c r="O277" s="1"/>
  <c r="O278" s="1"/>
  <c r="O279" s="1"/>
  <c r="O280" s="1"/>
  <c r="O281" s="1"/>
  <c r="O282" s="1"/>
  <c r="O283" s="1"/>
  <c r="O284" s="1"/>
  <c r="O285" s="1"/>
  <c r="O286" s="1"/>
  <c r="O287" s="1"/>
  <c r="O288" s="1"/>
  <c r="O289" s="1"/>
  <c r="O290" s="1"/>
  <c r="O291" s="1"/>
  <c r="O292" s="1"/>
  <c r="O293" s="1"/>
  <c r="O294" s="1"/>
  <c r="O295" s="1"/>
  <c r="O296" s="1"/>
  <c r="O297" s="1"/>
  <c r="O298" s="1"/>
  <c r="O299" s="1"/>
  <c r="O300" s="1"/>
  <c r="O301" s="1"/>
  <c r="O302" s="1"/>
  <c r="O303" s="1"/>
  <c r="O304" s="1"/>
  <c r="O305" s="1"/>
  <c r="O306" s="1"/>
  <c r="O307" s="1"/>
  <c r="O308" s="1"/>
  <c r="O309" s="1"/>
  <c r="O310" s="1"/>
  <c r="O311" s="1"/>
  <c r="O312" s="1"/>
  <c r="O313" s="1"/>
  <c r="O314" s="1"/>
  <c r="O315" s="1"/>
  <c r="O316" s="1"/>
  <c r="O317" s="1"/>
  <c r="O318" s="1"/>
  <c r="O319" s="1"/>
  <c r="O320" s="1"/>
  <c r="O321" s="1"/>
  <c r="O322" s="1"/>
  <c r="O323" s="1"/>
  <c r="O324" s="1"/>
  <c r="O325" s="1"/>
  <c r="O326" s="1"/>
  <c r="O327" s="1"/>
  <c r="O328" s="1"/>
  <c r="O329" s="1"/>
  <c r="O330" s="1"/>
  <c r="O331" s="1"/>
  <c r="O332" s="1"/>
  <c r="O333" s="1"/>
  <c r="O334" s="1"/>
  <c r="O335" s="1"/>
  <c r="O336" s="1"/>
  <c r="O337" s="1"/>
  <c r="O338" s="1"/>
  <c r="O339" s="1"/>
  <c r="O340" s="1"/>
  <c r="O341" s="1"/>
  <c r="O342" s="1"/>
  <c r="O343" s="1"/>
  <c r="O344" s="1"/>
  <c r="O345" s="1"/>
  <c r="O346" s="1"/>
  <c r="O347" s="1"/>
  <c r="O348" s="1"/>
  <c r="O349" s="1"/>
  <c r="O350" s="1"/>
  <c r="O351" s="1"/>
  <c r="O352" s="1"/>
  <c r="O353" s="1"/>
  <c r="O354" s="1"/>
  <c r="O355" s="1"/>
  <c r="O356" s="1"/>
  <c r="O357" s="1"/>
  <c r="O358" s="1"/>
  <c r="O359" s="1"/>
  <c r="O360" s="1"/>
  <c r="O361" s="1"/>
  <c r="O362" s="1"/>
  <c r="O363" s="1"/>
  <c r="O364" s="1"/>
  <c r="O365" s="1"/>
  <c r="O366" s="1"/>
  <c r="O367" s="1"/>
  <c r="O368" s="1"/>
  <c r="O369" s="1"/>
  <c r="O370" s="1"/>
  <c r="O371" s="1"/>
  <c r="O372" s="1"/>
  <c r="O373" s="1"/>
  <c r="O374" s="1"/>
  <c r="O375" s="1"/>
  <c r="O376" s="1"/>
  <c r="O377" s="1"/>
  <c r="O378" s="1"/>
  <c r="O379" s="1"/>
  <c r="O380" s="1"/>
  <c r="O381" s="1"/>
  <c r="O382" s="1"/>
  <c r="O383" s="1"/>
  <c r="O384" s="1"/>
  <c r="O385" s="1"/>
  <c r="O386" s="1"/>
  <c r="O387" s="1"/>
  <c r="O388" s="1"/>
  <c r="O389" s="1"/>
  <c r="O390" s="1"/>
  <c r="O391" s="1"/>
  <c r="O392" s="1"/>
  <c r="O393" s="1"/>
  <c r="O394" s="1"/>
  <c r="O395" s="1"/>
  <c r="O396" s="1"/>
  <c r="O397" s="1"/>
  <c r="O398" s="1"/>
  <c r="O399" s="1"/>
  <c r="O400" s="1"/>
  <c r="O401" s="1"/>
  <c r="O402" s="1"/>
  <c r="O403" s="1"/>
  <c r="O404" s="1"/>
  <c r="O405" s="1"/>
  <c r="O406" s="1"/>
  <c r="O407" s="1"/>
  <c r="O408" s="1"/>
  <c r="O409" s="1"/>
  <c r="O410" s="1"/>
  <c r="O411" s="1"/>
  <c r="O412" s="1"/>
  <c r="O413" s="1"/>
  <c r="O414" s="1"/>
  <c r="O415" s="1"/>
  <c r="O416" s="1"/>
  <c r="O417" s="1"/>
  <c r="O418" s="1"/>
  <c r="O419" s="1"/>
  <c r="O420" s="1"/>
  <c r="O421" s="1"/>
  <c r="O422" s="1"/>
  <c r="O423" s="1"/>
  <c r="O424" s="1"/>
  <c r="O425" s="1"/>
  <c r="O426" s="1"/>
  <c r="O427" s="1"/>
  <c r="O428" s="1"/>
  <c r="O429" s="1"/>
  <c r="O430" s="1"/>
  <c r="O431" s="1"/>
  <c r="O432" s="1"/>
  <c r="O433" s="1"/>
  <c r="O434" s="1"/>
  <c r="O435" s="1"/>
  <c r="O436" s="1"/>
  <c r="O437" s="1"/>
  <c r="O438" s="1"/>
  <c r="O439" s="1"/>
  <c r="O440" s="1"/>
  <c r="O441" s="1"/>
  <c r="O442" s="1"/>
  <c r="O443" s="1"/>
  <c r="O444" s="1"/>
  <c r="O445" s="1"/>
  <c r="O446" s="1"/>
  <c r="O447" s="1"/>
  <c r="O448" s="1"/>
  <c r="O449" s="1"/>
  <c r="O450" s="1"/>
  <c r="O451" s="1"/>
  <c r="O452" s="1"/>
  <c r="O453" s="1"/>
  <c r="O454" s="1"/>
  <c r="O455" s="1"/>
  <c r="O456" s="1"/>
  <c r="O457" s="1"/>
  <c r="O458" s="1"/>
  <c r="O459" s="1"/>
  <c r="O460" s="1"/>
  <c r="O461" s="1"/>
  <c r="O462" s="1"/>
  <c r="O463" s="1"/>
  <c r="O464" s="1"/>
  <c r="O465" s="1"/>
  <c r="O466" s="1"/>
  <c r="O467" s="1"/>
  <c r="O468" s="1"/>
  <c r="O469" s="1"/>
  <c r="O470" s="1"/>
  <c r="O471" s="1"/>
  <c r="O472" s="1"/>
  <c r="O473" s="1"/>
  <c r="O474" s="1"/>
  <c r="O475" s="1"/>
  <c r="O476" s="1"/>
  <c r="O477" s="1"/>
  <c r="O478" s="1"/>
  <c r="O479" s="1"/>
  <c r="O480" s="1"/>
  <c r="O481" s="1"/>
  <c r="O482" s="1"/>
  <c r="O483" s="1"/>
  <c r="O484" s="1"/>
  <c r="O485" s="1"/>
  <c r="O486" s="1"/>
  <c r="O487" s="1"/>
  <c r="O488" s="1"/>
  <c r="O489" s="1"/>
  <c r="O490" s="1"/>
  <c r="O491" s="1"/>
  <c r="O492" s="1"/>
  <c r="O493" s="1"/>
  <c r="O494" s="1"/>
  <c r="O495" s="1"/>
  <c r="O496" s="1"/>
  <c r="O497" s="1"/>
  <c r="O498" s="1"/>
  <c r="O499" s="1"/>
  <c r="O500" s="1"/>
  <c r="O501" s="1"/>
  <c r="O502" s="1"/>
  <c r="O503" s="1"/>
  <c r="O504" s="1"/>
  <c r="O505" s="1"/>
  <c r="O506" s="1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M8"/>
  <c r="M9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  <c r="M293" s="1"/>
  <c r="M294" s="1"/>
  <c r="M295" s="1"/>
  <c r="M296" s="1"/>
  <c r="M297" s="1"/>
  <c r="M298" s="1"/>
  <c r="M299" s="1"/>
  <c r="M300" s="1"/>
  <c r="M301" s="1"/>
  <c r="M302" s="1"/>
  <c r="M303" s="1"/>
  <c r="M304" s="1"/>
  <c r="M305" s="1"/>
  <c r="M306" s="1"/>
  <c r="M307" s="1"/>
  <c r="M308" s="1"/>
  <c r="M309" s="1"/>
  <c r="M310" s="1"/>
  <c r="M311" s="1"/>
  <c r="M312" s="1"/>
  <c r="M313" s="1"/>
  <c r="M314" s="1"/>
  <c r="M315" s="1"/>
  <c r="M316" s="1"/>
  <c r="M317" s="1"/>
  <c r="M318" s="1"/>
  <c r="M319" s="1"/>
  <c r="M320" s="1"/>
  <c r="M321" s="1"/>
  <c r="M322" s="1"/>
  <c r="M323" s="1"/>
  <c r="M324" s="1"/>
  <c r="M325" s="1"/>
  <c r="M326" s="1"/>
  <c r="M327" s="1"/>
  <c r="M328" s="1"/>
  <c r="M329" s="1"/>
  <c r="M330" s="1"/>
  <c r="M331" s="1"/>
  <c r="M332" s="1"/>
  <c r="M333" s="1"/>
  <c r="M334" s="1"/>
  <c r="M335" s="1"/>
  <c r="M336" s="1"/>
  <c r="M337" s="1"/>
  <c r="M338" s="1"/>
  <c r="M339" s="1"/>
  <c r="M340" s="1"/>
  <c r="M341" s="1"/>
  <c r="M342" s="1"/>
  <c r="M343" s="1"/>
  <c r="M344" s="1"/>
  <c r="M345" s="1"/>
  <c r="M346" s="1"/>
  <c r="M347" s="1"/>
  <c r="M348" s="1"/>
  <c r="M349" s="1"/>
  <c r="M350" s="1"/>
  <c r="M351" s="1"/>
  <c r="M352" s="1"/>
  <c r="M353" s="1"/>
  <c r="M354" s="1"/>
  <c r="M355" s="1"/>
  <c r="M356" s="1"/>
  <c r="M357" s="1"/>
  <c r="M358" s="1"/>
  <c r="M359" s="1"/>
  <c r="M360" s="1"/>
  <c r="M361" s="1"/>
  <c r="M362" s="1"/>
  <c r="M363" s="1"/>
  <c r="M364" s="1"/>
  <c r="M365" s="1"/>
  <c r="M366" s="1"/>
  <c r="M367" s="1"/>
  <c r="M368" s="1"/>
  <c r="M369" s="1"/>
  <c r="M370" s="1"/>
  <c r="M371" s="1"/>
  <c r="M372" s="1"/>
  <c r="M373" s="1"/>
  <c r="M374" s="1"/>
  <c r="M375" s="1"/>
  <c r="M376" s="1"/>
  <c r="M377" s="1"/>
  <c r="M378" s="1"/>
  <c r="M379" s="1"/>
  <c r="M380" s="1"/>
  <c r="M381" s="1"/>
  <c r="M382" s="1"/>
  <c r="M383" s="1"/>
  <c r="M384" s="1"/>
  <c r="M385" s="1"/>
  <c r="M386" s="1"/>
  <c r="M387" s="1"/>
  <c r="M388" s="1"/>
  <c r="M389" s="1"/>
  <c r="M390" s="1"/>
  <c r="M391" s="1"/>
  <c r="M392" s="1"/>
  <c r="M393" s="1"/>
  <c r="M394" s="1"/>
  <c r="M395" s="1"/>
  <c r="M396" s="1"/>
  <c r="M397" s="1"/>
  <c r="M398" s="1"/>
  <c r="M399" s="1"/>
  <c r="M400" s="1"/>
  <c r="M401" s="1"/>
  <c r="M402" s="1"/>
  <c r="M403" s="1"/>
  <c r="M404" s="1"/>
  <c r="M405" s="1"/>
  <c r="M406" s="1"/>
  <c r="M407" s="1"/>
  <c r="M408" s="1"/>
  <c r="M409" s="1"/>
  <c r="M410" s="1"/>
  <c r="M411" s="1"/>
  <c r="M412" s="1"/>
  <c r="M413" s="1"/>
  <c r="M414" s="1"/>
  <c r="M415" s="1"/>
  <c r="M416" s="1"/>
  <c r="M417" s="1"/>
  <c r="M418" s="1"/>
  <c r="M419" s="1"/>
  <c r="M420" s="1"/>
  <c r="M421" s="1"/>
  <c r="M422" s="1"/>
  <c r="M423" s="1"/>
  <c r="M424" s="1"/>
  <c r="M425" s="1"/>
  <c r="M426" s="1"/>
  <c r="M427" s="1"/>
  <c r="M428" s="1"/>
  <c r="M429" s="1"/>
  <c r="M430" s="1"/>
  <c r="M431" s="1"/>
  <c r="M432" s="1"/>
  <c r="M433" s="1"/>
  <c r="M434" s="1"/>
  <c r="M435" s="1"/>
  <c r="M436" s="1"/>
  <c r="M437" s="1"/>
  <c r="M438" s="1"/>
  <c r="M439" s="1"/>
  <c r="M440" s="1"/>
  <c r="M441" s="1"/>
  <c r="M442" s="1"/>
  <c r="M443" s="1"/>
  <c r="M444" s="1"/>
  <c r="M445" s="1"/>
  <c r="M446" s="1"/>
  <c r="M447" s="1"/>
  <c r="M448" s="1"/>
  <c r="M449" s="1"/>
  <c r="M450" s="1"/>
  <c r="M451" s="1"/>
  <c r="M452" s="1"/>
  <c r="M453" s="1"/>
  <c r="M454" s="1"/>
  <c r="M455" s="1"/>
  <c r="M456" s="1"/>
  <c r="M457" s="1"/>
  <c r="M458" s="1"/>
  <c r="M459" s="1"/>
  <c r="M460" s="1"/>
  <c r="M461" s="1"/>
  <c r="M462" s="1"/>
  <c r="M463" s="1"/>
  <c r="M464" s="1"/>
  <c r="M465" s="1"/>
  <c r="M466" s="1"/>
  <c r="M467" s="1"/>
  <c r="M468" s="1"/>
  <c r="M469" s="1"/>
  <c r="M470" s="1"/>
  <c r="M471" s="1"/>
  <c r="M472" s="1"/>
  <c r="M473" s="1"/>
  <c r="M474" s="1"/>
  <c r="M475" s="1"/>
  <c r="M476" s="1"/>
  <c r="M477" s="1"/>
  <c r="M478" s="1"/>
  <c r="M479" s="1"/>
  <c r="M480" s="1"/>
  <c r="M481" s="1"/>
  <c r="M482" s="1"/>
  <c r="M483" s="1"/>
  <c r="M484" s="1"/>
  <c r="M485" s="1"/>
  <c r="M486" s="1"/>
  <c r="M487" s="1"/>
  <c r="M488" s="1"/>
  <c r="M489" s="1"/>
  <c r="M490" s="1"/>
  <c r="M491" s="1"/>
  <c r="M492" s="1"/>
  <c r="M493" s="1"/>
  <c r="M494" s="1"/>
  <c r="M495" s="1"/>
  <c r="M496" s="1"/>
  <c r="M497" s="1"/>
  <c r="M498" s="1"/>
  <c r="M499" s="1"/>
  <c r="M500" s="1"/>
  <c r="M501" s="1"/>
  <c r="M502" s="1"/>
  <c r="M503" s="1"/>
  <c r="M504" s="1"/>
  <c r="M505" s="1"/>
  <c r="M506" s="1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K8"/>
  <c r="K9"/>
  <c r="K10" s="1"/>
  <c r="K11" s="1"/>
  <c r="K12" s="1"/>
  <c r="K13" s="1"/>
  <c r="K14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4" s="1"/>
  <c r="K315" s="1"/>
  <c r="K316" s="1"/>
  <c r="K317" s="1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355" s="1"/>
  <c r="K356" s="1"/>
  <c r="K357" s="1"/>
  <c r="K358" s="1"/>
  <c r="K359" s="1"/>
  <c r="K360" s="1"/>
  <c r="K361" s="1"/>
  <c r="K362" s="1"/>
  <c r="K363" s="1"/>
  <c r="K364" s="1"/>
  <c r="K365" s="1"/>
  <c r="K366" s="1"/>
  <c r="K367" s="1"/>
  <c r="K368" s="1"/>
  <c r="K369" s="1"/>
  <c r="K370" s="1"/>
  <c r="K371" s="1"/>
  <c r="K372" s="1"/>
  <c r="K373" s="1"/>
  <c r="K374" s="1"/>
  <c r="K375" s="1"/>
  <c r="K376" s="1"/>
  <c r="K377" s="1"/>
  <c r="K378" s="1"/>
  <c r="K379" s="1"/>
  <c r="K380" s="1"/>
  <c r="K381" s="1"/>
  <c r="K382" s="1"/>
  <c r="K383" s="1"/>
  <c r="K384" s="1"/>
  <c r="K385" s="1"/>
  <c r="K386" s="1"/>
  <c r="K387" s="1"/>
  <c r="K388" s="1"/>
  <c r="K389" s="1"/>
  <c r="K390" s="1"/>
  <c r="K391" s="1"/>
  <c r="K392" s="1"/>
  <c r="K393" s="1"/>
  <c r="K394" s="1"/>
  <c r="K395" s="1"/>
  <c r="K396" s="1"/>
  <c r="K397" s="1"/>
  <c r="K398" s="1"/>
  <c r="K399" s="1"/>
  <c r="K400" s="1"/>
  <c r="K401" s="1"/>
  <c r="K402" s="1"/>
  <c r="K403" s="1"/>
  <c r="K404" s="1"/>
  <c r="K405" s="1"/>
  <c r="K406" s="1"/>
  <c r="K407" s="1"/>
  <c r="K408" s="1"/>
  <c r="K409" s="1"/>
  <c r="K410" s="1"/>
  <c r="K411" s="1"/>
  <c r="K412" s="1"/>
  <c r="K413" s="1"/>
  <c r="K414" s="1"/>
  <c r="K415" s="1"/>
  <c r="K416" s="1"/>
  <c r="K417" s="1"/>
  <c r="K418" s="1"/>
  <c r="K419" s="1"/>
  <c r="K420" s="1"/>
  <c r="K421" s="1"/>
  <c r="K422" s="1"/>
  <c r="K423" s="1"/>
  <c r="K424" s="1"/>
  <c r="K425" s="1"/>
  <c r="K426" s="1"/>
  <c r="K427" s="1"/>
  <c r="K428" s="1"/>
  <c r="K429" s="1"/>
  <c r="K430" s="1"/>
  <c r="K431" s="1"/>
  <c r="K432" s="1"/>
  <c r="K433" s="1"/>
  <c r="K434" s="1"/>
  <c r="K435" s="1"/>
  <c r="K436" s="1"/>
  <c r="K437" s="1"/>
  <c r="K438" s="1"/>
  <c r="K439" s="1"/>
  <c r="K440" s="1"/>
  <c r="K441" s="1"/>
  <c r="K442" s="1"/>
  <c r="K443" s="1"/>
  <c r="K444" s="1"/>
  <c r="K445" s="1"/>
  <c r="K446" s="1"/>
  <c r="K447" s="1"/>
  <c r="K448" s="1"/>
  <c r="K449" s="1"/>
  <c r="K450" s="1"/>
  <c r="K451" s="1"/>
  <c r="K452" s="1"/>
  <c r="K453" s="1"/>
  <c r="K454" s="1"/>
  <c r="K455" s="1"/>
  <c r="K456" s="1"/>
  <c r="K457" s="1"/>
  <c r="K458" s="1"/>
  <c r="K459" s="1"/>
  <c r="K460" s="1"/>
  <c r="K461" s="1"/>
  <c r="K462" s="1"/>
  <c r="K463" s="1"/>
  <c r="K464" s="1"/>
  <c r="K465" s="1"/>
  <c r="K466" s="1"/>
  <c r="K467" s="1"/>
  <c r="K468" s="1"/>
  <c r="K469" s="1"/>
  <c r="K470" s="1"/>
  <c r="K471" s="1"/>
  <c r="K472" s="1"/>
  <c r="K473" s="1"/>
  <c r="K474" s="1"/>
  <c r="K475" s="1"/>
  <c r="K476" s="1"/>
  <c r="K477" s="1"/>
  <c r="K478" s="1"/>
  <c r="K479" s="1"/>
  <c r="K480" s="1"/>
  <c r="K481" s="1"/>
  <c r="K482" s="1"/>
  <c r="K483" s="1"/>
  <c r="K484" s="1"/>
  <c r="K485" s="1"/>
  <c r="K486" s="1"/>
  <c r="K487" s="1"/>
  <c r="K488" s="1"/>
  <c r="K489" s="1"/>
  <c r="K490" s="1"/>
  <c r="K491" s="1"/>
  <c r="K492" s="1"/>
  <c r="K493" s="1"/>
  <c r="K494" s="1"/>
  <c r="K495" s="1"/>
  <c r="K496" s="1"/>
  <c r="K497" s="1"/>
  <c r="K498" s="1"/>
  <c r="K499" s="1"/>
  <c r="K500" s="1"/>
  <c r="K501" s="1"/>
  <c r="K502" s="1"/>
  <c r="K503" s="1"/>
  <c r="K504" s="1"/>
  <c r="K505" s="1"/>
  <c r="K506" s="1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I8"/>
  <c r="I9" s="1"/>
  <c r="I10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I371" s="1"/>
  <c r="I372" s="1"/>
  <c r="I373" s="1"/>
  <c r="I374" s="1"/>
  <c r="I375" s="1"/>
  <c r="I376" s="1"/>
  <c r="I377" s="1"/>
  <c r="I378" s="1"/>
  <c r="I379" s="1"/>
  <c r="I380" s="1"/>
  <c r="I381" s="1"/>
  <c r="I382" s="1"/>
  <c r="I383" s="1"/>
  <c r="I384" s="1"/>
  <c r="I385" s="1"/>
  <c r="I386" s="1"/>
  <c r="I387" s="1"/>
  <c r="I388" s="1"/>
  <c r="I389" s="1"/>
  <c r="I390" s="1"/>
  <c r="I391" s="1"/>
  <c r="I392" s="1"/>
  <c r="I393" s="1"/>
  <c r="I394" s="1"/>
  <c r="I395" s="1"/>
  <c r="I396" s="1"/>
  <c r="I397" s="1"/>
  <c r="I398" s="1"/>
  <c r="I399" s="1"/>
  <c r="I400" s="1"/>
  <c r="I401" s="1"/>
  <c r="I402" s="1"/>
  <c r="I403" s="1"/>
  <c r="I404" s="1"/>
  <c r="I405" s="1"/>
  <c r="I406" s="1"/>
  <c r="I407" s="1"/>
  <c r="I408" s="1"/>
  <c r="I409" s="1"/>
  <c r="I410" s="1"/>
  <c r="I411" s="1"/>
  <c r="I412" s="1"/>
  <c r="I413" s="1"/>
  <c r="I414" s="1"/>
  <c r="I415" s="1"/>
  <c r="I416" s="1"/>
  <c r="I417" s="1"/>
  <c r="I418" s="1"/>
  <c r="I419" s="1"/>
  <c r="I420" s="1"/>
  <c r="I421" s="1"/>
  <c r="I422" s="1"/>
  <c r="I423" s="1"/>
  <c r="I424" s="1"/>
  <c r="I425" s="1"/>
  <c r="I426" s="1"/>
  <c r="I427" s="1"/>
  <c r="I428" s="1"/>
  <c r="I429" s="1"/>
  <c r="I430" s="1"/>
  <c r="I431" s="1"/>
  <c r="I432" s="1"/>
  <c r="I433" s="1"/>
  <c r="I434" s="1"/>
  <c r="I435" s="1"/>
  <c r="I436" s="1"/>
  <c r="I437" s="1"/>
  <c r="I438" s="1"/>
  <c r="I439" s="1"/>
  <c r="I440" s="1"/>
  <c r="I441" s="1"/>
  <c r="I442" s="1"/>
  <c r="I443" s="1"/>
  <c r="I444" s="1"/>
  <c r="I445" s="1"/>
  <c r="I446" s="1"/>
  <c r="I447" s="1"/>
  <c r="I448" s="1"/>
  <c r="I449" s="1"/>
  <c r="I450" s="1"/>
  <c r="I451" s="1"/>
  <c r="I452" s="1"/>
  <c r="I453" s="1"/>
  <c r="I454" s="1"/>
  <c r="I455" s="1"/>
  <c r="I456" s="1"/>
  <c r="I457" s="1"/>
  <c r="I458" s="1"/>
  <c r="I459" s="1"/>
  <c r="I460" s="1"/>
  <c r="I461" s="1"/>
  <c r="I462" s="1"/>
  <c r="I463" s="1"/>
  <c r="I464" s="1"/>
  <c r="I465" s="1"/>
  <c r="I466" s="1"/>
  <c r="I467" s="1"/>
  <c r="I468" s="1"/>
  <c r="I469" s="1"/>
  <c r="I470" s="1"/>
  <c r="I471" s="1"/>
  <c r="I472" s="1"/>
  <c r="I473" s="1"/>
  <c r="I474" s="1"/>
  <c r="I475" s="1"/>
  <c r="I476" s="1"/>
  <c r="I477" s="1"/>
  <c r="I478" s="1"/>
  <c r="I479" s="1"/>
  <c r="I480" s="1"/>
  <c r="I481" s="1"/>
  <c r="I482" s="1"/>
  <c r="I483" s="1"/>
  <c r="I484" s="1"/>
  <c r="I485" s="1"/>
  <c r="I486" s="1"/>
  <c r="I487" s="1"/>
  <c r="I488" s="1"/>
  <c r="I489" s="1"/>
  <c r="I490" s="1"/>
  <c r="I491" s="1"/>
  <c r="I492" s="1"/>
  <c r="I493" s="1"/>
  <c r="I494" s="1"/>
  <c r="I495" s="1"/>
  <c r="I496" s="1"/>
  <c r="I497" s="1"/>
  <c r="I498" s="1"/>
  <c r="I499" s="1"/>
  <c r="I500" s="1"/>
  <c r="I501" s="1"/>
  <c r="I502" s="1"/>
  <c r="I503" s="1"/>
  <c r="I504" s="1"/>
  <c r="I505" s="1"/>
  <c r="I506" s="1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C119" i="4"/>
  <c r="C117"/>
  <c r="C115"/>
  <c r="C113"/>
  <c r="C111"/>
  <c r="C8"/>
  <c r="C7"/>
  <c r="C6"/>
  <c r="C4"/>
  <c r="C3"/>
  <c r="B119"/>
  <c r="B117"/>
  <c r="B115"/>
  <c r="B113"/>
  <c r="B111"/>
  <c r="B8"/>
  <c r="B7"/>
  <c r="B6"/>
  <c r="B4"/>
  <c r="B3"/>
  <c r="AR4" i="5"/>
  <c r="AR5" s="1"/>
  <c r="AR6" s="1"/>
  <c r="AR7" s="1"/>
  <c r="AR8" s="1"/>
  <c r="AR9" s="1"/>
  <c r="AR10" s="1"/>
  <c r="AR11" s="1"/>
  <c r="AR12" s="1"/>
  <c r="AR13" s="1"/>
  <c r="AR14" s="1"/>
  <c r="AR15" s="1"/>
  <c r="AR16" s="1"/>
  <c r="AR17" s="1"/>
  <c r="AR18" s="1"/>
  <c r="AR19" s="1"/>
  <c r="AR20" s="1"/>
  <c r="AR21" s="1"/>
  <c r="AR22" s="1"/>
  <c r="AR23" s="1"/>
  <c r="AR24" s="1"/>
  <c r="AR25" s="1"/>
  <c r="AR26" s="1"/>
  <c r="AR27" s="1"/>
  <c r="AR28" s="1"/>
  <c r="AR29" s="1"/>
  <c r="AR30" s="1"/>
  <c r="AR31" s="1"/>
  <c r="AR32" s="1"/>
  <c r="AR33" s="1"/>
  <c r="AR34" s="1"/>
  <c r="AR35" s="1"/>
  <c r="AR36" s="1"/>
  <c r="AR37" s="1"/>
  <c r="AR38" s="1"/>
  <c r="AR39" s="1"/>
  <c r="AR40" s="1"/>
  <c r="AR41" s="1"/>
  <c r="AR42" s="1"/>
  <c r="AR43" s="1"/>
  <c r="AR44" s="1"/>
  <c r="AR45" s="1"/>
  <c r="AR46" s="1"/>
  <c r="AR47" s="1"/>
  <c r="AR48" s="1"/>
  <c r="AR49" s="1"/>
  <c r="AR50" s="1"/>
  <c r="AR51" s="1"/>
  <c r="AR52" s="1"/>
  <c r="AR53" s="1"/>
  <c r="AR54" s="1"/>
  <c r="AR55" s="1"/>
  <c r="AR56" s="1"/>
  <c r="AR57" s="1"/>
  <c r="AR58" s="1"/>
  <c r="AR59" s="1"/>
  <c r="AR60" s="1"/>
  <c r="AR61" s="1"/>
  <c r="AR62" s="1"/>
  <c r="AR63" s="1"/>
  <c r="AR64" s="1"/>
  <c r="AR65" s="1"/>
  <c r="AR66" s="1"/>
  <c r="AR67" s="1"/>
  <c r="AR68" s="1"/>
  <c r="AR69" s="1"/>
  <c r="AR70" s="1"/>
  <c r="AR71" s="1"/>
  <c r="AR72" s="1"/>
  <c r="AR73" s="1"/>
  <c r="AR74" s="1"/>
  <c r="AR75" s="1"/>
  <c r="AR76" s="1"/>
  <c r="AR77" s="1"/>
  <c r="AR78" s="1"/>
  <c r="AR79" s="1"/>
  <c r="AR80" s="1"/>
  <c r="AR81" s="1"/>
  <c r="AR82" s="1"/>
  <c r="AR83" s="1"/>
  <c r="AR84" s="1"/>
  <c r="AR85" s="1"/>
  <c r="AR86" s="1"/>
  <c r="AR87" s="1"/>
  <c r="AR88" s="1"/>
  <c r="AR89" s="1"/>
  <c r="AR90" s="1"/>
  <c r="AR91" s="1"/>
  <c r="AR92" s="1"/>
  <c r="AR93" s="1"/>
  <c r="AR94" s="1"/>
  <c r="AR95" s="1"/>
  <c r="AR96" s="1"/>
  <c r="AR97" s="1"/>
  <c r="AR98" s="1"/>
  <c r="AR99" s="1"/>
  <c r="AR100" s="1"/>
  <c r="AR101" s="1"/>
  <c r="AR102" s="1"/>
  <c r="AR103" s="1"/>
  <c r="AR104" s="1"/>
  <c r="AR105" s="1"/>
  <c r="AR106" s="1"/>
  <c r="AR107" s="1"/>
  <c r="AR108" s="1"/>
  <c r="AR109" s="1"/>
  <c r="AR110" s="1"/>
  <c r="AR111" s="1"/>
  <c r="AR112" s="1"/>
  <c r="AR113" s="1"/>
  <c r="AR114" s="1"/>
  <c r="AR115" s="1"/>
  <c r="AR116" s="1"/>
  <c r="AR117" s="1"/>
  <c r="AR118" s="1"/>
  <c r="AR119" s="1"/>
  <c r="AR120" s="1"/>
  <c r="AR121" s="1"/>
  <c r="AR122" s="1"/>
  <c r="AR123" s="1"/>
  <c r="AR124" s="1"/>
  <c r="AR125" s="1"/>
  <c r="AR126" s="1"/>
  <c r="AR127" s="1"/>
  <c r="AR128" s="1"/>
  <c r="AR129" s="1"/>
  <c r="AR130" s="1"/>
  <c r="AR131" s="1"/>
  <c r="AR132" s="1"/>
  <c r="AR133" s="1"/>
  <c r="AR134" s="1"/>
  <c r="AR135" s="1"/>
  <c r="AR136" s="1"/>
  <c r="AR137" s="1"/>
  <c r="AR138" s="1"/>
  <c r="AR139" s="1"/>
  <c r="AR140" s="1"/>
  <c r="AR141" s="1"/>
  <c r="AR142" s="1"/>
  <c r="AR143" s="1"/>
  <c r="AR144" s="1"/>
  <c r="AR145" s="1"/>
  <c r="AR146" s="1"/>
  <c r="AR147" s="1"/>
  <c r="AR148" s="1"/>
  <c r="AR149" s="1"/>
  <c r="AR150" s="1"/>
  <c r="AR151" s="1"/>
  <c r="AR152" s="1"/>
  <c r="AR153" s="1"/>
  <c r="AR154" s="1"/>
  <c r="AR155" s="1"/>
  <c r="AR156" s="1"/>
  <c r="AR157" s="1"/>
  <c r="AR158" s="1"/>
  <c r="AR159" s="1"/>
  <c r="AR160" s="1"/>
  <c r="AR161" s="1"/>
  <c r="AR162" s="1"/>
  <c r="AR163" s="1"/>
  <c r="AR164" s="1"/>
  <c r="AR165" s="1"/>
  <c r="AR166" s="1"/>
  <c r="AR167" s="1"/>
  <c r="AR168" s="1"/>
  <c r="AR169" s="1"/>
  <c r="AR170" s="1"/>
  <c r="AR171" s="1"/>
  <c r="AR172" s="1"/>
  <c r="AR173" s="1"/>
  <c r="AR174" s="1"/>
  <c r="AR175" s="1"/>
  <c r="AR176" s="1"/>
  <c r="AR177" s="1"/>
  <c r="AR178" s="1"/>
  <c r="AR179" s="1"/>
  <c r="AR180" s="1"/>
  <c r="AR181" s="1"/>
  <c r="AR182" s="1"/>
  <c r="AR183" s="1"/>
  <c r="AR184" s="1"/>
  <c r="AR185" s="1"/>
  <c r="AR186" s="1"/>
  <c r="AR187" s="1"/>
  <c r="AR188" s="1"/>
  <c r="AR189" s="1"/>
  <c r="AR190" s="1"/>
  <c r="AR191" s="1"/>
  <c r="AR192" s="1"/>
  <c r="AR193" s="1"/>
  <c r="AR194" s="1"/>
  <c r="AR195" s="1"/>
  <c r="AR196" s="1"/>
  <c r="AR197" s="1"/>
  <c r="AR198" s="1"/>
  <c r="AR199" s="1"/>
  <c r="AR200" s="1"/>
  <c r="AR201" s="1"/>
  <c r="AR202" s="1"/>
  <c r="AR203" s="1"/>
  <c r="AR204" s="1"/>
  <c r="AR205" s="1"/>
  <c r="AR206" s="1"/>
  <c r="AR207" s="1"/>
  <c r="AR208" s="1"/>
  <c r="AR209" s="1"/>
  <c r="AR210" s="1"/>
  <c r="AR211" s="1"/>
  <c r="AR212" s="1"/>
  <c r="AR213" s="1"/>
  <c r="AR214" s="1"/>
  <c r="AR215" s="1"/>
  <c r="AR216" s="1"/>
  <c r="AR217" s="1"/>
  <c r="AR218" s="1"/>
  <c r="AR219" s="1"/>
  <c r="AR220" s="1"/>
  <c r="AR221" s="1"/>
  <c r="AR222" s="1"/>
  <c r="AR223" s="1"/>
  <c r="AR224" s="1"/>
  <c r="AR225" s="1"/>
  <c r="AR226" s="1"/>
  <c r="AR227" s="1"/>
  <c r="AR228" s="1"/>
  <c r="AR229" s="1"/>
  <c r="AR230" s="1"/>
  <c r="AR231" s="1"/>
  <c r="AR232" s="1"/>
  <c r="AR233" s="1"/>
  <c r="AR234" s="1"/>
  <c r="AR235" s="1"/>
  <c r="AR236" s="1"/>
  <c r="AR237" s="1"/>
  <c r="AR238" s="1"/>
  <c r="AR239" s="1"/>
  <c r="AR240" s="1"/>
  <c r="AR241" s="1"/>
  <c r="AR242" s="1"/>
  <c r="AR243" s="1"/>
  <c r="AR244" s="1"/>
  <c r="AR245" s="1"/>
  <c r="AR246" s="1"/>
  <c r="AR247" s="1"/>
  <c r="AR248" s="1"/>
  <c r="AR249" s="1"/>
  <c r="AR250" s="1"/>
  <c r="AR251" s="1"/>
  <c r="AR252" s="1"/>
  <c r="AR253" s="1"/>
  <c r="AR254" s="1"/>
  <c r="AR255" s="1"/>
  <c r="AR256" s="1"/>
  <c r="AR257" s="1"/>
  <c r="AR258" s="1"/>
  <c r="AR259" s="1"/>
  <c r="AR260" s="1"/>
  <c r="AR261" s="1"/>
  <c r="AR262" s="1"/>
  <c r="AR263" s="1"/>
  <c r="AR264" s="1"/>
  <c r="AR265" s="1"/>
  <c r="AR266" s="1"/>
  <c r="AR267" s="1"/>
  <c r="AR268" s="1"/>
  <c r="AR269" s="1"/>
  <c r="AR270" s="1"/>
  <c r="AR271" s="1"/>
  <c r="AR272" s="1"/>
  <c r="AR273" s="1"/>
  <c r="AR274" s="1"/>
  <c r="AR275" s="1"/>
  <c r="AR276" s="1"/>
  <c r="AR277" s="1"/>
  <c r="AR278" s="1"/>
  <c r="AR279" s="1"/>
  <c r="AR280" s="1"/>
  <c r="AR281" s="1"/>
  <c r="AR282" s="1"/>
  <c r="AR283" s="1"/>
  <c r="AR284" s="1"/>
  <c r="AR285" s="1"/>
  <c r="AR286" s="1"/>
  <c r="AR287" s="1"/>
  <c r="AR288" s="1"/>
  <c r="AR289" s="1"/>
  <c r="AR290" s="1"/>
  <c r="AR291" s="1"/>
  <c r="AR292" s="1"/>
  <c r="AR293" s="1"/>
  <c r="AR294" s="1"/>
  <c r="AR295" s="1"/>
  <c r="AR296" s="1"/>
  <c r="AR297" s="1"/>
  <c r="AR298" s="1"/>
  <c r="AR299" s="1"/>
  <c r="AR300" s="1"/>
  <c r="AR301" s="1"/>
  <c r="AR302" s="1"/>
  <c r="AR303" s="1"/>
  <c r="AR304" s="1"/>
  <c r="AR305" s="1"/>
  <c r="AR306" s="1"/>
  <c r="AR307" s="1"/>
  <c r="AR308" s="1"/>
  <c r="AR309" s="1"/>
  <c r="AR310" s="1"/>
  <c r="AR311" s="1"/>
  <c r="AR312" s="1"/>
  <c r="AR313" s="1"/>
  <c r="AR314" s="1"/>
  <c r="AR315" s="1"/>
  <c r="AR316" s="1"/>
  <c r="AR317" s="1"/>
  <c r="AR318" s="1"/>
  <c r="AR319" s="1"/>
  <c r="AR320" s="1"/>
  <c r="AR321" s="1"/>
  <c r="AR322" s="1"/>
  <c r="AR323" s="1"/>
  <c r="AR324" s="1"/>
  <c r="AR325" s="1"/>
  <c r="AR326" s="1"/>
  <c r="AR327" s="1"/>
  <c r="AR328" s="1"/>
  <c r="AR329" s="1"/>
  <c r="AR330" s="1"/>
  <c r="AR331" s="1"/>
  <c r="AR332" s="1"/>
  <c r="AR333" s="1"/>
  <c r="AR334" s="1"/>
  <c r="AR335" s="1"/>
  <c r="AR336" s="1"/>
  <c r="AR337" s="1"/>
  <c r="AR338" s="1"/>
  <c r="AR339" s="1"/>
  <c r="AR340" s="1"/>
  <c r="AR341" s="1"/>
  <c r="AR342" s="1"/>
  <c r="AR343" s="1"/>
  <c r="AR344" s="1"/>
  <c r="AR345" s="1"/>
  <c r="AR346" s="1"/>
  <c r="AR347" s="1"/>
  <c r="AR348" s="1"/>
  <c r="AR349" s="1"/>
  <c r="AR350" s="1"/>
  <c r="AR351" s="1"/>
  <c r="AR352" s="1"/>
  <c r="AR353" s="1"/>
  <c r="AR354" s="1"/>
  <c r="AR355" s="1"/>
  <c r="AR356" s="1"/>
  <c r="AR357" s="1"/>
  <c r="AR358" s="1"/>
  <c r="AR359" s="1"/>
  <c r="AR360" s="1"/>
  <c r="AR361" s="1"/>
  <c r="AR362" s="1"/>
  <c r="AR363" s="1"/>
  <c r="AR364" s="1"/>
  <c r="AR365" s="1"/>
  <c r="AR366" s="1"/>
  <c r="AR367" s="1"/>
  <c r="AR368" s="1"/>
  <c r="AR369" s="1"/>
  <c r="AR370" s="1"/>
  <c r="AR371" s="1"/>
  <c r="AR372" s="1"/>
  <c r="AR373" s="1"/>
  <c r="AR374" s="1"/>
  <c r="AR375" s="1"/>
  <c r="AR376" s="1"/>
  <c r="AR377" s="1"/>
  <c r="AR378" s="1"/>
  <c r="AR379" s="1"/>
  <c r="AR380" s="1"/>
  <c r="AR381" s="1"/>
  <c r="AR382" s="1"/>
  <c r="AR383" s="1"/>
  <c r="AR384" s="1"/>
  <c r="AR385" s="1"/>
  <c r="AR386" s="1"/>
  <c r="AR387" s="1"/>
  <c r="AR388" s="1"/>
  <c r="AR389" s="1"/>
  <c r="AR390" s="1"/>
  <c r="AR391" s="1"/>
  <c r="AR392" s="1"/>
  <c r="AR393" s="1"/>
  <c r="AR394" s="1"/>
  <c r="AR395" s="1"/>
  <c r="AR396" s="1"/>
  <c r="AR397" s="1"/>
  <c r="AR398" s="1"/>
  <c r="AR399" s="1"/>
  <c r="AR400" s="1"/>
  <c r="AR401" s="1"/>
  <c r="AR402" s="1"/>
  <c r="AR403" s="1"/>
  <c r="AR404" s="1"/>
  <c r="AR405" s="1"/>
  <c r="AR406" s="1"/>
  <c r="AR407" s="1"/>
  <c r="AR408" s="1"/>
  <c r="AR409" s="1"/>
  <c r="AR410" s="1"/>
  <c r="AR411" s="1"/>
  <c r="AR412" s="1"/>
  <c r="AR413" s="1"/>
  <c r="AR414" s="1"/>
  <c r="AR415" s="1"/>
  <c r="AR416" s="1"/>
  <c r="AR417" s="1"/>
  <c r="AR418" s="1"/>
  <c r="AR419" s="1"/>
  <c r="AR420" s="1"/>
  <c r="AR421" s="1"/>
  <c r="AR422" s="1"/>
  <c r="AR423" s="1"/>
  <c r="AR424" s="1"/>
  <c r="AR425" s="1"/>
  <c r="AR426" s="1"/>
  <c r="AR427" s="1"/>
  <c r="AR428" s="1"/>
  <c r="AR429" s="1"/>
  <c r="AR430" s="1"/>
  <c r="AR431" s="1"/>
  <c r="AR432" s="1"/>
  <c r="AR433" s="1"/>
  <c r="AR434" s="1"/>
  <c r="AR435" s="1"/>
  <c r="AR436" s="1"/>
  <c r="AR437" s="1"/>
  <c r="AR438" s="1"/>
  <c r="AR439" s="1"/>
  <c r="AR440" s="1"/>
  <c r="AR441" s="1"/>
  <c r="AR442" s="1"/>
  <c r="AR443" s="1"/>
  <c r="AR444" s="1"/>
  <c r="AR445" s="1"/>
  <c r="AR446" s="1"/>
  <c r="AR447" s="1"/>
  <c r="AR448" s="1"/>
  <c r="AR449" s="1"/>
  <c r="AR450" s="1"/>
  <c r="AR451" s="1"/>
  <c r="AR452" s="1"/>
  <c r="AR453" s="1"/>
  <c r="AR454" s="1"/>
  <c r="AR455" s="1"/>
  <c r="AR456" s="1"/>
  <c r="AR457" s="1"/>
  <c r="AR458" s="1"/>
  <c r="AR459" s="1"/>
  <c r="AR460" s="1"/>
  <c r="AR461" s="1"/>
  <c r="AR462" s="1"/>
  <c r="AR463" s="1"/>
  <c r="AR464" s="1"/>
  <c r="AR465" s="1"/>
  <c r="AR466" s="1"/>
  <c r="AR467" s="1"/>
  <c r="AR468" s="1"/>
  <c r="AR469" s="1"/>
  <c r="AR470" s="1"/>
  <c r="AR471" s="1"/>
  <c r="AR472" s="1"/>
  <c r="AR473" s="1"/>
  <c r="AR474" s="1"/>
  <c r="AR475" s="1"/>
  <c r="AR476" s="1"/>
  <c r="AR477" s="1"/>
  <c r="AR478" s="1"/>
  <c r="AR479" s="1"/>
  <c r="AR480" s="1"/>
  <c r="AR481" s="1"/>
  <c r="AR482" s="1"/>
  <c r="AR483" s="1"/>
  <c r="AR484" s="1"/>
  <c r="AR485" s="1"/>
  <c r="AR486" s="1"/>
  <c r="AR487" s="1"/>
  <c r="AR488" s="1"/>
  <c r="AR489" s="1"/>
  <c r="AR490" s="1"/>
  <c r="AR491" s="1"/>
  <c r="AR492" s="1"/>
  <c r="AR493" s="1"/>
  <c r="AR494" s="1"/>
  <c r="AR495" s="1"/>
  <c r="AR496" s="1"/>
  <c r="AR497" s="1"/>
  <c r="AR498" s="1"/>
  <c r="AR499" s="1"/>
  <c r="AR500" s="1"/>
  <c r="AR501" s="1"/>
  <c r="AR502" s="1"/>
  <c r="AR503" s="1"/>
  <c r="AR504" s="1"/>
  <c r="AR505" s="1"/>
  <c r="AR506" s="1"/>
  <c r="AR507" s="1"/>
  <c r="AR508" s="1"/>
  <c r="AR509" s="1"/>
  <c r="AR510" s="1"/>
  <c r="AR511" s="1"/>
  <c r="AR512" s="1"/>
  <c r="AR513" s="1"/>
  <c r="AR514" s="1"/>
  <c r="AR515" s="1"/>
  <c r="AR516" s="1"/>
  <c r="AR517" s="1"/>
  <c r="AR518" s="1"/>
  <c r="AR519" s="1"/>
  <c r="AR520" s="1"/>
  <c r="AR521" s="1"/>
  <c r="AR522" s="1"/>
  <c r="AR523" s="1"/>
  <c r="AR524" s="1"/>
  <c r="AR525" s="1"/>
  <c r="AR526" s="1"/>
  <c r="AR527" s="1"/>
  <c r="AR528" s="1"/>
  <c r="AR529" s="1"/>
  <c r="AR530" s="1"/>
  <c r="AR531" s="1"/>
  <c r="AR532" s="1"/>
  <c r="AR533" s="1"/>
  <c r="AR534" s="1"/>
  <c r="AR535" s="1"/>
  <c r="AR536" s="1"/>
  <c r="AR537" s="1"/>
  <c r="AR538" s="1"/>
  <c r="AR539" s="1"/>
  <c r="AR540" s="1"/>
  <c r="AR541" s="1"/>
  <c r="AR542" s="1"/>
  <c r="AR543" s="1"/>
  <c r="AR544" s="1"/>
  <c r="AR545" s="1"/>
  <c r="AR546" s="1"/>
  <c r="AR547" s="1"/>
  <c r="AR548" s="1"/>
  <c r="AR549" s="1"/>
  <c r="AR550" s="1"/>
  <c r="AR551" s="1"/>
  <c r="AR552" s="1"/>
  <c r="AR553" s="1"/>
  <c r="AR554" s="1"/>
  <c r="AR555" s="1"/>
  <c r="AR556" s="1"/>
  <c r="AR557" s="1"/>
  <c r="AR558" s="1"/>
  <c r="AR559" s="1"/>
  <c r="AR560" s="1"/>
  <c r="AR561" s="1"/>
  <c r="AR562" s="1"/>
  <c r="AR563" s="1"/>
  <c r="AR564" s="1"/>
  <c r="AR565" s="1"/>
  <c r="AR566" s="1"/>
  <c r="AR567" s="1"/>
  <c r="AR568" s="1"/>
  <c r="AR569" s="1"/>
  <c r="AR570" s="1"/>
  <c r="AR571" s="1"/>
  <c r="AR572" s="1"/>
  <c r="AR573" s="1"/>
  <c r="AR574" s="1"/>
  <c r="AR575" s="1"/>
  <c r="AR576" s="1"/>
  <c r="AR577" s="1"/>
  <c r="AR578" s="1"/>
  <c r="AR579" s="1"/>
  <c r="AR580" s="1"/>
  <c r="AR581" s="1"/>
  <c r="AR582" s="1"/>
  <c r="AR583" s="1"/>
  <c r="AR584" s="1"/>
  <c r="AR585" s="1"/>
  <c r="AR586" s="1"/>
  <c r="AR587" s="1"/>
  <c r="AR588" s="1"/>
  <c r="AR589" s="1"/>
  <c r="AR590" s="1"/>
  <c r="AR591" s="1"/>
  <c r="AR592" s="1"/>
  <c r="AR593" s="1"/>
  <c r="AR594" s="1"/>
  <c r="AR595" s="1"/>
  <c r="AR596" s="1"/>
  <c r="AR597" s="1"/>
  <c r="AR598" s="1"/>
  <c r="AR599" s="1"/>
  <c r="AR600" s="1"/>
  <c r="AR601" s="1"/>
  <c r="AR602" s="1"/>
  <c r="AR603" s="1"/>
  <c r="AR604" s="1"/>
  <c r="AR605" s="1"/>
  <c r="AR606" s="1"/>
  <c r="AR607" s="1"/>
  <c r="AR608" s="1"/>
  <c r="AR609" s="1"/>
  <c r="AR610" s="1"/>
  <c r="AR611" s="1"/>
  <c r="AR612" s="1"/>
  <c r="AR613" s="1"/>
  <c r="AR614" s="1"/>
  <c r="AR615" s="1"/>
  <c r="AR616" s="1"/>
  <c r="AR617" s="1"/>
  <c r="AR618" s="1"/>
  <c r="AR619" s="1"/>
  <c r="AR620" s="1"/>
  <c r="AR621" s="1"/>
  <c r="AR622" s="1"/>
  <c r="AR623" s="1"/>
  <c r="AR624" s="1"/>
  <c r="AR625" s="1"/>
  <c r="AR626" s="1"/>
  <c r="AR627" s="1"/>
  <c r="AR628" s="1"/>
  <c r="AR629" s="1"/>
  <c r="AR630" s="1"/>
  <c r="AR631" s="1"/>
  <c r="AR632" s="1"/>
  <c r="AR633" s="1"/>
  <c r="AR634" s="1"/>
  <c r="AR635" s="1"/>
  <c r="AR636" s="1"/>
  <c r="AR637" s="1"/>
  <c r="AR638" s="1"/>
  <c r="AR639" s="1"/>
  <c r="AR640" s="1"/>
  <c r="AR641" s="1"/>
  <c r="AR642" s="1"/>
  <c r="AR643" s="1"/>
  <c r="AR644" s="1"/>
  <c r="AR645" s="1"/>
  <c r="AR646" s="1"/>
  <c r="AR647" s="1"/>
  <c r="AR648" s="1"/>
  <c r="AR649" s="1"/>
  <c r="AR650" s="1"/>
  <c r="AR651" s="1"/>
  <c r="AR652" s="1"/>
  <c r="AR653" s="1"/>
  <c r="AR654" s="1"/>
  <c r="AR655" s="1"/>
  <c r="AR656" s="1"/>
  <c r="AR657" s="1"/>
  <c r="AR658" s="1"/>
  <c r="AR659" s="1"/>
  <c r="AR660" s="1"/>
  <c r="AR661" s="1"/>
  <c r="AR662" s="1"/>
  <c r="AR663" s="1"/>
  <c r="AR664" s="1"/>
  <c r="AR665" s="1"/>
  <c r="AR666" s="1"/>
  <c r="AR667" s="1"/>
  <c r="AR668" s="1"/>
  <c r="AR669" s="1"/>
  <c r="AR670" s="1"/>
  <c r="AR671" s="1"/>
  <c r="AR672" s="1"/>
  <c r="AR673" s="1"/>
  <c r="AR674" s="1"/>
  <c r="AR675" s="1"/>
  <c r="AR676" s="1"/>
  <c r="AR677" s="1"/>
  <c r="AR678" s="1"/>
  <c r="AR679" s="1"/>
  <c r="AR680" s="1"/>
  <c r="AR681" s="1"/>
  <c r="AR682" s="1"/>
  <c r="AR683" s="1"/>
  <c r="AR684" s="1"/>
  <c r="AR685" s="1"/>
  <c r="AR686" s="1"/>
  <c r="AR687" s="1"/>
  <c r="AR688" s="1"/>
  <c r="AR689" s="1"/>
  <c r="AR690" s="1"/>
  <c r="AR691" s="1"/>
  <c r="AR692" s="1"/>
  <c r="AR693" s="1"/>
  <c r="AR694" s="1"/>
  <c r="AR695" s="1"/>
  <c r="AR696" s="1"/>
  <c r="AR697" s="1"/>
  <c r="AR698" s="1"/>
  <c r="AR699" s="1"/>
  <c r="AR700" s="1"/>
  <c r="AR701" s="1"/>
  <c r="AR702" s="1"/>
  <c r="AR703" s="1"/>
  <c r="AR704" s="1"/>
  <c r="AR705" s="1"/>
  <c r="AR706" s="1"/>
  <c r="AR707" s="1"/>
  <c r="AR708" s="1"/>
  <c r="AR709" s="1"/>
  <c r="AR710" s="1"/>
  <c r="AR711" s="1"/>
  <c r="AR712" s="1"/>
  <c r="AR713" s="1"/>
  <c r="AR714" s="1"/>
  <c r="AR715" s="1"/>
  <c r="AR716" s="1"/>
  <c r="AR717" s="1"/>
  <c r="AR718" s="1"/>
  <c r="AR719" s="1"/>
  <c r="AR720" s="1"/>
  <c r="AR721" s="1"/>
  <c r="AR722" s="1"/>
  <c r="AR723" s="1"/>
  <c r="AR724" s="1"/>
  <c r="AR725" s="1"/>
  <c r="AR726" s="1"/>
  <c r="AR727" s="1"/>
  <c r="AR728" s="1"/>
  <c r="AR729" s="1"/>
  <c r="AR730" s="1"/>
  <c r="AR731" s="1"/>
  <c r="AR732" s="1"/>
  <c r="AR733" s="1"/>
  <c r="AR734" s="1"/>
  <c r="AR735" s="1"/>
  <c r="AR736" s="1"/>
  <c r="AR737" s="1"/>
  <c r="AR738" s="1"/>
  <c r="AR739" s="1"/>
  <c r="AR740" s="1"/>
  <c r="AR741" s="1"/>
  <c r="AR742" s="1"/>
  <c r="AR743" s="1"/>
  <c r="AR744" s="1"/>
  <c r="AR745" s="1"/>
  <c r="AR746" s="1"/>
  <c r="AR747" s="1"/>
  <c r="AR748" s="1"/>
  <c r="AR749" s="1"/>
  <c r="AR750" s="1"/>
  <c r="AR751" s="1"/>
  <c r="AR752" s="1"/>
  <c r="AR753" s="1"/>
  <c r="AR754" s="1"/>
  <c r="AR755" s="1"/>
  <c r="AR756" s="1"/>
  <c r="AR757" s="1"/>
  <c r="AR758" s="1"/>
  <c r="AR759" s="1"/>
  <c r="AR760" s="1"/>
  <c r="AR761" s="1"/>
  <c r="AR762" s="1"/>
  <c r="AR763" s="1"/>
  <c r="AR764" s="1"/>
  <c r="AR765" s="1"/>
  <c r="AR766" s="1"/>
  <c r="AR767" s="1"/>
  <c r="AR768" s="1"/>
  <c r="AR769" s="1"/>
  <c r="AR770" s="1"/>
  <c r="AR771" s="1"/>
  <c r="AR772" s="1"/>
  <c r="AR773" s="1"/>
  <c r="AR774" s="1"/>
  <c r="AR775" s="1"/>
  <c r="AR776" s="1"/>
  <c r="AR777" s="1"/>
  <c r="AR778" s="1"/>
  <c r="AR779" s="1"/>
  <c r="AR780" s="1"/>
  <c r="AR781" s="1"/>
  <c r="AR782" s="1"/>
  <c r="AR783" s="1"/>
  <c r="AR784" s="1"/>
  <c r="AR785" s="1"/>
  <c r="AR786" s="1"/>
  <c r="AR787" s="1"/>
  <c r="AR788" s="1"/>
  <c r="AR789" s="1"/>
  <c r="AR790" s="1"/>
  <c r="AR791" s="1"/>
  <c r="AR792" s="1"/>
  <c r="AR793" s="1"/>
  <c r="AR794" s="1"/>
  <c r="AR795" s="1"/>
  <c r="AR796" s="1"/>
  <c r="AR797" s="1"/>
  <c r="AR798" s="1"/>
  <c r="AR799" s="1"/>
  <c r="AR800" s="1"/>
  <c r="AR801" s="1"/>
  <c r="AR802" s="1"/>
  <c r="AR803" s="1"/>
  <c r="AR804" s="1"/>
  <c r="AR805" s="1"/>
  <c r="AR806" s="1"/>
  <c r="AR807" s="1"/>
  <c r="AR808" s="1"/>
  <c r="AR809" s="1"/>
  <c r="AR810" s="1"/>
  <c r="AR811" s="1"/>
  <c r="AR812" s="1"/>
  <c r="AR813" s="1"/>
  <c r="AR814" s="1"/>
  <c r="AR815" s="1"/>
  <c r="AR816" s="1"/>
  <c r="AR817" s="1"/>
  <c r="AR818" s="1"/>
  <c r="AR819" s="1"/>
  <c r="AR820" s="1"/>
  <c r="AR821" s="1"/>
  <c r="AR822" s="1"/>
  <c r="AR823" s="1"/>
  <c r="AR824" s="1"/>
  <c r="AR825" s="1"/>
  <c r="AR826" s="1"/>
  <c r="AR827" s="1"/>
  <c r="AR828" s="1"/>
  <c r="AR829" s="1"/>
  <c r="AR830" s="1"/>
  <c r="AR831" s="1"/>
  <c r="AR832" s="1"/>
  <c r="AR833" s="1"/>
  <c r="AR834" s="1"/>
  <c r="AR835" s="1"/>
  <c r="AR836" s="1"/>
  <c r="AR837" s="1"/>
  <c r="AR838" s="1"/>
  <c r="AR839" s="1"/>
  <c r="AR840" s="1"/>
  <c r="AR841" s="1"/>
  <c r="AR842" s="1"/>
  <c r="AR843" s="1"/>
  <c r="AR844" s="1"/>
  <c r="AR845" s="1"/>
  <c r="AR846" s="1"/>
  <c r="AR847" s="1"/>
  <c r="AR848" s="1"/>
  <c r="AR849" s="1"/>
  <c r="AR850" s="1"/>
  <c r="AR851" s="1"/>
  <c r="AR852" s="1"/>
  <c r="AR853" s="1"/>
  <c r="AR854" s="1"/>
  <c r="AR855" s="1"/>
  <c r="AR856" s="1"/>
  <c r="AR857" s="1"/>
  <c r="AR858" s="1"/>
  <c r="AR859" s="1"/>
  <c r="AR860" s="1"/>
  <c r="AR861" s="1"/>
  <c r="AR862" s="1"/>
  <c r="AR863" s="1"/>
  <c r="AR864" s="1"/>
  <c r="AR865" s="1"/>
  <c r="AR866" s="1"/>
  <c r="AR867" s="1"/>
  <c r="AR868" s="1"/>
  <c r="AR869" s="1"/>
  <c r="AR870" s="1"/>
  <c r="AR871" s="1"/>
  <c r="AR872" s="1"/>
  <c r="AR873" s="1"/>
  <c r="AR874" s="1"/>
  <c r="AR875" s="1"/>
  <c r="AR876" s="1"/>
  <c r="AR877" s="1"/>
  <c r="AR878" s="1"/>
  <c r="AR879" s="1"/>
  <c r="AR880" s="1"/>
  <c r="AR881" s="1"/>
  <c r="AR882" s="1"/>
  <c r="AR883" s="1"/>
  <c r="AR884" s="1"/>
  <c r="AR885" s="1"/>
  <c r="AR886" s="1"/>
  <c r="AR887" s="1"/>
  <c r="AR888" s="1"/>
  <c r="AR889" s="1"/>
  <c r="AR890" s="1"/>
  <c r="AR891" s="1"/>
  <c r="AR892" s="1"/>
  <c r="AR893" s="1"/>
  <c r="AR894" s="1"/>
  <c r="AR895" s="1"/>
  <c r="AR896" s="1"/>
  <c r="AR897" s="1"/>
  <c r="AR898" s="1"/>
  <c r="AR899" s="1"/>
  <c r="AR900" s="1"/>
  <c r="AR901" s="1"/>
  <c r="AR902" s="1"/>
  <c r="AR903" s="1"/>
  <c r="AR904" s="1"/>
  <c r="AR905" s="1"/>
  <c r="AR906" s="1"/>
  <c r="AR907" s="1"/>
  <c r="AR908" s="1"/>
  <c r="AR909" s="1"/>
  <c r="AR910" s="1"/>
  <c r="AR911" s="1"/>
  <c r="AR912" s="1"/>
  <c r="AR913" s="1"/>
  <c r="AR914" s="1"/>
  <c r="AR915" s="1"/>
  <c r="AR916" s="1"/>
  <c r="AR917" s="1"/>
  <c r="AR918" s="1"/>
  <c r="AR919" s="1"/>
  <c r="AR920" s="1"/>
  <c r="AR921" s="1"/>
  <c r="AR922" s="1"/>
  <c r="AR923" s="1"/>
  <c r="AR924" s="1"/>
  <c r="AR925" s="1"/>
  <c r="AR926" s="1"/>
  <c r="AR927" s="1"/>
  <c r="AR928" s="1"/>
  <c r="AR929" s="1"/>
  <c r="AR930" s="1"/>
  <c r="AR931" s="1"/>
  <c r="AR932" s="1"/>
  <c r="AR933" s="1"/>
  <c r="AR934" s="1"/>
  <c r="AR935" s="1"/>
  <c r="AR936" s="1"/>
  <c r="AR937" s="1"/>
  <c r="AR938" s="1"/>
  <c r="AR939" s="1"/>
  <c r="AR940" s="1"/>
  <c r="AR941" s="1"/>
  <c r="AR942" s="1"/>
  <c r="AR943" s="1"/>
  <c r="AR944" s="1"/>
  <c r="AR945" s="1"/>
  <c r="AR946" s="1"/>
  <c r="AR947" s="1"/>
  <c r="AR948" s="1"/>
  <c r="AR949" s="1"/>
  <c r="AR950" s="1"/>
  <c r="AR951" s="1"/>
  <c r="AR952" s="1"/>
  <c r="AR953" s="1"/>
  <c r="AR954" s="1"/>
  <c r="AR955" s="1"/>
  <c r="AR956" s="1"/>
  <c r="AR957" s="1"/>
  <c r="AR958" s="1"/>
  <c r="AR959" s="1"/>
  <c r="AR960" s="1"/>
  <c r="AR961" s="1"/>
  <c r="AR962" s="1"/>
  <c r="AR963" s="1"/>
  <c r="AR964" s="1"/>
  <c r="AR965" s="1"/>
  <c r="AR966" s="1"/>
  <c r="AR967" s="1"/>
  <c r="AR968" s="1"/>
  <c r="AR969" s="1"/>
  <c r="AR970" s="1"/>
  <c r="AR971" s="1"/>
  <c r="AR972" s="1"/>
  <c r="AR973" s="1"/>
  <c r="AR974" s="1"/>
  <c r="AR975" s="1"/>
  <c r="AR976" s="1"/>
  <c r="AR977" s="1"/>
  <c r="AR978" s="1"/>
  <c r="AR979" s="1"/>
  <c r="AR980" s="1"/>
  <c r="AR981" s="1"/>
  <c r="AR982" s="1"/>
  <c r="AR983" s="1"/>
  <c r="AR984" s="1"/>
  <c r="AR985" s="1"/>
  <c r="AR986" s="1"/>
  <c r="AR987" s="1"/>
  <c r="AR988" s="1"/>
  <c r="AR989" s="1"/>
  <c r="AR990" s="1"/>
  <c r="AR991" s="1"/>
  <c r="AR992" s="1"/>
  <c r="AR993" s="1"/>
  <c r="AR994" s="1"/>
  <c r="AR995" s="1"/>
  <c r="AR996" s="1"/>
  <c r="AR997" s="1"/>
  <c r="AR998" s="1"/>
  <c r="AR999" s="1"/>
  <c r="AR1000" s="1"/>
  <c r="AR1001" s="1"/>
  <c r="AR1002" s="1"/>
  <c r="AR1003" s="1"/>
  <c r="AR1004" s="1"/>
  <c r="AR1005" s="1"/>
  <c r="AR1006" s="1"/>
  <c r="AR1007" s="1"/>
  <c r="AR1008" s="1"/>
  <c r="AR1009" s="1"/>
  <c r="AR1010" s="1"/>
  <c r="AR1011" s="1"/>
  <c r="AR1012" s="1"/>
  <c r="AR1013" s="1"/>
  <c r="AR1014" s="1"/>
  <c r="AR1015" s="1"/>
  <c r="AR1016" s="1"/>
  <c r="AR1017" s="1"/>
  <c r="AR1018" s="1"/>
  <c r="AR1019" s="1"/>
  <c r="AR1020" s="1"/>
  <c r="AR1021" s="1"/>
  <c r="AR1022" s="1"/>
  <c r="AR1023" s="1"/>
  <c r="AR1024" s="1"/>
  <c r="AR1025" s="1"/>
  <c r="AR1026" s="1"/>
  <c r="AR1027" s="1"/>
  <c r="AR1028" s="1"/>
  <c r="AR1029" s="1"/>
  <c r="AR1030" s="1"/>
  <c r="AR1031" s="1"/>
  <c r="AR1032" s="1"/>
  <c r="AR1033" s="1"/>
  <c r="AR1034" s="1"/>
  <c r="AR1035" s="1"/>
  <c r="AR1036" s="1"/>
  <c r="AR1037" s="1"/>
  <c r="AR1038" s="1"/>
  <c r="AR1039" s="1"/>
  <c r="AR1040" s="1"/>
  <c r="AR1041" s="1"/>
  <c r="AR1042" s="1"/>
  <c r="AR1043" s="1"/>
  <c r="AR1044" s="1"/>
  <c r="AR1045" s="1"/>
  <c r="AR1046" s="1"/>
  <c r="AR1047" s="1"/>
  <c r="AR1048" s="1"/>
  <c r="AR1049" s="1"/>
  <c r="AR1050" s="1"/>
  <c r="AR1051" s="1"/>
  <c r="AR1052" s="1"/>
  <c r="AR1053" s="1"/>
  <c r="AR1054" s="1"/>
  <c r="AR1055" s="1"/>
  <c r="AR1056" s="1"/>
  <c r="AR1057" s="1"/>
  <c r="AR1058" s="1"/>
  <c r="AR1059" s="1"/>
  <c r="AR1060" s="1"/>
  <c r="AR1061" s="1"/>
  <c r="AR1062" s="1"/>
  <c r="AR1063" s="1"/>
  <c r="AR1064" s="1"/>
  <c r="AR1065" s="1"/>
  <c r="AR1066" s="1"/>
  <c r="AR1067" s="1"/>
  <c r="AR1068" s="1"/>
  <c r="AR1069" s="1"/>
  <c r="AR1070" s="1"/>
  <c r="AR1071" s="1"/>
  <c r="AR1072" s="1"/>
  <c r="AR1073" s="1"/>
  <c r="AR1074" s="1"/>
  <c r="AR1075" s="1"/>
  <c r="AR1076" s="1"/>
  <c r="AR1077" s="1"/>
  <c r="AR1078" s="1"/>
  <c r="AR1079" s="1"/>
  <c r="AR1080" s="1"/>
  <c r="AR1081" s="1"/>
  <c r="AR1082" s="1"/>
  <c r="AR1083" s="1"/>
  <c r="AR1084" s="1"/>
  <c r="AR1085" s="1"/>
  <c r="AR1086" s="1"/>
  <c r="AR1087" s="1"/>
  <c r="AR1088" s="1"/>
  <c r="AR1089" s="1"/>
  <c r="AR1090" s="1"/>
  <c r="AR1091" s="1"/>
  <c r="AR1092" s="1"/>
  <c r="AR1093" s="1"/>
  <c r="AR1094" s="1"/>
  <c r="AR1095" s="1"/>
  <c r="AR1096" s="1"/>
  <c r="AR1097" s="1"/>
  <c r="AR1098" s="1"/>
  <c r="AR1099" s="1"/>
  <c r="AR1100" s="1"/>
  <c r="AR1101" s="1"/>
  <c r="AR1102" s="1"/>
  <c r="AR1103" s="1"/>
  <c r="AR1104" s="1"/>
  <c r="AR1105" s="1"/>
  <c r="AR1106" s="1"/>
  <c r="AR1107" s="1"/>
  <c r="AR1108" s="1"/>
  <c r="AR1109" s="1"/>
  <c r="AR1110" s="1"/>
  <c r="AR1111" s="1"/>
  <c r="AR1112" s="1"/>
  <c r="AR1113" s="1"/>
  <c r="AR1114" s="1"/>
  <c r="AR1115" s="1"/>
  <c r="AR1116" s="1"/>
  <c r="AR1117" s="1"/>
  <c r="AR1118" s="1"/>
  <c r="AR1119" s="1"/>
  <c r="AR1120" s="1"/>
  <c r="AR1121" s="1"/>
  <c r="AR1122" s="1"/>
  <c r="AR1123" s="1"/>
  <c r="AR1124" s="1"/>
  <c r="AR1125" s="1"/>
  <c r="AR1126" s="1"/>
  <c r="AR1127" s="1"/>
  <c r="AR1128" s="1"/>
  <c r="AR1129" s="1"/>
  <c r="AR1130" s="1"/>
  <c r="AR1131" s="1"/>
  <c r="AR1132" s="1"/>
  <c r="AR1133" s="1"/>
  <c r="AR1134" s="1"/>
  <c r="AR1135" s="1"/>
  <c r="AR1136" s="1"/>
  <c r="AR1137" s="1"/>
  <c r="AR1138" s="1"/>
  <c r="AR1139" s="1"/>
  <c r="AR1140" s="1"/>
  <c r="AR1141" s="1"/>
  <c r="AR1142" s="1"/>
  <c r="AR1143" s="1"/>
  <c r="AR1144" s="1"/>
  <c r="AR1145" s="1"/>
  <c r="AR1146" s="1"/>
  <c r="AR1147" s="1"/>
  <c r="AR1148" s="1"/>
  <c r="AR1149" s="1"/>
  <c r="AR1150" s="1"/>
  <c r="AR1151" s="1"/>
  <c r="AR1152" s="1"/>
  <c r="AR1153" s="1"/>
  <c r="AR1154" s="1"/>
  <c r="AR1155" s="1"/>
  <c r="AR1156" s="1"/>
  <c r="AR1157" s="1"/>
  <c r="AR1158" s="1"/>
  <c r="AR1159" s="1"/>
  <c r="AR1160" s="1"/>
  <c r="AR1161" s="1"/>
  <c r="AR1162" s="1"/>
  <c r="AR1163" s="1"/>
  <c r="AR1164" s="1"/>
  <c r="AR1165" s="1"/>
  <c r="AR1166" s="1"/>
  <c r="AR1167" s="1"/>
  <c r="AR1168" s="1"/>
  <c r="AR1169" s="1"/>
  <c r="AR1170" s="1"/>
  <c r="AR1171" s="1"/>
  <c r="AR1172" s="1"/>
  <c r="AR1173" s="1"/>
  <c r="AR1174" s="1"/>
  <c r="AR1175" s="1"/>
  <c r="AR1176" s="1"/>
  <c r="AR1177" s="1"/>
  <c r="AR1178" s="1"/>
  <c r="AR1179" s="1"/>
  <c r="AR1180" s="1"/>
  <c r="AR1181" s="1"/>
  <c r="AR1182" s="1"/>
  <c r="AR1183" s="1"/>
  <c r="AR1184" s="1"/>
  <c r="AR1185" s="1"/>
  <c r="AR1186" s="1"/>
  <c r="AR1187" s="1"/>
  <c r="AR1188" s="1"/>
  <c r="AR1189" s="1"/>
  <c r="AR1190" s="1"/>
  <c r="AR1191" s="1"/>
  <c r="AR1192" s="1"/>
  <c r="AR1193" s="1"/>
  <c r="AR1194" s="1"/>
  <c r="AR1195" s="1"/>
  <c r="AR1196" s="1"/>
  <c r="AR1197" s="1"/>
  <c r="AR1198" s="1"/>
  <c r="AR1199" s="1"/>
  <c r="AR1200" s="1"/>
  <c r="AR1201" s="1"/>
  <c r="AR1202" s="1"/>
  <c r="AR1203" s="1"/>
  <c r="AR1204" s="1"/>
  <c r="AR1205" s="1"/>
  <c r="AR1206" s="1"/>
  <c r="AR1207" s="1"/>
  <c r="AR1208" s="1"/>
  <c r="AR1209" s="1"/>
  <c r="AR1210" s="1"/>
  <c r="AR1211" s="1"/>
  <c r="AR1212" s="1"/>
  <c r="AR1213" s="1"/>
  <c r="AR1214" s="1"/>
  <c r="AR1215" s="1"/>
  <c r="AR1216" s="1"/>
  <c r="AR1217" s="1"/>
  <c r="AR1218" s="1"/>
  <c r="AR1219" s="1"/>
  <c r="AR1220" s="1"/>
  <c r="AR1221" s="1"/>
  <c r="AR1222" s="1"/>
  <c r="AR1223" s="1"/>
  <c r="AR1224" s="1"/>
  <c r="AR1225" s="1"/>
  <c r="AR1226" s="1"/>
  <c r="AR1227" s="1"/>
  <c r="AR1228" s="1"/>
  <c r="AR1229" s="1"/>
  <c r="AR1230" s="1"/>
  <c r="AR1231" s="1"/>
  <c r="AR1232" s="1"/>
  <c r="AR1233" s="1"/>
  <c r="AR1234" s="1"/>
  <c r="AR1235" s="1"/>
  <c r="AR1236" s="1"/>
  <c r="AR1237" s="1"/>
  <c r="AR1238" s="1"/>
  <c r="AR1239" s="1"/>
  <c r="AR1240" s="1"/>
  <c r="AR1241" s="1"/>
  <c r="AR1242" s="1"/>
  <c r="AR1243" s="1"/>
  <c r="AR1244" s="1"/>
  <c r="AR1245" s="1"/>
  <c r="AR1246" s="1"/>
  <c r="AR1247" s="1"/>
  <c r="AR1248" s="1"/>
  <c r="AR1249" s="1"/>
  <c r="AR1250" s="1"/>
  <c r="AR1251" s="1"/>
  <c r="AR1252" s="1"/>
  <c r="AR1253" s="1"/>
  <c r="AR1254" s="1"/>
  <c r="AR1255" s="1"/>
  <c r="AR1256" s="1"/>
  <c r="AR1257" s="1"/>
  <c r="AR1258" s="1"/>
  <c r="AR1259" s="1"/>
  <c r="AR1260" s="1"/>
  <c r="AR1261" s="1"/>
  <c r="AR1262" s="1"/>
  <c r="AR1263" s="1"/>
  <c r="AR1264" s="1"/>
  <c r="AR1265" s="1"/>
  <c r="AR1266" s="1"/>
  <c r="AR1267" s="1"/>
  <c r="AR1268" s="1"/>
  <c r="AR1269" s="1"/>
  <c r="AR1270" s="1"/>
  <c r="AR1271" s="1"/>
  <c r="AR1272" s="1"/>
  <c r="AR1273" s="1"/>
  <c r="AR1274" s="1"/>
  <c r="AR1275" s="1"/>
  <c r="AR1276" s="1"/>
  <c r="AR1277" s="1"/>
  <c r="AR1278" s="1"/>
  <c r="AR1279" s="1"/>
  <c r="AR1280" s="1"/>
  <c r="AR1281" s="1"/>
  <c r="AR1282" s="1"/>
  <c r="AR1283" s="1"/>
  <c r="AR1284" s="1"/>
  <c r="AR1285" s="1"/>
  <c r="AR1286" s="1"/>
  <c r="AR1287" s="1"/>
  <c r="AR1288" s="1"/>
  <c r="AR1289" s="1"/>
  <c r="AR1290" s="1"/>
  <c r="AR1291" s="1"/>
  <c r="AR1292" s="1"/>
  <c r="AR1293" s="1"/>
  <c r="AR1294" s="1"/>
  <c r="AR1295" s="1"/>
  <c r="AR1296" s="1"/>
  <c r="AR1297" s="1"/>
  <c r="AR1298" s="1"/>
  <c r="AR1299" s="1"/>
  <c r="AR1300" s="1"/>
  <c r="AR1301" s="1"/>
  <c r="AR1302" s="1"/>
  <c r="AR1303" s="1"/>
  <c r="AR1304" s="1"/>
  <c r="AR1305" s="1"/>
  <c r="AR1306" s="1"/>
  <c r="AR1307" s="1"/>
  <c r="AR1308" s="1"/>
  <c r="AR1309" s="1"/>
  <c r="AR1310" s="1"/>
  <c r="AR1311" s="1"/>
  <c r="AR1312" s="1"/>
  <c r="AR1313" s="1"/>
  <c r="AR1314" s="1"/>
  <c r="AR1315" s="1"/>
  <c r="AR1316" s="1"/>
  <c r="AR1317" s="1"/>
  <c r="AR1318" s="1"/>
  <c r="AR1319" s="1"/>
  <c r="AR1320" s="1"/>
  <c r="AR1321" s="1"/>
  <c r="AR1322" s="1"/>
  <c r="AR1323" s="1"/>
  <c r="AR1324" s="1"/>
  <c r="AR1325" s="1"/>
  <c r="AR1326" s="1"/>
  <c r="AR1327" s="1"/>
  <c r="AR1328" s="1"/>
  <c r="AR1329" s="1"/>
  <c r="AR1330" s="1"/>
  <c r="AR1331" s="1"/>
  <c r="AR1332" s="1"/>
  <c r="AR1333" s="1"/>
  <c r="AR1334" s="1"/>
  <c r="AR1335" s="1"/>
  <c r="AR1336" s="1"/>
  <c r="AR1337" s="1"/>
  <c r="AR1338" s="1"/>
  <c r="AR1339" s="1"/>
  <c r="AR1340" s="1"/>
  <c r="AR1341" s="1"/>
  <c r="AR1342" s="1"/>
  <c r="AR1343" s="1"/>
  <c r="AR1344" s="1"/>
  <c r="AR1345" s="1"/>
  <c r="AR1346" s="1"/>
  <c r="AR1347" s="1"/>
  <c r="AR1348" s="1"/>
  <c r="AR1349" s="1"/>
  <c r="AR1350" s="1"/>
  <c r="AR1351" s="1"/>
  <c r="AR1352" s="1"/>
  <c r="AR1353" s="1"/>
  <c r="AR1354" s="1"/>
  <c r="AR1355" s="1"/>
  <c r="AR1356" s="1"/>
  <c r="AR1357" s="1"/>
  <c r="AR1358" s="1"/>
  <c r="AR1359" s="1"/>
  <c r="AR1360" s="1"/>
  <c r="AR1361" s="1"/>
  <c r="AR1362" s="1"/>
  <c r="AR1363" s="1"/>
  <c r="AR1364" s="1"/>
  <c r="AR1365" s="1"/>
  <c r="AR1366" s="1"/>
  <c r="AR1367" s="1"/>
  <c r="AR1368" s="1"/>
  <c r="AR1369" s="1"/>
  <c r="AR1370" s="1"/>
  <c r="AR1371" s="1"/>
  <c r="AR1372" s="1"/>
  <c r="AR1373" s="1"/>
  <c r="AR1374" s="1"/>
  <c r="AR1375" s="1"/>
  <c r="AR1376" s="1"/>
  <c r="AR1377" s="1"/>
  <c r="AR1378" s="1"/>
  <c r="AR1379" s="1"/>
  <c r="AR1380" s="1"/>
  <c r="AR1381" s="1"/>
  <c r="AR1382" s="1"/>
  <c r="AR1383" s="1"/>
  <c r="AR1384" s="1"/>
  <c r="AR1385" s="1"/>
  <c r="AR1386" s="1"/>
  <c r="AR1387" s="1"/>
  <c r="AR1388" s="1"/>
  <c r="AR1389" s="1"/>
  <c r="AR1390" s="1"/>
  <c r="AR1391" s="1"/>
  <c r="AR1392" s="1"/>
  <c r="AR1393" s="1"/>
  <c r="AR1394" s="1"/>
  <c r="AR1395" s="1"/>
  <c r="AR1396" s="1"/>
  <c r="AR1397" s="1"/>
  <c r="AR1398" s="1"/>
  <c r="AR1399" s="1"/>
  <c r="AR1400" s="1"/>
  <c r="AR1401" s="1"/>
  <c r="AR1402" s="1"/>
  <c r="AR1403" s="1"/>
  <c r="AR1404" s="1"/>
  <c r="AR1405" s="1"/>
  <c r="AR1406" s="1"/>
  <c r="AR1407" s="1"/>
  <c r="AR1408" s="1"/>
  <c r="AR1409" s="1"/>
  <c r="AR1410" s="1"/>
  <c r="AR1411" s="1"/>
  <c r="AR1412" s="1"/>
  <c r="AR1413" s="1"/>
  <c r="AR1414" s="1"/>
  <c r="AR1415" s="1"/>
  <c r="AR1416" s="1"/>
  <c r="AR1417" s="1"/>
  <c r="AR1418" s="1"/>
  <c r="AR1419" s="1"/>
  <c r="AR1420" s="1"/>
  <c r="AR1421" s="1"/>
  <c r="AR1422" s="1"/>
  <c r="AR1423" s="1"/>
  <c r="AR1424" s="1"/>
  <c r="AR1425" s="1"/>
  <c r="AR1426" s="1"/>
  <c r="AR1427" s="1"/>
  <c r="AR1428" s="1"/>
  <c r="AR1429" s="1"/>
  <c r="AR1430" s="1"/>
  <c r="AR1431" s="1"/>
  <c r="AR1432" s="1"/>
  <c r="AR1433" s="1"/>
  <c r="AR1434" s="1"/>
  <c r="AR1435" s="1"/>
  <c r="AR1436" s="1"/>
  <c r="AR1437" s="1"/>
  <c r="AR1438" s="1"/>
  <c r="AR1439" s="1"/>
  <c r="AR1440" s="1"/>
  <c r="AR1441" s="1"/>
  <c r="AR1442" s="1"/>
  <c r="AR1443" s="1"/>
  <c r="AR1444" s="1"/>
  <c r="AR1445" s="1"/>
  <c r="AR1446" s="1"/>
  <c r="AR1447" s="1"/>
  <c r="AR1448" s="1"/>
  <c r="AR1449" s="1"/>
  <c r="AR1450" s="1"/>
  <c r="AR1451" s="1"/>
  <c r="AR1452" s="1"/>
  <c r="AR1453" s="1"/>
  <c r="AR1454" s="1"/>
  <c r="AR1455" s="1"/>
  <c r="AR1456" s="1"/>
  <c r="AR1457" s="1"/>
  <c r="AR1458" s="1"/>
  <c r="AR1459" s="1"/>
  <c r="AR1460" s="1"/>
  <c r="AR1461" s="1"/>
  <c r="AR1462" s="1"/>
  <c r="AR1463" s="1"/>
  <c r="AR1464" s="1"/>
  <c r="AR1465" s="1"/>
  <c r="AR1466" s="1"/>
  <c r="AR1467" s="1"/>
  <c r="AR1468" s="1"/>
  <c r="AR1469" s="1"/>
  <c r="AR1470" s="1"/>
  <c r="AR1471" s="1"/>
  <c r="AR1472" s="1"/>
  <c r="AR1473" s="1"/>
  <c r="AR1474" s="1"/>
  <c r="AR1475" s="1"/>
  <c r="AR1476" s="1"/>
  <c r="AR1477" s="1"/>
  <c r="AR1478" s="1"/>
  <c r="AR1479" s="1"/>
  <c r="AR1480" s="1"/>
  <c r="AR1481" s="1"/>
  <c r="AR1482" s="1"/>
  <c r="AR1483" s="1"/>
  <c r="AR1484" s="1"/>
  <c r="AR1485" s="1"/>
  <c r="AR1486" s="1"/>
  <c r="AR1487" s="1"/>
  <c r="AR1488" s="1"/>
  <c r="AR1489" s="1"/>
  <c r="AR1490" s="1"/>
  <c r="AR1491" s="1"/>
  <c r="AR1492" s="1"/>
  <c r="AR1493" s="1"/>
  <c r="AR1494" s="1"/>
  <c r="AR1495" s="1"/>
  <c r="AR1496" s="1"/>
  <c r="AR1497" s="1"/>
  <c r="AR1498" s="1"/>
  <c r="AR1499" s="1"/>
  <c r="AR1500" s="1"/>
  <c r="AR1501" s="1"/>
  <c r="AR1502" s="1"/>
  <c r="AR1503" s="1"/>
  <c r="AR1504" s="1"/>
  <c r="AR1505" s="1"/>
  <c r="AR1506" s="1"/>
  <c r="AR1507" s="1"/>
  <c r="AR1508" s="1"/>
  <c r="AR1509" s="1"/>
  <c r="AR1510" s="1"/>
  <c r="AR1511" s="1"/>
  <c r="AR1512" s="1"/>
  <c r="AR1513" s="1"/>
  <c r="AR1514" s="1"/>
  <c r="AR1515" s="1"/>
  <c r="AR1516" s="1"/>
  <c r="AR1517" s="1"/>
  <c r="AR1518" s="1"/>
  <c r="AR1519" s="1"/>
  <c r="AR1520" s="1"/>
  <c r="AR1521" s="1"/>
  <c r="AR1522" s="1"/>
  <c r="AR1523" s="1"/>
  <c r="AR1524" s="1"/>
  <c r="AR1525" s="1"/>
  <c r="AR1526" s="1"/>
  <c r="AR1527" s="1"/>
  <c r="AR1528" s="1"/>
  <c r="AR1529" s="1"/>
  <c r="AR1530" s="1"/>
  <c r="AR1531" s="1"/>
  <c r="AR1532" s="1"/>
  <c r="AR1533" s="1"/>
  <c r="AR1534" s="1"/>
  <c r="AR1535" s="1"/>
  <c r="AR1536" s="1"/>
  <c r="AR1537" s="1"/>
  <c r="AR1538" s="1"/>
  <c r="AR1539" s="1"/>
  <c r="AR1540" s="1"/>
  <c r="AR1541" s="1"/>
  <c r="AR1542" s="1"/>
  <c r="AR1543" s="1"/>
  <c r="AR1544" s="1"/>
  <c r="AR1545" s="1"/>
  <c r="AR1546" s="1"/>
  <c r="AR1547" s="1"/>
  <c r="AR1548" s="1"/>
  <c r="AR1549" s="1"/>
  <c r="AR1550" s="1"/>
  <c r="AR1551" s="1"/>
  <c r="AR1552" s="1"/>
  <c r="AR1553" s="1"/>
  <c r="AR1554" s="1"/>
  <c r="AR1555" s="1"/>
  <c r="AR1556" s="1"/>
  <c r="AR1557" s="1"/>
  <c r="AR1558" s="1"/>
  <c r="AR1559" s="1"/>
  <c r="AR1560" s="1"/>
  <c r="AR1561" s="1"/>
  <c r="AR1562" s="1"/>
  <c r="AR1563" s="1"/>
  <c r="AR1564" s="1"/>
  <c r="AR1565" s="1"/>
  <c r="AR1566" s="1"/>
  <c r="AR1567" s="1"/>
  <c r="AR1568" s="1"/>
  <c r="AR1569" s="1"/>
  <c r="AR1570" s="1"/>
  <c r="AR1571" s="1"/>
  <c r="AR1572" s="1"/>
  <c r="AR1573" s="1"/>
  <c r="AR1574" s="1"/>
  <c r="AR1575" s="1"/>
  <c r="AR1576" s="1"/>
  <c r="AR1577" s="1"/>
  <c r="AR1578" s="1"/>
  <c r="AR1579" s="1"/>
  <c r="AR1580" s="1"/>
  <c r="AR1581" s="1"/>
  <c r="AR1582" s="1"/>
  <c r="AR1583" s="1"/>
  <c r="AR1584" s="1"/>
  <c r="AR1585" s="1"/>
  <c r="AR1586" s="1"/>
  <c r="AR1587" s="1"/>
  <c r="AR1588" s="1"/>
  <c r="AR1589" s="1"/>
  <c r="AR1590" s="1"/>
  <c r="AR1591" s="1"/>
  <c r="AR1592" s="1"/>
  <c r="AR1593" s="1"/>
  <c r="AR1594" s="1"/>
  <c r="AR1595" s="1"/>
  <c r="AR1596" s="1"/>
  <c r="AR1597" s="1"/>
  <c r="AR1598" s="1"/>
  <c r="AR1599" s="1"/>
  <c r="AR1600" s="1"/>
  <c r="AR1601" s="1"/>
  <c r="AR1602" s="1"/>
  <c r="AR1603" s="1"/>
  <c r="AR1604" s="1"/>
  <c r="AR1605" s="1"/>
  <c r="AR1606" s="1"/>
  <c r="AR1607" s="1"/>
  <c r="AR1608" s="1"/>
  <c r="AR1609" s="1"/>
  <c r="AR1610" s="1"/>
  <c r="AR1611" s="1"/>
  <c r="AR1612" s="1"/>
  <c r="AR1613" s="1"/>
  <c r="AR1614" s="1"/>
  <c r="AR1615" s="1"/>
  <c r="AR1616" s="1"/>
  <c r="AR1617" s="1"/>
  <c r="AR1618" s="1"/>
  <c r="AR1619" s="1"/>
  <c r="AR1620" s="1"/>
  <c r="AR1621" s="1"/>
  <c r="AR1622" s="1"/>
  <c r="AR1623" s="1"/>
  <c r="AR1624" s="1"/>
  <c r="AR1625" s="1"/>
  <c r="AR1626" s="1"/>
  <c r="AR1627" s="1"/>
  <c r="AR1628" s="1"/>
  <c r="AR1629" s="1"/>
  <c r="AR1630" s="1"/>
  <c r="AR1631" s="1"/>
  <c r="AR1632" s="1"/>
  <c r="AR1633" s="1"/>
  <c r="AR1634" s="1"/>
  <c r="AR1635" s="1"/>
  <c r="AR1636" s="1"/>
  <c r="AR1637" s="1"/>
  <c r="AR1638" s="1"/>
  <c r="AR1639" s="1"/>
  <c r="AR1640" s="1"/>
  <c r="AR1641" s="1"/>
  <c r="AR1642" s="1"/>
  <c r="AR1643" s="1"/>
  <c r="AR1644" s="1"/>
  <c r="AR1645" s="1"/>
  <c r="AR1646" s="1"/>
  <c r="AR1647" s="1"/>
  <c r="AR1648" s="1"/>
  <c r="AR1649" s="1"/>
  <c r="AR1650" s="1"/>
  <c r="AR1651" s="1"/>
  <c r="AR1652" s="1"/>
  <c r="AR1653" s="1"/>
  <c r="AR1654" s="1"/>
  <c r="AR1655" s="1"/>
  <c r="AR1656" s="1"/>
  <c r="AR1657" s="1"/>
  <c r="AR1658" s="1"/>
  <c r="AR1659" s="1"/>
  <c r="AR1660" s="1"/>
  <c r="AR1661" s="1"/>
  <c r="AR1662" s="1"/>
  <c r="AR1663" s="1"/>
  <c r="AR1664" s="1"/>
  <c r="AR1665" s="1"/>
  <c r="AR1666" s="1"/>
  <c r="AR1667" s="1"/>
  <c r="AR1668" s="1"/>
  <c r="AR1669" s="1"/>
  <c r="AR1670" s="1"/>
  <c r="AR1671" s="1"/>
  <c r="AR1672" s="1"/>
  <c r="AR1673" s="1"/>
  <c r="AR1674" s="1"/>
  <c r="AR1675" s="1"/>
  <c r="AR1676" s="1"/>
  <c r="AR1677" s="1"/>
  <c r="AR1678" s="1"/>
  <c r="AR1679" s="1"/>
  <c r="AR1680" s="1"/>
  <c r="AR1681" s="1"/>
  <c r="AR1682" s="1"/>
  <c r="AR1683" s="1"/>
  <c r="AR1684" s="1"/>
  <c r="AR1685" s="1"/>
  <c r="AR1686" s="1"/>
  <c r="AR1687" s="1"/>
  <c r="AR1688" s="1"/>
  <c r="AR1689" s="1"/>
  <c r="AR1690" s="1"/>
  <c r="AR1691" s="1"/>
  <c r="AR1692" s="1"/>
  <c r="AR1693" s="1"/>
  <c r="AR1694" s="1"/>
  <c r="AR1695" s="1"/>
  <c r="AR1696" s="1"/>
  <c r="AR1697" s="1"/>
  <c r="AR1698" s="1"/>
  <c r="AR1699" s="1"/>
  <c r="AR1700" s="1"/>
  <c r="AR1701" s="1"/>
  <c r="AR1702" s="1"/>
  <c r="AR1703" s="1"/>
  <c r="AR1704" s="1"/>
  <c r="AR1705" s="1"/>
  <c r="AR1706" s="1"/>
  <c r="AR1707" s="1"/>
  <c r="AR1708" s="1"/>
  <c r="AR1709" s="1"/>
  <c r="AR1710" s="1"/>
  <c r="AR1711" s="1"/>
  <c r="AR1712" s="1"/>
  <c r="AR1713" s="1"/>
  <c r="AR1714" s="1"/>
  <c r="AR1715" s="1"/>
  <c r="AR1716" s="1"/>
  <c r="AR1717" s="1"/>
  <c r="AR1718" s="1"/>
  <c r="AR1719" s="1"/>
  <c r="AR1720" s="1"/>
  <c r="AR1721" s="1"/>
  <c r="AR1722" s="1"/>
  <c r="AR1723" s="1"/>
  <c r="AR1724" s="1"/>
  <c r="AR1725" s="1"/>
  <c r="AR1726" s="1"/>
  <c r="AR1727" s="1"/>
  <c r="AR1728" s="1"/>
  <c r="AR1729" s="1"/>
  <c r="AR1730" s="1"/>
  <c r="AR1731" s="1"/>
  <c r="AR1732" s="1"/>
  <c r="AR1733" s="1"/>
  <c r="AR1734" s="1"/>
  <c r="AR1735" s="1"/>
  <c r="AR1736" s="1"/>
  <c r="AR1737" s="1"/>
  <c r="AR1738" s="1"/>
  <c r="AR1739" s="1"/>
  <c r="AR1740" s="1"/>
  <c r="AR1741" s="1"/>
  <c r="AR1742" s="1"/>
  <c r="AR1743" s="1"/>
  <c r="AR1744" s="1"/>
  <c r="AR1745" s="1"/>
  <c r="AR1746" s="1"/>
  <c r="AR1747" s="1"/>
  <c r="AR1748" s="1"/>
  <c r="AR1749" s="1"/>
  <c r="AR1750" s="1"/>
  <c r="AR1751" s="1"/>
  <c r="AR1752" s="1"/>
  <c r="AR1753" s="1"/>
  <c r="AR1754" s="1"/>
  <c r="AR1755" s="1"/>
  <c r="AR1756" s="1"/>
  <c r="AR1757" s="1"/>
  <c r="AR1758" s="1"/>
  <c r="AR1759" s="1"/>
  <c r="AR1760" s="1"/>
  <c r="AR1761" s="1"/>
  <c r="AR1762" s="1"/>
  <c r="AR1763" s="1"/>
  <c r="AR1764" s="1"/>
  <c r="AR1765" s="1"/>
  <c r="AR1766" s="1"/>
  <c r="AR1767" s="1"/>
  <c r="AR1768" s="1"/>
  <c r="AR1769" s="1"/>
  <c r="AR1770" s="1"/>
  <c r="AR1771" s="1"/>
  <c r="AR1772" s="1"/>
  <c r="AR1773" s="1"/>
  <c r="AR1774" s="1"/>
  <c r="AR1775" s="1"/>
  <c r="AR1776" s="1"/>
  <c r="AR1777" s="1"/>
  <c r="AR1778" s="1"/>
  <c r="AR1779" s="1"/>
  <c r="AR1780" s="1"/>
  <c r="AR1781" s="1"/>
  <c r="AR1782" s="1"/>
  <c r="AR1783" s="1"/>
  <c r="AR1784" s="1"/>
  <c r="AR1785" s="1"/>
  <c r="AR1786" s="1"/>
  <c r="AR1787" s="1"/>
  <c r="AR1788" s="1"/>
  <c r="AR1789" s="1"/>
  <c r="AR1790" s="1"/>
  <c r="AR1791" s="1"/>
  <c r="AR1792" s="1"/>
  <c r="AR1793" s="1"/>
  <c r="AR1794" s="1"/>
  <c r="AR1795" s="1"/>
  <c r="AR1796" s="1"/>
  <c r="AR1797" s="1"/>
  <c r="AR1798" s="1"/>
  <c r="AR1799" s="1"/>
  <c r="AR1800" s="1"/>
  <c r="AR1801" s="1"/>
  <c r="AR1802" s="1"/>
  <c r="AR1803" s="1"/>
  <c r="AR1804" s="1"/>
  <c r="AR1805" s="1"/>
  <c r="AR1806" s="1"/>
  <c r="AR1807" s="1"/>
  <c r="AR1808" s="1"/>
  <c r="AR1809" s="1"/>
  <c r="AR1810" s="1"/>
  <c r="AR1811" s="1"/>
  <c r="AR1812" s="1"/>
  <c r="AR1813" s="1"/>
  <c r="AR1814" s="1"/>
  <c r="AR1815" s="1"/>
  <c r="AR1816" s="1"/>
  <c r="AR1817" s="1"/>
  <c r="AR1818" s="1"/>
  <c r="AR1819" s="1"/>
  <c r="AR1820" s="1"/>
  <c r="AR1821" s="1"/>
  <c r="AR1822" s="1"/>
  <c r="AR1823" s="1"/>
  <c r="AR1824" s="1"/>
  <c r="AR1825" s="1"/>
  <c r="AR1826" s="1"/>
  <c r="AR1827" s="1"/>
  <c r="AR1828" s="1"/>
  <c r="AR1829" s="1"/>
  <c r="AR1830" s="1"/>
  <c r="AR1831" s="1"/>
  <c r="AR1832" s="1"/>
  <c r="AR1833" s="1"/>
  <c r="AR1834" s="1"/>
  <c r="AR1835" s="1"/>
  <c r="AR1836" s="1"/>
  <c r="AR1837" s="1"/>
  <c r="AR1838" s="1"/>
  <c r="AR1839" s="1"/>
  <c r="AR1840" s="1"/>
  <c r="AR1841" s="1"/>
  <c r="AR1842" s="1"/>
  <c r="AR1843" s="1"/>
  <c r="AR1844" s="1"/>
  <c r="AR1845" s="1"/>
  <c r="AR1846" s="1"/>
  <c r="AR1847" s="1"/>
  <c r="AR1848" s="1"/>
  <c r="AR1849" s="1"/>
  <c r="AR1850" s="1"/>
  <c r="AR1851" s="1"/>
  <c r="AR1852" s="1"/>
  <c r="AR1853" s="1"/>
  <c r="AR1854" s="1"/>
  <c r="AR1855" s="1"/>
  <c r="AR1856" s="1"/>
  <c r="AR1857" s="1"/>
  <c r="AR1858" s="1"/>
  <c r="AR1859" s="1"/>
  <c r="AR1860" s="1"/>
  <c r="AR1861" s="1"/>
  <c r="AR1862" s="1"/>
  <c r="AR1863" s="1"/>
  <c r="AR1864" s="1"/>
  <c r="AR1865" s="1"/>
  <c r="AR1866" s="1"/>
  <c r="AR1867" s="1"/>
  <c r="AR1868" s="1"/>
  <c r="AR1869" s="1"/>
  <c r="AR1870" s="1"/>
  <c r="AR1871" s="1"/>
  <c r="AR1872" s="1"/>
  <c r="AR1873" s="1"/>
  <c r="AR1874" s="1"/>
  <c r="AR1875" s="1"/>
  <c r="AR1876" s="1"/>
  <c r="AR1877" s="1"/>
  <c r="AR1878" s="1"/>
  <c r="AR1879" s="1"/>
  <c r="AR1880" s="1"/>
  <c r="AR1881" s="1"/>
  <c r="AR1882" s="1"/>
  <c r="AR1883" s="1"/>
  <c r="AR1884" s="1"/>
  <c r="AR1885" s="1"/>
  <c r="AR1886" s="1"/>
  <c r="AR1887" s="1"/>
  <c r="AR1888" s="1"/>
  <c r="AR1889" s="1"/>
  <c r="AR1890" s="1"/>
  <c r="AR1891" s="1"/>
  <c r="AR1892" s="1"/>
  <c r="AR1893" s="1"/>
  <c r="AR1894" s="1"/>
  <c r="AR1895" s="1"/>
  <c r="AR1896" s="1"/>
  <c r="AR1897" s="1"/>
  <c r="AR1898" s="1"/>
  <c r="AR1899" s="1"/>
  <c r="AR1900" s="1"/>
  <c r="AR1901" s="1"/>
  <c r="AR1902" s="1"/>
  <c r="AR1903" s="1"/>
  <c r="AR1904" s="1"/>
  <c r="AR1905" s="1"/>
  <c r="AR1906" s="1"/>
  <c r="AR1907" s="1"/>
  <c r="AR1908" s="1"/>
  <c r="AR1909" s="1"/>
  <c r="AR1910" s="1"/>
  <c r="AR1911" s="1"/>
  <c r="AR1912" s="1"/>
  <c r="AR1913" s="1"/>
  <c r="AR1914" s="1"/>
  <c r="AR1915" s="1"/>
  <c r="AR1916" s="1"/>
  <c r="AR1917" s="1"/>
  <c r="AR1918" s="1"/>
  <c r="AR1919" s="1"/>
  <c r="AR1920" s="1"/>
  <c r="AR1921" s="1"/>
  <c r="AR1922" s="1"/>
  <c r="AR1923" s="1"/>
  <c r="AR1924" s="1"/>
  <c r="AR1925" s="1"/>
  <c r="AR1926" s="1"/>
  <c r="AR1927" s="1"/>
  <c r="AR1928" s="1"/>
  <c r="AR1929" s="1"/>
  <c r="AR1930" s="1"/>
  <c r="AR1931" s="1"/>
  <c r="AR1932" s="1"/>
  <c r="AR1933" s="1"/>
  <c r="AR1934" s="1"/>
  <c r="AR1935" s="1"/>
  <c r="AR1936" s="1"/>
  <c r="AR1937" s="1"/>
  <c r="AR1938" s="1"/>
  <c r="AR1939" s="1"/>
  <c r="AR1940" s="1"/>
  <c r="AR1941" s="1"/>
  <c r="AR1942" s="1"/>
  <c r="AR1943" s="1"/>
  <c r="AR1944" s="1"/>
  <c r="AR1945" s="1"/>
  <c r="AR1946" s="1"/>
  <c r="AR1947" s="1"/>
  <c r="AR1948" s="1"/>
  <c r="AR1949" s="1"/>
  <c r="AR1950" s="1"/>
  <c r="AR1951" s="1"/>
  <c r="AR1952" s="1"/>
  <c r="AR1953" s="1"/>
  <c r="AR1954" s="1"/>
  <c r="AR1955" s="1"/>
  <c r="AR1956" s="1"/>
  <c r="AR1957" s="1"/>
  <c r="AR1958" s="1"/>
  <c r="AR1959" s="1"/>
  <c r="AR1960" s="1"/>
  <c r="AR1961" s="1"/>
  <c r="AR1962" s="1"/>
  <c r="AR1963" s="1"/>
  <c r="AR1964" s="1"/>
  <c r="AR1965" s="1"/>
  <c r="AR1966" s="1"/>
  <c r="AR1967" s="1"/>
  <c r="AR1968" s="1"/>
  <c r="AR1969" s="1"/>
  <c r="AR1970" s="1"/>
  <c r="AR1971" s="1"/>
  <c r="AR1972" s="1"/>
  <c r="AR1973" s="1"/>
  <c r="AR1974" s="1"/>
  <c r="AR1975" s="1"/>
  <c r="AR1976" s="1"/>
  <c r="AR1977" s="1"/>
  <c r="AR1978" s="1"/>
  <c r="AR1979" s="1"/>
  <c r="AR1980" s="1"/>
  <c r="AR1981" s="1"/>
  <c r="AR1982" s="1"/>
  <c r="AR1983" s="1"/>
  <c r="AR1984" s="1"/>
  <c r="AR1985" s="1"/>
  <c r="AR1986" s="1"/>
  <c r="AR1987" s="1"/>
  <c r="AR1988" s="1"/>
  <c r="AR1989" s="1"/>
  <c r="AR1990" s="1"/>
  <c r="AR1991" s="1"/>
  <c r="AR1992" s="1"/>
  <c r="AR1993" s="1"/>
  <c r="AR1994" s="1"/>
  <c r="AR1995" s="1"/>
  <c r="AR1996" s="1"/>
  <c r="AR1997" s="1"/>
  <c r="AR1998" s="1"/>
  <c r="AR1999" s="1"/>
  <c r="AR2000" s="1"/>
  <c r="AR2001" s="1"/>
  <c r="AR2002" s="1"/>
  <c r="AR2003" s="1"/>
  <c r="AR2004" s="1"/>
  <c r="AR2005" s="1"/>
  <c r="AR2006" s="1"/>
  <c r="AR2007" s="1"/>
  <c r="AR2008" s="1"/>
  <c r="AR2009" s="1"/>
  <c r="AR2010" s="1"/>
  <c r="AR2011" s="1"/>
  <c r="AR2012" s="1"/>
  <c r="AR2013" s="1"/>
  <c r="AR2014" s="1"/>
  <c r="AR2015" s="1"/>
  <c r="AR2016" s="1"/>
  <c r="AR2017" s="1"/>
  <c r="AR2018" s="1"/>
  <c r="AR2019" s="1"/>
  <c r="AR2020" s="1"/>
  <c r="AR2021" s="1"/>
  <c r="AR2022" s="1"/>
  <c r="AR2023" s="1"/>
  <c r="AR2024" s="1"/>
  <c r="AR2025" s="1"/>
  <c r="AR2026" s="1"/>
  <c r="AR2027" s="1"/>
  <c r="AR2028" s="1"/>
  <c r="AR2029" s="1"/>
  <c r="AR2030" s="1"/>
  <c r="AR2031" s="1"/>
  <c r="AR2032" s="1"/>
  <c r="AR2033" s="1"/>
  <c r="AR2034" s="1"/>
  <c r="AR2035" s="1"/>
  <c r="AR2036" s="1"/>
  <c r="AR2037" s="1"/>
  <c r="AR2038" s="1"/>
  <c r="AR2039" s="1"/>
  <c r="AR2040" s="1"/>
  <c r="AR2041" s="1"/>
  <c r="AR2042" s="1"/>
  <c r="AR2043" s="1"/>
  <c r="AR2044" s="1"/>
  <c r="AR2045" s="1"/>
  <c r="AR2046" s="1"/>
  <c r="AR2047" s="1"/>
  <c r="AR2048" s="1"/>
  <c r="AR2049" s="1"/>
  <c r="AR2050" s="1"/>
  <c r="AR2051" s="1"/>
  <c r="AR2052" s="1"/>
  <c r="AR2053" s="1"/>
  <c r="AR2054" s="1"/>
  <c r="AR2055" s="1"/>
  <c r="AR2056" s="1"/>
  <c r="AR2057" s="1"/>
  <c r="AR2058" s="1"/>
  <c r="AR2059" s="1"/>
  <c r="AR2060" s="1"/>
  <c r="AR2061" s="1"/>
  <c r="AR2062" s="1"/>
  <c r="AR2063" s="1"/>
  <c r="AR2064" s="1"/>
  <c r="AR2065" s="1"/>
  <c r="AR2066" s="1"/>
  <c r="AR2067" s="1"/>
  <c r="AR2068" s="1"/>
  <c r="AR2069" s="1"/>
  <c r="AR2070" s="1"/>
  <c r="AR2071" s="1"/>
  <c r="AR2072" s="1"/>
  <c r="AR2073" s="1"/>
  <c r="AR2074" s="1"/>
  <c r="AR2075" s="1"/>
  <c r="AR2076" s="1"/>
  <c r="AR2077" s="1"/>
  <c r="AR2078" s="1"/>
  <c r="AR2079" s="1"/>
  <c r="AR2080" s="1"/>
  <c r="AR2081" s="1"/>
  <c r="AR2082" s="1"/>
  <c r="AR2083" s="1"/>
  <c r="AR2084" s="1"/>
  <c r="AR2085" s="1"/>
  <c r="AR2086" s="1"/>
  <c r="AR2087" s="1"/>
  <c r="AR2088" s="1"/>
  <c r="AR2089" s="1"/>
  <c r="AR2090" s="1"/>
  <c r="AR2091" s="1"/>
  <c r="AR2092" s="1"/>
  <c r="AR2093" s="1"/>
  <c r="AR2094" s="1"/>
  <c r="AR2095" s="1"/>
  <c r="AR2096" s="1"/>
  <c r="AR2097" s="1"/>
  <c r="AR2098" s="1"/>
  <c r="AR2099" s="1"/>
  <c r="AR2100" s="1"/>
  <c r="AR2101" s="1"/>
  <c r="AR2102" s="1"/>
  <c r="AR2103" s="1"/>
  <c r="AR2104" s="1"/>
  <c r="AR2105" s="1"/>
  <c r="AR2106" s="1"/>
  <c r="AR2107" s="1"/>
  <c r="AR2108" s="1"/>
  <c r="AR2109" s="1"/>
  <c r="AR2110" s="1"/>
  <c r="AR2111" s="1"/>
  <c r="AR2112" s="1"/>
  <c r="AR2113" s="1"/>
  <c r="AR2114" s="1"/>
  <c r="AR2115" s="1"/>
  <c r="AR2116" s="1"/>
  <c r="AR2117" s="1"/>
  <c r="AR2118" s="1"/>
  <c r="AR2119" s="1"/>
  <c r="AR2120" s="1"/>
  <c r="AR2121" s="1"/>
  <c r="AR2122" s="1"/>
  <c r="AR2123" s="1"/>
  <c r="AR2124" s="1"/>
  <c r="AR2125" s="1"/>
  <c r="AR2126" s="1"/>
  <c r="AR2127" s="1"/>
  <c r="AR2128" s="1"/>
  <c r="AR2129" s="1"/>
  <c r="AR2130" s="1"/>
  <c r="AR2131" s="1"/>
  <c r="AR2132" s="1"/>
  <c r="AR2133" s="1"/>
  <c r="AR2134" s="1"/>
  <c r="AR2135" s="1"/>
  <c r="AR2136" s="1"/>
  <c r="AR2137" s="1"/>
  <c r="AR2138" s="1"/>
  <c r="AR2139" s="1"/>
  <c r="AR2140" s="1"/>
  <c r="AR2141" s="1"/>
  <c r="AR2142" s="1"/>
  <c r="AR2143" s="1"/>
  <c r="AR2144" s="1"/>
  <c r="AR2145" s="1"/>
  <c r="AR2146" s="1"/>
  <c r="AR2147" s="1"/>
  <c r="AR2148" s="1"/>
  <c r="AR2149" s="1"/>
  <c r="AR2150" s="1"/>
  <c r="AR2151" s="1"/>
  <c r="AR2152" s="1"/>
  <c r="AR2153" s="1"/>
  <c r="AR2154" s="1"/>
  <c r="AR2155" s="1"/>
  <c r="AR2156" s="1"/>
  <c r="AR2157" s="1"/>
  <c r="AR2158" s="1"/>
  <c r="AR2159" s="1"/>
  <c r="AR2160" s="1"/>
  <c r="AR2161" s="1"/>
  <c r="AR2162" s="1"/>
  <c r="AR2163" s="1"/>
  <c r="AR2164" s="1"/>
  <c r="AR2165" s="1"/>
  <c r="AR2166" s="1"/>
  <c r="AR2167" s="1"/>
  <c r="AR2168" s="1"/>
  <c r="AR2169" s="1"/>
  <c r="AR2170" s="1"/>
  <c r="AR2171" s="1"/>
  <c r="AR2172" s="1"/>
  <c r="AR2173" s="1"/>
  <c r="AR2174" s="1"/>
  <c r="AR2175" s="1"/>
  <c r="AR2176" s="1"/>
  <c r="AR2177" s="1"/>
  <c r="AR2178" s="1"/>
  <c r="AR2179" s="1"/>
  <c r="AR2180" s="1"/>
  <c r="AR2181" s="1"/>
  <c r="AR2182" s="1"/>
  <c r="AR2183" s="1"/>
  <c r="AR2184" s="1"/>
  <c r="AR2185" s="1"/>
  <c r="AR2186" s="1"/>
  <c r="AR2187" s="1"/>
  <c r="AR2188" s="1"/>
  <c r="AR2189" s="1"/>
  <c r="AR2190" s="1"/>
  <c r="AR2191" s="1"/>
  <c r="AR2192" s="1"/>
  <c r="AR2193" s="1"/>
  <c r="AR2194" s="1"/>
  <c r="AR2195" s="1"/>
  <c r="AR2196" s="1"/>
  <c r="AR2197" s="1"/>
  <c r="AR2198" s="1"/>
  <c r="AR2199" s="1"/>
  <c r="AR2200" s="1"/>
  <c r="AR2201" s="1"/>
  <c r="AR2202" s="1"/>
  <c r="AR2203" s="1"/>
  <c r="AR2204" s="1"/>
  <c r="AR2205" s="1"/>
  <c r="AR2206" s="1"/>
  <c r="AR2207" s="1"/>
  <c r="AR2208" s="1"/>
  <c r="AR2209" s="1"/>
  <c r="AR2210" s="1"/>
  <c r="AR2211" s="1"/>
  <c r="AR2212" s="1"/>
  <c r="AR2213" s="1"/>
  <c r="AR2214" s="1"/>
  <c r="AR2215" s="1"/>
  <c r="AR2216" s="1"/>
  <c r="AR2217" s="1"/>
  <c r="AR2218" s="1"/>
  <c r="AR2219" s="1"/>
  <c r="AR2220" s="1"/>
  <c r="AR2221" s="1"/>
  <c r="AR2222" s="1"/>
  <c r="AR2223" s="1"/>
  <c r="AR2224" s="1"/>
  <c r="AR2225" s="1"/>
  <c r="AR2226" s="1"/>
  <c r="AR2227" s="1"/>
  <c r="AR2228" s="1"/>
  <c r="AR2229" s="1"/>
  <c r="AR2230" s="1"/>
  <c r="AR2231" s="1"/>
  <c r="AR2232" s="1"/>
  <c r="AR2233" s="1"/>
  <c r="AR2234" s="1"/>
  <c r="AR2235" s="1"/>
  <c r="AR2236" s="1"/>
  <c r="AR2237" s="1"/>
  <c r="AR2238" s="1"/>
  <c r="AR2239" s="1"/>
  <c r="AR2240" s="1"/>
  <c r="AR2241" s="1"/>
  <c r="AR2242" s="1"/>
  <c r="AR2243" s="1"/>
  <c r="AR2244" s="1"/>
  <c r="AR2245" s="1"/>
  <c r="AR2246" s="1"/>
  <c r="AR2247" s="1"/>
  <c r="AR2248" s="1"/>
  <c r="AR2249" s="1"/>
  <c r="AR2250" s="1"/>
  <c r="AR2251" s="1"/>
  <c r="AR2252" s="1"/>
  <c r="AR2253" s="1"/>
  <c r="AR2254" s="1"/>
  <c r="AR2255" s="1"/>
  <c r="AR2256" s="1"/>
  <c r="AR2257" s="1"/>
  <c r="AR2258" s="1"/>
  <c r="AR2259" s="1"/>
  <c r="AR2260" s="1"/>
  <c r="AR2261" s="1"/>
  <c r="AR2262" s="1"/>
  <c r="AR2263" s="1"/>
  <c r="AR2264" s="1"/>
  <c r="AR2265" s="1"/>
  <c r="AR2266" s="1"/>
  <c r="AR2267" s="1"/>
  <c r="AR2268" s="1"/>
  <c r="AR2269" s="1"/>
  <c r="AR2270" s="1"/>
  <c r="AR2271" s="1"/>
  <c r="AR2272" s="1"/>
  <c r="AR2273" s="1"/>
  <c r="AR2274" s="1"/>
  <c r="AR2275" s="1"/>
  <c r="AR2276" s="1"/>
  <c r="AR2277" s="1"/>
  <c r="AR2278" s="1"/>
  <c r="AR2279" s="1"/>
  <c r="AR2280" s="1"/>
  <c r="AR2281" s="1"/>
  <c r="AR2282" s="1"/>
  <c r="AR2283" s="1"/>
  <c r="AR2284" s="1"/>
  <c r="AR2285" s="1"/>
  <c r="AR2286" s="1"/>
  <c r="AR2287" s="1"/>
  <c r="AR2288" s="1"/>
  <c r="AR2289" s="1"/>
  <c r="AR2290" s="1"/>
  <c r="AR2291" s="1"/>
  <c r="AR2292" s="1"/>
  <c r="AR2293" s="1"/>
  <c r="AR2294" s="1"/>
  <c r="AR2295" s="1"/>
  <c r="AR2296" s="1"/>
  <c r="AR2297" s="1"/>
  <c r="AR2298" s="1"/>
  <c r="AR2299" s="1"/>
  <c r="AR2300" s="1"/>
  <c r="AR2301" s="1"/>
  <c r="AR2302" s="1"/>
  <c r="AR2303" s="1"/>
  <c r="AR2304" s="1"/>
  <c r="AR2305" s="1"/>
  <c r="AR2306" s="1"/>
  <c r="AR2307" s="1"/>
  <c r="AR2308" s="1"/>
  <c r="AR2309" s="1"/>
  <c r="AR2310" s="1"/>
  <c r="AR2311" s="1"/>
  <c r="AR2312" s="1"/>
  <c r="AR2313" s="1"/>
  <c r="AR2314" s="1"/>
  <c r="AR2315" s="1"/>
  <c r="AR2316" s="1"/>
  <c r="AR2317" s="1"/>
  <c r="AR2318" s="1"/>
  <c r="AR2319" s="1"/>
  <c r="AR2320" s="1"/>
  <c r="AR2321" s="1"/>
  <c r="AR2322" s="1"/>
  <c r="AR2323" s="1"/>
  <c r="AR2324" s="1"/>
  <c r="AR2325" s="1"/>
  <c r="AR2326" s="1"/>
  <c r="AR2327" s="1"/>
  <c r="AR2328" s="1"/>
  <c r="AR2329" s="1"/>
  <c r="AR2330" s="1"/>
  <c r="AR2331" s="1"/>
  <c r="AR2332" s="1"/>
  <c r="AR2333" s="1"/>
  <c r="AR2334" s="1"/>
  <c r="AR2335" s="1"/>
  <c r="AR2336" s="1"/>
  <c r="AR2337" s="1"/>
  <c r="AR2338" s="1"/>
  <c r="AR2339" s="1"/>
  <c r="AR2340" s="1"/>
  <c r="AR2341" s="1"/>
  <c r="AR2342" s="1"/>
  <c r="AR2343" s="1"/>
  <c r="AR2344" s="1"/>
  <c r="AR2345" s="1"/>
  <c r="AR2346" s="1"/>
  <c r="AR2347" s="1"/>
  <c r="AR2348" s="1"/>
  <c r="AR2349" s="1"/>
  <c r="AR2350" s="1"/>
  <c r="AR2351" s="1"/>
  <c r="AR2352" s="1"/>
  <c r="AR2353" s="1"/>
  <c r="AR2354" s="1"/>
  <c r="AR2355" s="1"/>
  <c r="AR2356" s="1"/>
  <c r="AR2357" s="1"/>
  <c r="AR2358" s="1"/>
  <c r="AR2359" s="1"/>
  <c r="AR2360" s="1"/>
  <c r="AR2361" s="1"/>
  <c r="AR2362" s="1"/>
  <c r="AR2363" s="1"/>
  <c r="AR2364" s="1"/>
  <c r="AR2365" s="1"/>
  <c r="AR2366" s="1"/>
  <c r="AR2367" s="1"/>
  <c r="AR2368" s="1"/>
  <c r="AR2369" s="1"/>
  <c r="AR2370" s="1"/>
  <c r="AR2371" s="1"/>
  <c r="AR2372" s="1"/>
  <c r="AR2373" s="1"/>
  <c r="AR2374" s="1"/>
  <c r="AR2375" s="1"/>
  <c r="AR2376" s="1"/>
  <c r="AR2377" s="1"/>
  <c r="AR2378" s="1"/>
  <c r="AR2379" s="1"/>
  <c r="AR2380" s="1"/>
  <c r="AR2381" s="1"/>
  <c r="AR2382" s="1"/>
  <c r="AR2383" s="1"/>
  <c r="AR2384" s="1"/>
  <c r="AR2385" s="1"/>
  <c r="AR2386" s="1"/>
  <c r="AR2387" s="1"/>
  <c r="AR2388" s="1"/>
  <c r="AR2389" s="1"/>
  <c r="AR2390" s="1"/>
  <c r="AR2391" s="1"/>
  <c r="AR2392" s="1"/>
  <c r="AR2393" s="1"/>
  <c r="AR2394" s="1"/>
  <c r="AR2395" s="1"/>
  <c r="AR2396" s="1"/>
  <c r="AR2397" s="1"/>
  <c r="AR2398" s="1"/>
  <c r="AR2399" s="1"/>
  <c r="AR2400" s="1"/>
  <c r="AR2401" s="1"/>
  <c r="AR2402" s="1"/>
  <c r="AR2403" s="1"/>
  <c r="AR2404" s="1"/>
  <c r="AR2405" s="1"/>
  <c r="AR2406" s="1"/>
  <c r="AR2407" s="1"/>
  <c r="AR2408" s="1"/>
  <c r="AR2409" s="1"/>
  <c r="AR2410" s="1"/>
  <c r="AR2411" s="1"/>
  <c r="AR2412" s="1"/>
  <c r="AR2413" s="1"/>
  <c r="AR2414" s="1"/>
  <c r="AR2415" s="1"/>
  <c r="AR2416" s="1"/>
  <c r="AR2417" s="1"/>
  <c r="AR2418" s="1"/>
  <c r="AR2419" s="1"/>
  <c r="AR2420" s="1"/>
  <c r="AR2421" s="1"/>
  <c r="AR2422" s="1"/>
  <c r="AR2423" s="1"/>
  <c r="AR2424" s="1"/>
  <c r="AR2425" s="1"/>
  <c r="AR2426" s="1"/>
  <c r="AR2427" s="1"/>
  <c r="AR2428" s="1"/>
  <c r="AR2429" s="1"/>
  <c r="AR2430" s="1"/>
  <c r="AR2431" s="1"/>
  <c r="AR2432" s="1"/>
  <c r="AR2433" s="1"/>
  <c r="AR2434" s="1"/>
  <c r="AR2435" s="1"/>
  <c r="AR2436" s="1"/>
  <c r="AR2437" s="1"/>
  <c r="AR2438" s="1"/>
  <c r="AR2439" s="1"/>
  <c r="AR2440" s="1"/>
  <c r="AR2441" s="1"/>
  <c r="AR2442" s="1"/>
  <c r="AR2443" s="1"/>
  <c r="AR2444" s="1"/>
  <c r="AR2445" s="1"/>
  <c r="AR2446" s="1"/>
  <c r="AR2447" s="1"/>
  <c r="AR2448" s="1"/>
  <c r="AR2449" s="1"/>
  <c r="AR2450" s="1"/>
  <c r="AR2451" s="1"/>
  <c r="AR2452" s="1"/>
  <c r="AR2453" s="1"/>
  <c r="AR2454" s="1"/>
  <c r="AR2455" s="1"/>
  <c r="AR2456" s="1"/>
  <c r="AR2457" s="1"/>
  <c r="AR2458" s="1"/>
  <c r="AR2459" s="1"/>
  <c r="AR2460" s="1"/>
  <c r="AR2461" s="1"/>
  <c r="AR2462" s="1"/>
  <c r="AR2463" s="1"/>
  <c r="AR2464" s="1"/>
  <c r="AR2465" s="1"/>
  <c r="AR2466" s="1"/>
  <c r="AR2467" s="1"/>
  <c r="AR2468" s="1"/>
  <c r="AR2469" s="1"/>
  <c r="AR2470" s="1"/>
  <c r="AR2471" s="1"/>
  <c r="AR2472" s="1"/>
  <c r="AR2473" s="1"/>
  <c r="AR2474" s="1"/>
  <c r="AR2475" s="1"/>
  <c r="AR2476" s="1"/>
  <c r="AR2477" s="1"/>
  <c r="AR2478" s="1"/>
  <c r="AR2479" s="1"/>
  <c r="AR2480" s="1"/>
  <c r="AR2481" s="1"/>
  <c r="AR2482" s="1"/>
  <c r="AR2483" s="1"/>
  <c r="AR2484" s="1"/>
  <c r="AR2485" s="1"/>
  <c r="AR2486" s="1"/>
  <c r="AR2487" s="1"/>
  <c r="AR2488" s="1"/>
  <c r="AR2489" s="1"/>
  <c r="AR2490" s="1"/>
  <c r="AR2491" s="1"/>
  <c r="AR2492" s="1"/>
  <c r="AR2493" s="1"/>
  <c r="AR2494" s="1"/>
  <c r="AR2495" s="1"/>
  <c r="AR2496" s="1"/>
  <c r="AR2497" s="1"/>
  <c r="AR2498" s="1"/>
  <c r="AR2499" s="1"/>
  <c r="AR2500" s="1"/>
  <c r="AR2501" s="1"/>
  <c r="AR2502" s="1"/>
  <c r="AR2503" s="1"/>
  <c r="AR2504" s="1"/>
  <c r="AR2505" s="1"/>
  <c r="AR2506" s="1"/>
  <c r="AR2507" s="1"/>
  <c r="AR2508" s="1"/>
  <c r="AR2509" s="1"/>
  <c r="AR2510" s="1"/>
  <c r="AR2511" s="1"/>
  <c r="AR2512" s="1"/>
  <c r="AR2513" s="1"/>
  <c r="AR2514" s="1"/>
  <c r="AR2515" s="1"/>
  <c r="AR2516" s="1"/>
  <c r="AR2517" s="1"/>
  <c r="AR2518" s="1"/>
  <c r="AR2519" s="1"/>
  <c r="AR2520" s="1"/>
  <c r="AR2521" s="1"/>
  <c r="AR2522" s="1"/>
  <c r="AR2523" s="1"/>
  <c r="AR2524" s="1"/>
  <c r="AR2525" s="1"/>
  <c r="AR2526" s="1"/>
  <c r="AR2527" s="1"/>
  <c r="AR2528" s="1"/>
  <c r="AR2529" s="1"/>
  <c r="AR2530" s="1"/>
  <c r="AR2531" s="1"/>
  <c r="AR2532" s="1"/>
  <c r="AR2533" s="1"/>
  <c r="AR2534" s="1"/>
  <c r="AR2535" s="1"/>
  <c r="AR2536" s="1"/>
  <c r="AR2537" s="1"/>
  <c r="AR2538" s="1"/>
  <c r="AR2539" s="1"/>
  <c r="AR2540" s="1"/>
  <c r="AR2541" s="1"/>
  <c r="AR2542" s="1"/>
  <c r="AR2543" s="1"/>
  <c r="AR2544" s="1"/>
  <c r="AR2545" s="1"/>
  <c r="AR2546" s="1"/>
  <c r="AR2547" s="1"/>
  <c r="AR2548" s="1"/>
  <c r="AR2549" s="1"/>
  <c r="AR2550" s="1"/>
  <c r="AR2551" s="1"/>
  <c r="AR2552" s="1"/>
  <c r="AR2553" s="1"/>
  <c r="AR2554" s="1"/>
  <c r="AR2555" s="1"/>
  <c r="AR2556" s="1"/>
  <c r="AR2557" s="1"/>
  <c r="AR2558" s="1"/>
  <c r="AR2559" s="1"/>
  <c r="AR2560" s="1"/>
  <c r="AR2561" s="1"/>
  <c r="AR2562" s="1"/>
  <c r="AR2563" s="1"/>
  <c r="AR2564" s="1"/>
  <c r="AR2565" s="1"/>
  <c r="AR2566" s="1"/>
  <c r="AR2567" s="1"/>
  <c r="AR2568" s="1"/>
  <c r="AR2569" s="1"/>
  <c r="AR2570" s="1"/>
  <c r="AR2571" s="1"/>
  <c r="AR2572" s="1"/>
  <c r="AR2573" s="1"/>
  <c r="AR2574" s="1"/>
  <c r="AR2575" s="1"/>
  <c r="AR2576" s="1"/>
  <c r="AR2577" s="1"/>
  <c r="AR2578" s="1"/>
  <c r="AR2579" s="1"/>
  <c r="AR2580" s="1"/>
  <c r="AR2581" s="1"/>
  <c r="AR2582" s="1"/>
  <c r="AR2583" s="1"/>
  <c r="AR2584" s="1"/>
  <c r="AR2585" s="1"/>
  <c r="AR2586" s="1"/>
  <c r="AR2587" s="1"/>
  <c r="AR2588" s="1"/>
  <c r="AR2589" s="1"/>
  <c r="AR2590" s="1"/>
  <c r="AR2591" s="1"/>
  <c r="AR2592" s="1"/>
  <c r="AR2593" s="1"/>
  <c r="AR2594" s="1"/>
  <c r="AR2595" s="1"/>
  <c r="AR2596" s="1"/>
  <c r="AR2597" s="1"/>
  <c r="AR2598" s="1"/>
  <c r="AR2599" s="1"/>
  <c r="AR2600" s="1"/>
  <c r="AR2601" s="1"/>
  <c r="AR2602" s="1"/>
  <c r="AR2603" s="1"/>
  <c r="AR2604" s="1"/>
  <c r="AR2605" s="1"/>
  <c r="AR2606" s="1"/>
  <c r="AR2607" s="1"/>
  <c r="AR2608" s="1"/>
  <c r="AR2609" s="1"/>
  <c r="AR2610" s="1"/>
  <c r="AR2611" s="1"/>
  <c r="AR2612" s="1"/>
  <c r="AR2613" s="1"/>
  <c r="AR2614" s="1"/>
  <c r="AR2615" s="1"/>
  <c r="AR2616" s="1"/>
  <c r="AR2617" s="1"/>
  <c r="AR2618" s="1"/>
  <c r="AR2619" s="1"/>
  <c r="AR2620" s="1"/>
  <c r="AR2621" s="1"/>
  <c r="AR2622" s="1"/>
  <c r="AR2623" s="1"/>
  <c r="AR2624" s="1"/>
  <c r="AR2625" s="1"/>
  <c r="AR2626" s="1"/>
  <c r="AR2627" s="1"/>
  <c r="AR2628" s="1"/>
  <c r="AR2629" s="1"/>
  <c r="AR2630" s="1"/>
  <c r="AR2631" s="1"/>
  <c r="AR2632" s="1"/>
  <c r="AR2633" s="1"/>
  <c r="AR2634" s="1"/>
  <c r="AR2635" s="1"/>
  <c r="AR2636" s="1"/>
  <c r="AR2637" s="1"/>
  <c r="AR2638" s="1"/>
  <c r="AR2639" s="1"/>
  <c r="AR2640" s="1"/>
  <c r="AR2641" s="1"/>
  <c r="AR2642" s="1"/>
  <c r="AR2643" s="1"/>
  <c r="AR2644" s="1"/>
  <c r="AR2645" s="1"/>
  <c r="AR2646" s="1"/>
  <c r="AR2647" s="1"/>
  <c r="AR2648" s="1"/>
  <c r="AR2649" s="1"/>
  <c r="AR2650" s="1"/>
  <c r="AR2651" s="1"/>
  <c r="AR2652" s="1"/>
  <c r="AR2653" s="1"/>
  <c r="AR2654" s="1"/>
  <c r="AR2655" s="1"/>
  <c r="AR2656" s="1"/>
  <c r="AR2657" s="1"/>
  <c r="AR2658" s="1"/>
  <c r="AR2659" s="1"/>
  <c r="AR2660" s="1"/>
  <c r="AR2661" s="1"/>
  <c r="AR2662" s="1"/>
  <c r="AR2663" s="1"/>
  <c r="AR2664" s="1"/>
  <c r="AR2665" s="1"/>
  <c r="AR2666" s="1"/>
  <c r="AR2667" s="1"/>
  <c r="AR2668" s="1"/>
  <c r="AR2669" s="1"/>
  <c r="AR2670" s="1"/>
  <c r="AR2671" s="1"/>
  <c r="AR2672" s="1"/>
  <c r="AR2673" s="1"/>
  <c r="AR2674" s="1"/>
  <c r="AR2675" s="1"/>
  <c r="AR2676" s="1"/>
  <c r="AR2677" s="1"/>
  <c r="AR2678" s="1"/>
  <c r="AR2679" s="1"/>
  <c r="AR2680" s="1"/>
  <c r="AR2681" s="1"/>
  <c r="AR2682" s="1"/>
  <c r="AR2683" s="1"/>
  <c r="AR2684" s="1"/>
  <c r="AR2685" s="1"/>
  <c r="AR2686" s="1"/>
  <c r="AR2687" s="1"/>
  <c r="AR2688" s="1"/>
  <c r="AR2689" s="1"/>
  <c r="AR2690" s="1"/>
  <c r="AR2691" s="1"/>
  <c r="AR2692" s="1"/>
  <c r="AR2693" s="1"/>
  <c r="AR2694" s="1"/>
  <c r="AR2695" s="1"/>
  <c r="AR2696" s="1"/>
  <c r="AR2697" s="1"/>
  <c r="AR2698" s="1"/>
  <c r="AR2699" s="1"/>
  <c r="AR2700" s="1"/>
  <c r="AR2701" s="1"/>
  <c r="AR2702" s="1"/>
  <c r="AR2703" s="1"/>
  <c r="AR2704" s="1"/>
  <c r="AR2705" s="1"/>
  <c r="AR2706" s="1"/>
  <c r="AR2707" s="1"/>
  <c r="AR2708" s="1"/>
  <c r="AR2709" s="1"/>
  <c r="AR2710" s="1"/>
  <c r="AR2711" s="1"/>
  <c r="AR2712" s="1"/>
  <c r="AR2713" s="1"/>
  <c r="AR2714" s="1"/>
  <c r="AR2715" s="1"/>
  <c r="AR2716" s="1"/>
  <c r="AR2717" s="1"/>
  <c r="AR2718" s="1"/>
  <c r="AR2719" s="1"/>
  <c r="AR2720" s="1"/>
  <c r="AR2721" s="1"/>
  <c r="AR2722" s="1"/>
  <c r="AR2723" s="1"/>
  <c r="AR2724" s="1"/>
  <c r="AR2725" s="1"/>
  <c r="AR2726" s="1"/>
  <c r="AR2727" s="1"/>
  <c r="AR2728" s="1"/>
  <c r="AR2729" s="1"/>
  <c r="AR2730" s="1"/>
  <c r="AR2731" s="1"/>
  <c r="AR2732" s="1"/>
  <c r="AR2733" s="1"/>
  <c r="AR2734" s="1"/>
  <c r="AR2735" s="1"/>
  <c r="AR2736" s="1"/>
  <c r="AR2737" s="1"/>
  <c r="AR2738" s="1"/>
  <c r="AR2739" s="1"/>
  <c r="AR2740" s="1"/>
  <c r="AR2741" s="1"/>
  <c r="AR2742" s="1"/>
  <c r="AR2743" s="1"/>
  <c r="AR2744" s="1"/>
  <c r="AR2745" s="1"/>
  <c r="AR2746" s="1"/>
  <c r="AR2747" s="1"/>
  <c r="AR2748" s="1"/>
  <c r="AR2749" s="1"/>
  <c r="AR2750" s="1"/>
  <c r="AR2751" s="1"/>
  <c r="AR2752" s="1"/>
  <c r="AR2753" s="1"/>
  <c r="AR2754" s="1"/>
  <c r="AR2755" s="1"/>
  <c r="AR2756" s="1"/>
  <c r="AR2757" s="1"/>
  <c r="AR2758" s="1"/>
  <c r="AR2759" s="1"/>
  <c r="AR2760" s="1"/>
  <c r="AR2761" s="1"/>
  <c r="AR2762" s="1"/>
  <c r="AR2763" s="1"/>
  <c r="AR2764" s="1"/>
  <c r="AR2765" s="1"/>
  <c r="AR2766" s="1"/>
  <c r="AR2767" s="1"/>
  <c r="AR2768" s="1"/>
  <c r="AR2769" s="1"/>
  <c r="AR2770" s="1"/>
  <c r="AR2771" s="1"/>
  <c r="AR2772" s="1"/>
  <c r="AR2773" s="1"/>
  <c r="AR2774" s="1"/>
  <c r="AR2775" s="1"/>
  <c r="AR2776" s="1"/>
  <c r="AR2777" s="1"/>
  <c r="AR2778" s="1"/>
  <c r="AR2779" s="1"/>
  <c r="AR2780" s="1"/>
  <c r="AR2781" s="1"/>
  <c r="AR2782" s="1"/>
  <c r="AR2783" s="1"/>
  <c r="AR2784" s="1"/>
  <c r="AR2785" s="1"/>
  <c r="AR2786" s="1"/>
  <c r="AR2787" s="1"/>
  <c r="AR2788" s="1"/>
  <c r="AR2789" s="1"/>
  <c r="AR2790" s="1"/>
  <c r="AR2791" s="1"/>
  <c r="AR2792" s="1"/>
  <c r="AR2793" s="1"/>
  <c r="AR2794" s="1"/>
  <c r="AR2795" s="1"/>
  <c r="AR2796" s="1"/>
  <c r="AR2797" s="1"/>
  <c r="AR2798" s="1"/>
  <c r="AR2799" s="1"/>
  <c r="AR2800" s="1"/>
  <c r="AR2801" s="1"/>
  <c r="AR2802" s="1"/>
  <c r="AR2803" s="1"/>
  <c r="AR2804" s="1"/>
  <c r="AR2805" s="1"/>
  <c r="AR2806" s="1"/>
  <c r="AR2807" s="1"/>
  <c r="AR2808" s="1"/>
  <c r="AR2809" s="1"/>
  <c r="AR2810" s="1"/>
  <c r="AR2811" s="1"/>
  <c r="AR2812" s="1"/>
  <c r="AR2813" s="1"/>
  <c r="AR2814" s="1"/>
  <c r="AR2815" s="1"/>
  <c r="AR2816" s="1"/>
  <c r="AR2817" s="1"/>
  <c r="AR2818" s="1"/>
  <c r="AR2819" s="1"/>
  <c r="AR2820" s="1"/>
  <c r="AR2821" s="1"/>
  <c r="AR2822" s="1"/>
  <c r="AR2823" s="1"/>
  <c r="AR2824" s="1"/>
  <c r="AR2825" s="1"/>
  <c r="AR2826" s="1"/>
  <c r="AR2827" s="1"/>
  <c r="AR2828" s="1"/>
  <c r="AR2829" s="1"/>
  <c r="AR2830" s="1"/>
  <c r="AR2831" s="1"/>
  <c r="AR2832" s="1"/>
  <c r="AR2833" s="1"/>
  <c r="AR2834" s="1"/>
  <c r="AR2835" s="1"/>
  <c r="AR2836" s="1"/>
  <c r="AR2837" s="1"/>
  <c r="AR2838" s="1"/>
  <c r="AR2839" s="1"/>
  <c r="AR2840" s="1"/>
  <c r="AR2841" s="1"/>
  <c r="AR2842" s="1"/>
  <c r="AR2843" s="1"/>
  <c r="AR2844" s="1"/>
  <c r="AR2845" s="1"/>
  <c r="AR2846" s="1"/>
  <c r="AR2847" s="1"/>
  <c r="AR2848" s="1"/>
  <c r="AR2849" s="1"/>
  <c r="AR2850" s="1"/>
  <c r="AR2851" s="1"/>
  <c r="AR2852" s="1"/>
  <c r="AR2853" s="1"/>
  <c r="AR2854" s="1"/>
  <c r="AR2855" s="1"/>
  <c r="AR2856" s="1"/>
  <c r="AR2857" s="1"/>
  <c r="AR2858" s="1"/>
  <c r="AR2859" s="1"/>
  <c r="AR2860" s="1"/>
  <c r="AR2861" s="1"/>
  <c r="AR2862" s="1"/>
  <c r="AR2863" s="1"/>
  <c r="AR2864" s="1"/>
  <c r="AR2865" s="1"/>
  <c r="AR2866" s="1"/>
  <c r="AR2867" s="1"/>
  <c r="AR2868" s="1"/>
  <c r="AR2869" s="1"/>
  <c r="AR2870" s="1"/>
  <c r="AR2871" s="1"/>
  <c r="AR2872" s="1"/>
  <c r="AR2873" s="1"/>
  <c r="AR2874" s="1"/>
  <c r="AR2875" s="1"/>
  <c r="AR2876" s="1"/>
  <c r="AR2877" s="1"/>
  <c r="AR2878" s="1"/>
  <c r="AR2879" s="1"/>
  <c r="AR2880" s="1"/>
  <c r="AR2881" s="1"/>
  <c r="AR2882" s="1"/>
  <c r="AR2883" s="1"/>
  <c r="AR2884" s="1"/>
  <c r="AR2885" s="1"/>
  <c r="AR2886" s="1"/>
  <c r="AR2887" s="1"/>
  <c r="AR2888" s="1"/>
  <c r="AR2889" s="1"/>
  <c r="AR2890" s="1"/>
  <c r="AR2891" s="1"/>
  <c r="AR2892" s="1"/>
  <c r="AR2893" s="1"/>
  <c r="AR2894" s="1"/>
  <c r="AR2895" s="1"/>
  <c r="AR2896" s="1"/>
  <c r="AR2897" s="1"/>
  <c r="AR2898" s="1"/>
  <c r="AR2899" s="1"/>
  <c r="AR2900" s="1"/>
  <c r="AR2901" s="1"/>
  <c r="AR2902" s="1"/>
  <c r="AR2903" s="1"/>
  <c r="AR2904" s="1"/>
  <c r="AR2905" s="1"/>
  <c r="AR2906" s="1"/>
  <c r="AR2907" s="1"/>
  <c r="AR2908" s="1"/>
  <c r="AR2909" s="1"/>
  <c r="AR2910" s="1"/>
  <c r="AR2911" s="1"/>
  <c r="AR2912" s="1"/>
  <c r="AR2913" s="1"/>
  <c r="AR2914" s="1"/>
  <c r="AR2915" s="1"/>
  <c r="AR2916" s="1"/>
  <c r="AR2917" s="1"/>
  <c r="AR2918" s="1"/>
  <c r="AR2919" s="1"/>
  <c r="AR2920" s="1"/>
  <c r="AR2921" s="1"/>
  <c r="AR2922" s="1"/>
  <c r="AR2923" s="1"/>
  <c r="AR2924" s="1"/>
  <c r="AR2925" s="1"/>
  <c r="AR2926" s="1"/>
  <c r="AR2927" s="1"/>
  <c r="AR2928" s="1"/>
  <c r="AR2929" s="1"/>
  <c r="AR2930" s="1"/>
  <c r="AR2931" s="1"/>
  <c r="AR2932" s="1"/>
  <c r="AR2933" s="1"/>
  <c r="AR2934" s="1"/>
  <c r="AR2935" s="1"/>
  <c r="AR2936" s="1"/>
  <c r="AR2937" s="1"/>
  <c r="AR2938" s="1"/>
  <c r="AR2939" s="1"/>
  <c r="AR2940" s="1"/>
  <c r="AR2941" s="1"/>
  <c r="AR2942" s="1"/>
  <c r="AR2943" s="1"/>
  <c r="AR2944" s="1"/>
  <c r="AR2945" s="1"/>
  <c r="AR2946" s="1"/>
  <c r="AR2947" s="1"/>
  <c r="AR2948" s="1"/>
  <c r="AR2949" s="1"/>
  <c r="AR2950" s="1"/>
  <c r="AR2951" s="1"/>
  <c r="AR2952" s="1"/>
  <c r="AR2953" s="1"/>
  <c r="AR2954" s="1"/>
  <c r="AR2955" s="1"/>
  <c r="AR2956" s="1"/>
  <c r="AR2957" s="1"/>
  <c r="AR2958" s="1"/>
  <c r="AR2959" s="1"/>
  <c r="AR2960" s="1"/>
  <c r="AR2961" s="1"/>
  <c r="AR2962" s="1"/>
  <c r="AR2963" s="1"/>
  <c r="AR2964" s="1"/>
  <c r="AR2965" s="1"/>
  <c r="AR2966" s="1"/>
  <c r="AR2967" s="1"/>
  <c r="AR2968" s="1"/>
  <c r="AR2969" s="1"/>
  <c r="AR2970" s="1"/>
  <c r="AR2971" s="1"/>
  <c r="AR2972" s="1"/>
  <c r="AR2973" s="1"/>
  <c r="AR2974" s="1"/>
  <c r="AR2975" s="1"/>
  <c r="AR2976" s="1"/>
  <c r="AR2977" s="1"/>
  <c r="AR2978" s="1"/>
  <c r="AR2979" s="1"/>
  <c r="AR2980" s="1"/>
  <c r="AR2981" s="1"/>
  <c r="AR2982" s="1"/>
  <c r="AR2983" s="1"/>
  <c r="AR2984" s="1"/>
  <c r="AR2985" s="1"/>
  <c r="AR2986" s="1"/>
  <c r="AR2987" s="1"/>
  <c r="AR2988" s="1"/>
  <c r="AR2989" s="1"/>
  <c r="AR2990" s="1"/>
  <c r="AR2991" s="1"/>
  <c r="AR2992" s="1"/>
  <c r="AR2993" s="1"/>
  <c r="AR2994" s="1"/>
  <c r="AR2995" s="1"/>
  <c r="AR2996" s="1"/>
  <c r="AR2997" s="1"/>
  <c r="AR2998" s="1"/>
  <c r="AR2999" s="1"/>
  <c r="AR3000" s="1"/>
  <c r="AR3001" s="1"/>
  <c r="AR3002" s="1"/>
  <c r="AR3003" s="1"/>
  <c r="AR3004" s="1"/>
  <c r="AR3005" s="1"/>
  <c r="AR3006" s="1"/>
  <c r="AR3007" s="1"/>
  <c r="AR3008" s="1"/>
  <c r="AR3009" s="1"/>
  <c r="AR3010" s="1"/>
  <c r="AR3011" s="1"/>
  <c r="AR3012" s="1"/>
  <c r="AR3013" s="1"/>
  <c r="AR3014" s="1"/>
  <c r="AR3015" s="1"/>
  <c r="AR3016" s="1"/>
  <c r="AR3017" s="1"/>
  <c r="AR3018" s="1"/>
  <c r="AR3019" s="1"/>
  <c r="AR3020" s="1"/>
  <c r="AR3021" s="1"/>
  <c r="AR3022" s="1"/>
  <c r="AR3023" s="1"/>
  <c r="AR3024" s="1"/>
  <c r="AR3025" s="1"/>
  <c r="AR3026" s="1"/>
  <c r="AR3027" s="1"/>
  <c r="AR3028" s="1"/>
  <c r="AR3029" s="1"/>
  <c r="AR3030" s="1"/>
  <c r="AR3031" s="1"/>
  <c r="AR3032" s="1"/>
  <c r="AR3033" s="1"/>
  <c r="AR3034" s="1"/>
  <c r="AR3035" s="1"/>
  <c r="AR3036" s="1"/>
  <c r="AR3037" s="1"/>
  <c r="AR3038" s="1"/>
  <c r="AR3039" s="1"/>
  <c r="AR3040" s="1"/>
  <c r="AR3041" s="1"/>
  <c r="AR3042" s="1"/>
  <c r="AR3043" s="1"/>
  <c r="AR3044" s="1"/>
  <c r="AR3045" s="1"/>
  <c r="AR3046" s="1"/>
  <c r="AR3047" s="1"/>
  <c r="AR3048" s="1"/>
  <c r="AR3049" s="1"/>
  <c r="AR3050" s="1"/>
  <c r="AR3051" s="1"/>
  <c r="AR3052" s="1"/>
  <c r="AR3053" s="1"/>
  <c r="AR3054" s="1"/>
  <c r="AR3055" s="1"/>
  <c r="AR3056" s="1"/>
  <c r="AR3057" s="1"/>
  <c r="AR3058" s="1"/>
  <c r="AR3059" s="1"/>
  <c r="AR3060" s="1"/>
  <c r="AR3061" s="1"/>
  <c r="AR3062" s="1"/>
  <c r="AR3063" s="1"/>
  <c r="AR3064" s="1"/>
  <c r="AR3065" s="1"/>
  <c r="AR3066" s="1"/>
  <c r="AR3067" s="1"/>
  <c r="AR3068" s="1"/>
  <c r="AR3069" s="1"/>
  <c r="AR3070" s="1"/>
  <c r="AR3071" s="1"/>
  <c r="AR3072" s="1"/>
  <c r="AR3073" s="1"/>
  <c r="AR3074" s="1"/>
  <c r="AR3075" s="1"/>
  <c r="AR3076" s="1"/>
  <c r="AR3077" s="1"/>
  <c r="AR3078" s="1"/>
  <c r="AR3079" s="1"/>
  <c r="AR3080" s="1"/>
  <c r="AR3081" s="1"/>
  <c r="AR3082" s="1"/>
  <c r="AR3083" s="1"/>
  <c r="AR3084" s="1"/>
  <c r="AR3085" s="1"/>
  <c r="AR3086" s="1"/>
  <c r="AR3087" s="1"/>
  <c r="AR3088" s="1"/>
  <c r="AR3089" s="1"/>
  <c r="AR3090" s="1"/>
  <c r="AR3091" s="1"/>
  <c r="AR3092" s="1"/>
  <c r="AR3093" s="1"/>
  <c r="AR3094" s="1"/>
  <c r="AR3095" s="1"/>
  <c r="AR3096" s="1"/>
  <c r="AR3097" s="1"/>
  <c r="AR3098" s="1"/>
  <c r="AR3099" s="1"/>
  <c r="AR3100" s="1"/>
  <c r="AR3101" s="1"/>
  <c r="AR3102" s="1"/>
  <c r="AR3103" s="1"/>
  <c r="AR3104" s="1"/>
  <c r="AR3105" s="1"/>
  <c r="AR3106" s="1"/>
  <c r="AR3107" s="1"/>
  <c r="AR3108" s="1"/>
  <c r="AR3109" s="1"/>
  <c r="AR3110" s="1"/>
  <c r="AR3111" s="1"/>
  <c r="AR3112" s="1"/>
  <c r="AR3113" s="1"/>
  <c r="AR3114" s="1"/>
  <c r="AR3115" s="1"/>
  <c r="AR3116" s="1"/>
  <c r="AR3117" s="1"/>
  <c r="AR3118" s="1"/>
  <c r="AR3119" s="1"/>
  <c r="AR3120" s="1"/>
  <c r="AR3121" s="1"/>
  <c r="AR3122" s="1"/>
  <c r="AR3123" s="1"/>
  <c r="AR3124" s="1"/>
  <c r="AR3125" s="1"/>
  <c r="AR3126" s="1"/>
  <c r="AR3127" s="1"/>
  <c r="AR3128" s="1"/>
  <c r="AR3129" s="1"/>
  <c r="AR3130" s="1"/>
  <c r="AR3131" s="1"/>
  <c r="AR3132" s="1"/>
  <c r="AR3133" s="1"/>
  <c r="AR3134" s="1"/>
  <c r="AR3135" s="1"/>
  <c r="AR3136" s="1"/>
  <c r="AR3137" s="1"/>
  <c r="AR3138" s="1"/>
  <c r="AR3139" s="1"/>
  <c r="AR3140" s="1"/>
  <c r="AR3141" s="1"/>
  <c r="AR3142" s="1"/>
  <c r="AR3143" s="1"/>
  <c r="AR3144" s="1"/>
  <c r="AR3145" s="1"/>
  <c r="AR3146" s="1"/>
  <c r="AR3147" s="1"/>
  <c r="AR3148" s="1"/>
  <c r="AR3149" s="1"/>
  <c r="AR3150" s="1"/>
  <c r="AR3151" s="1"/>
  <c r="AR3152" s="1"/>
  <c r="AR3153" s="1"/>
  <c r="AR3154" s="1"/>
  <c r="AR3155" s="1"/>
  <c r="AR3156" s="1"/>
  <c r="AR3157" s="1"/>
  <c r="AR3158" s="1"/>
  <c r="AR3159" s="1"/>
  <c r="AR3160" s="1"/>
  <c r="AR3161" s="1"/>
  <c r="AR3162" s="1"/>
  <c r="AR3163" s="1"/>
  <c r="AR3164" s="1"/>
  <c r="AR3165" s="1"/>
  <c r="AR3166" s="1"/>
  <c r="AR3167" s="1"/>
  <c r="AR3168" s="1"/>
  <c r="AR3169" s="1"/>
  <c r="AR3170" s="1"/>
  <c r="AR3171" s="1"/>
  <c r="AR3172" s="1"/>
  <c r="AR3173" s="1"/>
  <c r="AR3174" s="1"/>
  <c r="AR3175" s="1"/>
  <c r="AR3176" s="1"/>
  <c r="AR3177" s="1"/>
  <c r="AR3178" s="1"/>
  <c r="AR3179" s="1"/>
  <c r="AR3180" s="1"/>
  <c r="AR3181" s="1"/>
  <c r="AR3182" s="1"/>
  <c r="AR3183" s="1"/>
  <c r="AR3184" s="1"/>
  <c r="AR3185" s="1"/>
  <c r="AR3186" s="1"/>
  <c r="AR3187" s="1"/>
  <c r="AR3188" s="1"/>
  <c r="AR3189" s="1"/>
  <c r="AR3190" s="1"/>
  <c r="AR3191" s="1"/>
  <c r="AR3192" s="1"/>
  <c r="AR3193" s="1"/>
  <c r="AR3194" s="1"/>
  <c r="AR3195" s="1"/>
  <c r="AR3196" s="1"/>
  <c r="AR3197" s="1"/>
  <c r="AR3198" s="1"/>
  <c r="AR3199" s="1"/>
  <c r="AR3200" s="1"/>
  <c r="AR3201" s="1"/>
  <c r="AR3202" s="1"/>
  <c r="AR3203" s="1"/>
  <c r="AR3204" s="1"/>
  <c r="AR3205" s="1"/>
  <c r="AR3206" s="1"/>
  <c r="AR3207" s="1"/>
  <c r="AR3208" s="1"/>
  <c r="AR3209" s="1"/>
  <c r="AR3210" s="1"/>
  <c r="AR3211" s="1"/>
  <c r="AR3212" s="1"/>
  <c r="AR3213" s="1"/>
  <c r="AR3214" s="1"/>
  <c r="AR3215" s="1"/>
  <c r="AR3216" s="1"/>
  <c r="AR3217" s="1"/>
  <c r="AR3218" s="1"/>
  <c r="AR3219" s="1"/>
  <c r="AR3220" s="1"/>
  <c r="AR3221" s="1"/>
  <c r="AR3222" s="1"/>
  <c r="AR3223" s="1"/>
  <c r="AR3224" s="1"/>
  <c r="AR3225" s="1"/>
  <c r="AR3226" s="1"/>
  <c r="AR3227" s="1"/>
  <c r="AR3228" s="1"/>
  <c r="AR3229" s="1"/>
  <c r="AR3230" s="1"/>
  <c r="AR3231" s="1"/>
  <c r="AR3232" s="1"/>
  <c r="AR3233" s="1"/>
  <c r="AR3234" s="1"/>
  <c r="AR3235" s="1"/>
  <c r="AR3236" s="1"/>
  <c r="AR3237" s="1"/>
  <c r="AR3238" s="1"/>
  <c r="AR3239" s="1"/>
  <c r="AR3240" s="1"/>
  <c r="AR3241" s="1"/>
  <c r="AR3242" s="1"/>
  <c r="AR3243" s="1"/>
  <c r="AR3244" s="1"/>
  <c r="AR3245" s="1"/>
  <c r="AR3246" s="1"/>
  <c r="AR3247" s="1"/>
  <c r="AR3248" s="1"/>
  <c r="AR3249" s="1"/>
  <c r="AR3250" s="1"/>
  <c r="AR3251" s="1"/>
  <c r="AR3252" s="1"/>
  <c r="AR3253" s="1"/>
  <c r="AR3254" s="1"/>
  <c r="AR3255" s="1"/>
  <c r="AR3256" s="1"/>
  <c r="AR3257" s="1"/>
  <c r="AR3258" s="1"/>
  <c r="AR3259" s="1"/>
  <c r="AR3260" s="1"/>
  <c r="AR3261" s="1"/>
  <c r="AR3262" s="1"/>
  <c r="AR3263" s="1"/>
  <c r="AR3264" s="1"/>
  <c r="AR3265" s="1"/>
  <c r="AR3266" s="1"/>
  <c r="AR3267" s="1"/>
  <c r="AR3268" s="1"/>
  <c r="AR3269" s="1"/>
  <c r="AR3270" s="1"/>
  <c r="AR3271" s="1"/>
  <c r="AR3272" s="1"/>
  <c r="AR3273" s="1"/>
  <c r="AR3274" s="1"/>
  <c r="AR3275" s="1"/>
  <c r="AR3276" s="1"/>
  <c r="AR3277" s="1"/>
  <c r="AR3278" s="1"/>
  <c r="AR3279" s="1"/>
  <c r="AR3280" s="1"/>
  <c r="AR3281" s="1"/>
  <c r="AR3282" s="1"/>
  <c r="AR3283" s="1"/>
  <c r="AR3284" s="1"/>
  <c r="AR3285" s="1"/>
  <c r="AR3286" s="1"/>
  <c r="AR3287" s="1"/>
  <c r="AR3288" s="1"/>
  <c r="AR3289" s="1"/>
  <c r="AR3290" s="1"/>
  <c r="AR3291" s="1"/>
  <c r="AR3292" s="1"/>
  <c r="AR3293" s="1"/>
  <c r="AR3294" s="1"/>
  <c r="AR3295" s="1"/>
  <c r="AR3296" s="1"/>
  <c r="AR3297" s="1"/>
  <c r="AR3298" s="1"/>
  <c r="AR3299" s="1"/>
  <c r="AR3300" s="1"/>
  <c r="AR3301" s="1"/>
  <c r="AR3302" s="1"/>
  <c r="AR3303" s="1"/>
  <c r="AR3304" s="1"/>
  <c r="AR3305" s="1"/>
  <c r="AR3306" s="1"/>
  <c r="AR3307" s="1"/>
  <c r="AR3308" s="1"/>
  <c r="AR3309" s="1"/>
  <c r="AR3310" s="1"/>
  <c r="AR3311" s="1"/>
  <c r="AR3312" s="1"/>
  <c r="AR3313" s="1"/>
  <c r="AR3314" s="1"/>
  <c r="AR3315" s="1"/>
  <c r="AR3316" s="1"/>
  <c r="AR3317" s="1"/>
  <c r="AR3318" s="1"/>
  <c r="AR3319" s="1"/>
  <c r="AR3320" s="1"/>
  <c r="AR3321" s="1"/>
  <c r="AR3322" s="1"/>
  <c r="AR3323" s="1"/>
  <c r="AR3324" s="1"/>
  <c r="AR3325" s="1"/>
  <c r="AR3326" s="1"/>
  <c r="AR3327" s="1"/>
  <c r="AR3328" s="1"/>
  <c r="AR3329" s="1"/>
  <c r="AR3330" s="1"/>
  <c r="AR3331" s="1"/>
  <c r="AR3332" s="1"/>
  <c r="AR3333" s="1"/>
  <c r="AR3334" s="1"/>
  <c r="AR3335" s="1"/>
  <c r="AR3336" s="1"/>
  <c r="AR3337" s="1"/>
  <c r="AR3338" s="1"/>
  <c r="AR3339" s="1"/>
  <c r="AR3340" s="1"/>
  <c r="AR3341" s="1"/>
  <c r="AR3342" s="1"/>
  <c r="AR3343" s="1"/>
  <c r="AR3344" s="1"/>
  <c r="AR3345" s="1"/>
  <c r="AR3346" s="1"/>
  <c r="AR3347" s="1"/>
  <c r="AR3348" s="1"/>
  <c r="AR3349" s="1"/>
  <c r="AR3350" s="1"/>
  <c r="AR3351" s="1"/>
  <c r="AR3352" s="1"/>
  <c r="AR3353" s="1"/>
  <c r="AR3354" s="1"/>
  <c r="AR3355" s="1"/>
  <c r="AR3356" s="1"/>
  <c r="AR3357" s="1"/>
  <c r="AR3358" s="1"/>
  <c r="AR3359" s="1"/>
  <c r="AR3360" s="1"/>
  <c r="AR3361" s="1"/>
  <c r="AR3362" s="1"/>
  <c r="AR3363" s="1"/>
  <c r="AR3364" s="1"/>
  <c r="AR3365" s="1"/>
  <c r="AR3366" s="1"/>
  <c r="AR3367" s="1"/>
  <c r="AR3368" s="1"/>
  <c r="AR3369" s="1"/>
  <c r="AR3370" s="1"/>
  <c r="AR3371" s="1"/>
  <c r="AR3372" s="1"/>
  <c r="AR3373" s="1"/>
  <c r="AR3374" s="1"/>
  <c r="AR3375" s="1"/>
  <c r="AR3376" s="1"/>
  <c r="AR3377" s="1"/>
  <c r="AR3378" s="1"/>
  <c r="AR3379" s="1"/>
  <c r="AR3380" s="1"/>
  <c r="AR3381" s="1"/>
  <c r="AR3382" s="1"/>
  <c r="AR3383" s="1"/>
  <c r="AR3384" s="1"/>
  <c r="AR3385" s="1"/>
  <c r="AR3386" s="1"/>
  <c r="AR3387" s="1"/>
  <c r="AR3388" s="1"/>
  <c r="AR3389" s="1"/>
  <c r="AR3390" s="1"/>
  <c r="AR3391" s="1"/>
  <c r="AR3392" s="1"/>
  <c r="AR3393" s="1"/>
  <c r="AR3394" s="1"/>
  <c r="AR3395" s="1"/>
  <c r="AR3396" s="1"/>
  <c r="AR3397" s="1"/>
  <c r="AR3398" s="1"/>
  <c r="AR3399" s="1"/>
  <c r="AR3400" s="1"/>
  <c r="AR3401" s="1"/>
  <c r="AR3402" s="1"/>
  <c r="AR3403" s="1"/>
  <c r="AR3404" s="1"/>
  <c r="AR3405" s="1"/>
  <c r="AR3406" s="1"/>
  <c r="AR3407" s="1"/>
  <c r="AR3408" s="1"/>
  <c r="AR3409" s="1"/>
  <c r="AR3410" s="1"/>
  <c r="AR3411" s="1"/>
  <c r="AR3412" s="1"/>
  <c r="AR3413" s="1"/>
  <c r="AR3414" s="1"/>
  <c r="AR3415" s="1"/>
  <c r="AR3416" s="1"/>
  <c r="AR3417" s="1"/>
  <c r="AR3418" s="1"/>
  <c r="AR3419" s="1"/>
  <c r="AR3420" s="1"/>
  <c r="AR3421" s="1"/>
  <c r="AR3422" s="1"/>
  <c r="AR3423" s="1"/>
  <c r="AR3424" s="1"/>
  <c r="AR3425" s="1"/>
  <c r="AR3426" s="1"/>
  <c r="AR3427" s="1"/>
  <c r="AR3428" s="1"/>
  <c r="AR3429" s="1"/>
  <c r="AR3430" s="1"/>
  <c r="AR3431" s="1"/>
  <c r="AR3432" s="1"/>
  <c r="AR3433" s="1"/>
  <c r="AR3434" s="1"/>
  <c r="AR3435" s="1"/>
  <c r="AR3436" s="1"/>
  <c r="AR3437" s="1"/>
  <c r="AR3438" s="1"/>
  <c r="AR3439" s="1"/>
  <c r="AR3440" s="1"/>
  <c r="AR3441" s="1"/>
  <c r="AR3442" s="1"/>
  <c r="AR3443" s="1"/>
  <c r="AR3444" s="1"/>
  <c r="AR3445" s="1"/>
  <c r="AR3446" s="1"/>
  <c r="AR3447" s="1"/>
  <c r="AR3448" s="1"/>
  <c r="AR3449" s="1"/>
  <c r="AR3450" s="1"/>
  <c r="AR3451" s="1"/>
  <c r="AR3452" s="1"/>
  <c r="AR3453" s="1"/>
  <c r="AR3454" s="1"/>
  <c r="AR3455" s="1"/>
  <c r="AR3456" s="1"/>
  <c r="AR3457" s="1"/>
  <c r="AR3458" s="1"/>
  <c r="AR3459" s="1"/>
  <c r="AR3460" s="1"/>
  <c r="AR3461" s="1"/>
  <c r="AR3462" s="1"/>
  <c r="AR3463" s="1"/>
  <c r="AR3464" s="1"/>
  <c r="AR3465" s="1"/>
  <c r="AR3466" s="1"/>
  <c r="AR3467" s="1"/>
  <c r="AR3468" s="1"/>
  <c r="AR3469" s="1"/>
  <c r="AR3470" s="1"/>
  <c r="AR3471" s="1"/>
  <c r="AR3472" s="1"/>
  <c r="AR3473" s="1"/>
  <c r="AR3474" s="1"/>
  <c r="AR3475" s="1"/>
  <c r="AR3476" s="1"/>
  <c r="AR3477" s="1"/>
  <c r="AR3478" s="1"/>
  <c r="AR3479" s="1"/>
  <c r="AR3480" s="1"/>
  <c r="AR3481" s="1"/>
  <c r="AR3482" s="1"/>
  <c r="AR3483" s="1"/>
  <c r="AR3484" s="1"/>
  <c r="AR3485" s="1"/>
  <c r="AR3486" s="1"/>
  <c r="AR3487" s="1"/>
  <c r="AR3488" s="1"/>
  <c r="AR3489" s="1"/>
  <c r="AR3490" s="1"/>
  <c r="AR3491" s="1"/>
  <c r="AR3492" s="1"/>
  <c r="AR3493" s="1"/>
  <c r="AR3494" s="1"/>
  <c r="AR3495" s="1"/>
  <c r="AR3496" s="1"/>
  <c r="AR3497" s="1"/>
  <c r="AR3498" s="1"/>
  <c r="AR3499" s="1"/>
  <c r="AR3500" s="1"/>
  <c r="AR3501" s="1"/>
  <c r="AR3502" s="1"/>
  <c r="AR3503" s="1"/>
  <c r="AR3504" s="1"/>
  <c r="AR3505" s="1"/>
  <c r="AR3506" s="1"/>
  <c r="AR3507" s="1"/>
  <c r="AR3508" s="1"/>
  <c r="AR3509" s="1"/>
  <c r="AR3510" s="1"/>
  <c r="AR3511" s="1"/>
  <c r="AR3512" s="1"/>
  <c r="AR3513" s="1"/>
  <c r="AR3514" s="1"/>
  <c r="AR3515" s="1"/>
  <c r="AR3516" s="1"/>
  <c r="AR3517" s="1"/>
  <c r="AR3518" s="1"/>
  <c r="AR3519" s="1"/>
  <c r="AR3520" s="1"/>
  <c r="AR3521" s="1"/>
  <c r="AR3522" s="1"/>
  <c r="AR3523" s="1"/>
  <c r="AR3524" s="1"/>
  <c r="AR3525" s="1"/>
  <c r="AR3526" s="1"/>
  <c r="AR3527" s="1"/>
  <c r="AR3528" s="1"/>
  <c r="AR3529" s="1"/>
  <c r="AR3530" s="1"/>
  <c r="AR3531" s="1"/>
  <c r="AR3532" s="1"/>
  <c r="AR3533" s="1"/>
  <c r="AR3534" s="1"/>
  <c r="AR3535" s="1"/>
  <c r="AR3536" s="1"/>
  <c r="AR3537" s="1"/>
  <c r="AR3538" s="1"/>
  <c r="AR3539" s="1"/>
  <c r="AR3540" s="1"/>
  <c r="AR3541" s="1"/>
  <c r="AR3542" s="1"/>
  <c r="AR3543" s="1"/>
  <c r="AR3544" s="1"/>
  <c r="AR3545" s="1"/>
  <c r="AR3546" s="1"/>
  <c r="AR3547" s="1"/>
  <c r="AR3548" s="1"/>
  <c r="AR3549" s="1"/>
  <c r="AR3550" s="1"/>
  <c r="AR3551" s="1"/>
  <c r="AR3552" s="1"/>
  <c r="AR3553" s="1"/>
  <c r="AR3554" s="1"/>
  <c r="AR3555" s="1"/>
  <c r="AR3556" s="1"/>
  <c r="AR3557" s="1"/>
  <c r="AR3558" s="1"/>
  <c r="AR3559" s="1"/>
  <c r="AR3560" s="1"/>
  <c r="AR3561" s="1"/>
  <c r="AR3562" s="1"/>
  <c r="AR3563" s="1"/>
  <c r="AR3564" s="1"/>
  <c r="AR3565" s="1"/>
  <c r="AR3566" s="1"/>
  <c r="AR3567" s="1"/>
  <c r="AR3568" s="1"/>
  <c r="AR3569" s="1"/>
  <c r="AR3570" s="1"/>
  <c r="AR3571" s="1"/>
  <c r="AR3572" s="1"/>
  <c r="AR3573" s="1"/>
  <c r="AR3574" s="1"/>
  <c r="AR3575" s="1"/>
  <c r="AR3576" s="1"/>
  <c r="AR3577" s="1"/>
  <c r="AR3578" s="1"/>
  <c r="AR3579" s="1"/>
  <c r="AR3580" s="1"/>
  <c r="AR3581" s="1"/>
  <c r="AR3582" s="1"/>
  <c r="AR3583" s="1"/>
  <c r="AR3584" s="1"/>
  <c r="AR3585" s="1"/>
  <c r="AR3586" s="1"/>
  <c r="AR3587" s="1"/>
  <c r="AR3588" s="1"/>
  <c r="AR3589" s="1"/>
  <c r="AR3590" s="1"/>
  <c r="AR3591" s="1"/>
  <c r="AR3592" s="1"/>
  <c r="AR3593" s="1"/>
  <c r="AR3594" s="1"/>
  <c r="AR3595" s="1"/>
  <c r="AR3596" s="1"/>
  <c r="AR3597" s="1"/>
  <c r="AR3598" s="1"/>
  <c r="AR3599" s="1"/>
  <c r="AR3600" s="1"/>
  <c r="AR3601" s="1"/>
  <c r="AR3602" s="1"/>
  <c r="AR3603" s="1"/>
  <c r="AR3604" s="1"/>
  <c r="AR3605" s="1"/>
  <c r="AR3606" s="1"/>
  <c r="AR3607" s="1"/>
  <c r="AR3608" s="1"/>
  <c r="AR3609" s="1"/>
  <c r="AR3610" s="1"/>
  <c r="AR3611" s="1"/>
  <c r="AR3612" s="1"/>
  <c r="AR3613" s="1"/>
  <c r="AR3614" s="1"/>
  <c r="AR3615" s="1"/>
  <c r="AR3616" s="1"/>
  <c r="AR3617" s="1"/>
  <c r="AR3618" s="1"/>
  <c r="AR3619" s="1"/>
  <c r="AR3620" s="1"/>
  <c r="AR3621" s="1"/>
  <c r="AR3622" s="1"/>
  <c r="AR3623" s="1"/>
  <c r="AR3624" s="1"/>
  <c r="AR3625" s="1"/>
  <c r="AR3626" s="1"/>
  <c r="AR3627" s="1"/>
  <c r="AR3628" s="1"/>
  <c r="AR3629" s="1"/>
  <c r="AR3630" s="1"/>
  <c r="AR3631" s="1"/>
  <c r="AR3632" s="1"/>
  <c r="AR3633" s="1"/>
  <c r="AR3634" s="1"/>
  <c r="AR3635" s="1"/>
  <c r="AR3636" s="1"/>
  <c r="AR3637" s="1"/>
  <c r="AR3638" s="1"/>
  <c r="AR3639" s="1"/>
  <c r="AR3640" s="1"/>
  <c r="AR3641" s="1"/>
  <c r="AR3642" s="1"/>
  <c r="AR3643" s="1"/>
  <c r="AR3644" s="1"/>
  <c r="AR3645" s="1"/>
  <c r="AR3646" s="1"/>
  <c r="AR3647" s="1"/>
  <c r="AR3648" s="1"/>
  <c r="AR3649" s="1"/>
  <c r="AR3650" s="1"/>
  <c r="AR3651" s="1"/>
  <c r="AR3652" s="1"/>
  <c r="AR3653" s="1"/>
  <c r="AR3654" s="1"/>
  <c r="AR3655" s="1"/>
  <c r="AR3656" s="1"/>
  <c r="AR3657" s="1"/>
  <c r="AR3658" s="1"/>
  <c r="AR3659" s="1"/>
  <c r="AR3660" s="1"/>
  <c r="AR3661" s="1"/>
  <c r="AR3662" s="1"/>
  <c r="AR3663" s="1"/>
  <c r="AR3664" s="1"/>
  <c r="AR3665" s="1"/>
  <c r="AR3666" s="1"/>
  <c r="AR3667" s="1"/>
  <c r="AR3668" s="1"/>
  <c r="AR3669" s="1"/>
  <c r="AR3670" s="1"/>
  <c r="AR3671" s="1"/>
  <c r="AR3672" s="1"/>
  <c r="AR3673" s="1"/>
  <c r="AR3674" s="1"/>
  <c r="AR3675" s="1"/>
  <c r="AR3676" s="1"/>
  <c r="AR3677" s="1"/>
  <c r="AR3678" s="1"/>
  <c r="AR3679" s="1"/>
  <c r="AR3680" s="1"/>
  <c r="AR3681" s="1"/>
  <c r="AR3682" s="1"/>
  <c r="AR3683" s="1"/>
  <c r="AR3684" s="1"/>
  <c r="AR3685" s="1"/>
  <c r="AR3686" s="1"/>
  <c r="AR3687" s="1"/>
  <c r="AR3688" s="1"/>
  <c r="AR3689" s="1"/>
  <c r="AR3690" s="1"/>
  <c r="AR3691" s="1"/>
  <c r="AR3692" s="1"/>
  <c r="AR3693" s="1"/>
  <c r="AR3694" s="1"/>
  <c r="AR3695" s="1"/>
  <c r="AR3696" s="1"/>
  <c r="AR3697" s="1"/>
  <c r="AR3698" s="1"/>
  <c r="AR3699" s="1"/>
  <c r="AR3700" s="1"/>
  <c r="AR3701" s="1"/>
  <c r="AR3702" s="1"/>
  <c r="AR3703" s="1"/>
  <c r="AR3704" s="1"/>
  <c r="AR3705" s="1"/>
  <c r="AR3706" s="1"/>
  <c r="AR3707" s="1"/>
  <c r="AR3708" s="1"/>
  <c r="AR3709" s="1"/>
  <c r="AR3710" s="1"/>
  <c r="AR3711" s="1"/>
  <c r="AR3712" s="1"/>
  <c r="AR3713" s="1"/>
  <c r="AR3714" s="1"/>
  <c r="AR3715" s="1"/>
  <c r="AR3716" s="1"/>
  <c r="AR3717" s="1"/>
  <c r="AR3718" s="1"/>
  <c r="AR3719" s="1"/>
  <c r="AR3720" s="1"/>
  <c r="AR3721" s="1"/>
  <c r="AR3722" s="1"/>
  <c r="AR3723" s="1"/>
  <c r="AR3724" s="1"/>
  <c r="AR3725" s="1"/>
  <c r="AR3726" s="1"/>
  <c r="AR3727" s="1"/>
  <c r="AR3728" s="1"/>
  <c r="AR3729" s="1"/>
  <c r="AR3730" s="1"/>
  <c r="AR3731" s="1"/>
  <c r="AR3732" s="1"/>
  <c r="AR3733" s="1"/>
  <c r="AR3734" s="1"/>
  <c r="AR3735" s="1"/>
  <c r="AR3736" s="1"/>
  <c r="AR3737" s="1"/>
  <c r="AR3738" s="1"/>
  <c r="AR3739" s="1"/>
  <c r="AR3740" s="1"/>
  <c r="AR3741" s="1"/>
  <c r="AR3742" s="1"/>
  <c r="AR3743" s="1"/>
  <c r="AR3744" s="1"/>
  <c r="AR3745" s="1"/>
  <c r="AR3746" s="1"/>
  <c r="AR3747" s="1"/>
  <c r="AR3748" s="1"/>
  <c r="AR3749" s="1"/>
  <c r="AR3750" s="1"/>
  <c r="AR3751" s="1"/>
  <c r="AR3752" s="1"/>
  <c r="AR3753" s="1"/>
  <c r="AR3754" s="1"/>
  <c r="AR3755" s="1"/>
  <c r="AR3756" s="1"/>
  <c r="AR3757" s="1"/>
  <c r="AR3758" s="1"/>
  <c r="AR3759" s="1"/>
  <c r="AR3760" s="1"/>
  <c r="AR3761" s="1"/>
  <c r="AR3762" s="1"/>
  <c r="AR3763" s="1"/>
  <c r="AR3764" s="1"/>
  <c r="AR3765" s="1"/>
  <c r="AR3766" s="1"/>
  <c r="AR3767" s="1"/>
  <c r="AR3768" s="1"/>
  <c r="AR3769" s="1"/>
  <c r="AR3770" s="1"/>
  <c r="AR3771" s="1"/>
  <c r="AR3772" s="1"/>
  <c r="AR3773" s="1"/>
  <c r="AR3774" s="1"/>
  <c r="AR3775" s="1"/>
  <c r="AR3776" s="1"/>
  <c r="AR3777" s="1"/>
  <c r="AR3778" s="1"/>
  <c r="AR3779" s="1"/>
  <c r="AR3780" s="1"/>
  <c r="AR3781" s="1"/>
  <c r="AR3782" s="1"/>
  <c r="AR3783" s="1"/>
  <c r="AR3784" s="1"/>
  <c r="AR3785" s="1"/>
  <c r="AR3786" s="1"/>
  <c r="AR3787" s="1"/>
  <c r="AR3788" s="1"/>
  <c r="AR3789" s="1"/>
  <c r="AR3790" s="1"/>
  <c r="AR3791" s="1"/>
  <c r="AR3792" s="1"/>
  <c r="AR3793" s="1"/>
  <c r="AR3794" s="1"/>
  <c r="AR3795" s="1"/>
  <c r="AR3796" s="1"/>
  <c r="AR3797" s="1"/>
  <c r="AR3798" s="1"/>
  <c r="AR3799" s="1"/>
  <c r="AR3800" s="1"/>
  <c r="AR3801" s="1"/>
  <c r="AR3802" s="1"/>
  <c r="AR3803" s="1"/>
  <c r="AR3804" s="1"/>
  <c r="AR3805" s="1"/>
  <c r="AR3806" s="1"/>
  <c r="AR3807" s="1"/>
  <c r="AR3808" s="1"/>
  <c r="AR3809" s="1"/>
  <c r="AR3810" s="1"/>
  <c r="AR3811" s="1"/>
  <c r="AR3812" s="1"/>
  <c r="AR3813" s="1"/>
  <c r="AR3814" s="1"/>
  <c r="AR3815" s="1"/>
  <c r="AR3816" s="1"/>
  <c r="AR3817" s="1"/>
  <c r="AR3818" s="1"/>
  <c r="AR3819" s="1"/>
  <c r="AR3820" s="1"/>
  <c r="AR3821" s="1"/>
  <c r="AR3822" s="1"/>
  <c r="AR3823" s="1"/>
  <c r="AR3824" s="1"/>
  <c r="AR3825" s="1"/>
  <c r="AR3826" s="1"/>
  <c r="AR3827" s="1"/>
  <c r="AR3828" s="1"/>
  <c r="AR3829" s="1"/>
  <c r="AR3830" s="1"/>
  <c r="AR3831" s="1"/>
  <c r="AR3832" s="1"/>
  <c r="AR3833" s="1"/>
  <c r="AR3834" s="1"/>
  <c r="AR3835" s="1"/>
  <c r="AR3836" s="1"/>
  <c r="AR3837" s="1"/>
  <c r="AR3838" s="1"/>
  <c r="AR3839" s="1"/>
  <c r="AR3840" s="1"/>
  <c r="AR3841" s="1"/>
  <c r="AR3842" s="1"/>
  <c r="AR3843" s="1"/>
  <c r="AR3844" s="1"/>
  <c r="AR3845" s="1"/>
  <c r="AR3846" s="1"/>
  <c r="AR3847" s="1"/>
  <c r="AR3848" s="1"/>
  <c r="AR3849" s="1"/>
  <c r="AR3850" s="1"/>
  <c r="AR3851" s="1"/>
  <c r="AR3852" s="1"/>
  <c r="AR3853" s="1"/>
  <c r="AR3854" s="1"/>
  <c r="AR3855" s="1"/>
  <c r="AR3856" s="1"/>
  <c r="AR3857" s="1"/>
  <c r="AR3858" s="1"/>
  <c r="AR3859" s="1"/>
  <c r="AR3860" s="1"/>
  <c r="AR3861" s="1"/>
  <c r="AR3862" s="1"/>
  <c r="AR3863" s="1"/>
  <c r="AR3864" s="1"/>
  <c r="AR3865" s="1"/>
  <c r="AR3866" s="1"/>
  <c r="AR3867" s="1"/>
  <c r="AR3868" s="1"/>
  <c r="AR3869" s="1"/>
  <c r="AR3870" s="1"/>
  <c r="AR3871" s="1"/>
  <c r="AR3872" s="1"/>
  <c r="AR3873" s="1"/>
  <c r="AR3874" s="1"/>
  <c r="AR3875" s="1"/>
  <c r="AR3876" s="1"/>
  <c r="AR3877" s="1"/>
  <c r="AR3878" s="1"/>
  <c r="AR3879" s="1"/>
  <c r="AR3880" s="1"/>
  <c r="AR3881" s="1"/>
  <c r="AR3882" s="1"/>
  <c r="AR3883" s="1"/>
  <c r="AR3884" s="1"/>
  <c r="AR3885" s="1"/>
  <c r="AR3886" s="1"/>
  <c r="AR3887" s="1"/>
  <c r="AR3888" s="1"/>
  <c r="AR3889" s="1"/>
  <c r="AR3890" s="1"/>
  <c r="AR3891" s="1"/>
  <c r="AR3892" s="1"/>
  <c r="AR3893" s="1"/>
  <c r="AR3894" s="1"/>
  <c r="AR3895" s="1"/>
  <c r="AR3896" s="1"/>
  <c r="AR3897" s="1"/>
  <c r="AR3898" s="1"/>
  <c r="AR3899" s="1"/>
  <c r="AR3900" s="1"/>
  <c r="AR3901" s="1"/>
  <c r="AR3902" s="1"/>
  <c r="AR3903" s="1"/>
  <c r="AR3904" s="1"/>
  <c r="AR3905" s="1"/>
  <c r="AR3906" s="1"/>
  <c r="AR3907" s="1"/>
  <c r="AR3908" s="1"/>
  <c r="AR3909" s="1"/>
  <c r="AR3910" s="1"/>
  <c r="AR3911" s="1"/>
  <c r="AR3912" s="1"/>
  <c r="AR3913" s="1"/>
  <c r="AR3914" s="1"/>
  <c r="AR3915" s="1"/>
  <c r="AR3916" s="1"/>
  <c r="AR3917" s="1"/>
  <c r="AR3918" s="1"/>
  <c r="AR3919" s="1"/>
  <c r="AR3920" s="1"/>
  <c r="AR3921" s="1"/>
  <c r="AR3922" s="1"/>
  <c r="AR3923" s="1"/>
  <c r="AR3924" s="1"/>
  <c r="AR3925" s="1"/>
  <c r="AR3926" s="1"/>
  <c r="AR3927" s="1"/>
  <c r="AR3928" s="1"/>
  <c r="AR3929" s="1"/>
  <c r="AR3930" s="1"/>
  <c r="AR3931" s="1"/>
  <c r="AR3932" s="1"/>
  <c r="AR3933" s="1"/>
  <c r="AR3934" s="1"/>
  <c r="AR3935" s="1"/>
  <c r="AR3936" s="1"/>
  <c r="AR3937" s="1"/>
  <c r="AR3938" s="1"/>
  <c r="AR3939" s="1"/>
  <c r="AR3940" s="1"/>
  <c r="AR3941" s="1"/>
  <c r="AR3942" s="1"/>
  <c r="AR3943" s="1"/>
  <c r="AR3944" s="1"/>
  <c r="AR3945" s="1"/>
  <c r="AR3946" s="1"/>
  <c r="AR3947" s="1"/>
  <c r="AR3948" s="1"/>
  <c r="AR3949" s="1"/>
  <c r="AR3950" s="1"/>
  <c r="AR3951" s="1"/>
  <c r="AR3952" s="1"/>
  <c r="AR3953" s="1"/>
  <c r="AR3954" s="1"/>
  <c r="AR3955" s="1"/>
  <c r="AR3956" s="1"/>
  <c r="AR3957" s="1"/>
  <c r="AR3958" s="1"/>
  <c r="AR3959" s="1"/>
  <c r="AR3960" s="1"/>
  <c r="AR3961" s="1"/>
  <c r="AR3962" s="1"/>
  <c r="AR3963" s="1"/>
  <c r="AR3964" s="1"/>
  <c r="AR3965" s="1"/>
  <c r="AR3966" s="1"/>
  <c r="AR3967" s="1"/>
  <c r="AR3968" s="1"/>
  <c r="AR3969" s="1"/>
  <c r="AR3970" s="1"/>
  <c r="AR3971" s="1"/>
  <c r="AR3972" s="1"/>
  <c r="AR3973" s="1"/>
  <c r="AR3974" s="1"/>
  <c r="AR3975" s="1"/>
  <c r="AR3976" s="1"/>
  <c r="AR3977" s="1"/>
  <c r="AR3978" s="1"/>
  <c r="AR3979" s="1"/>
  <c r="AR3980" s="1"/>
  <c r="AR3981" s="1"/>
  <c r="AR3982" s="1"/>
  <c r="AR3983" s="1"/>
  <c r="AR3984" s="1"/>
  <c r="AR3985" s="1"/>
  <c r="AR3986" s="1"/>
  <c r="AR3987" s="1"/>
  <c r="AR3988" s="1"/>
  <c r="AR3989" s="1"/>
  <c r="AR3990" s="1"/>
  <c r="AR3991" s="1"/>
  <c r="AR3992" s="1"/>
  <c r="AR3993" s="1"/>
  <c r="AR3994" s="1"/>
  <c r="AR3995" s="1"/>
  <c r="AR3996" s="1"/>
  <c r="AR3997" s="1"/>
  <c r="AR3998" s="1"/>
  <c r="AR3999" s="1"/>
  <c r="AR4000" s="1"/>
  <c r="AR4001" s="1"/>
  <c r="AR4002" s="1"/>
  <c r="AR4003" s="1"/>
  <c r="AR4004" s="1"/>
  <c r="AR4005" s="1"/>
  <c r="AR4006" s="1"/>
  <c r="AR4007" s="1"/>
  <c r="AR4008" s="1"/>
  <c r="AR4009" s="1"/>
  <c r="AR4010" s="1"/>
  <c r="AR4011" s="1"/>
  <c r="AR4012" s="1"/>
  <c r="AR4013" s="1"/>
  <c r="AR4014" s="1"/>
  <c r="AR4015" s="1"/>
  <c r="AR4016" s="1"/>
  <c r="AR4017" s="1"/>
  <c r="AR4018" s="1"/>
  <c r="AR4019" s="1"/>
  <c r="AR4020" s="1"/>
  <c r="AR4021" s="1"/>
  <c r="AR4022" s="1"/>
  <c r="AR4023" s="1"/>
  <c r="AR4024" s="1"/>
  <c r="AR4025" s="1"/>
  <c r="AR4026" s="1"/>
  <c r="AR4027" s="1"/>
  <c r="AR4028" s="1"/>
  <c r="AR4029" s="1"/>
  <c r="AR4030" s="1"/>
  <c r="AR4031" s="1"/>
  <c r="AR4032" s="1"/>
  <c r="AR4033" s="1"/>
  <c r="AR4034" s="1"/>
  <c r="AR4035" s="1"/>
  <c r="AR4036" s="1"/>
  <c r="AR4037" s="1"/>
  <c r="AR4038" s="1"/>
  <c r="AR4039" s="1"/>
  <c r="AR4040" s="1"/>
  <c r="AR4041" s="1"/>
  <c r="AR4042" s="1"/>
  <c r="AR4043" s="1"/>
  <c r="AR4044" s="1"/>
  <c r="AR4045" s="1"/>
  <c r="AR4046" s="1"/>
  <c r="AR4047" s="1"/>
  <c r="AR4048" s="1"/>
  <c r="AR4049" s="1"/>
  <c r="AR4050" s="1"/>
  <c r="AR4051" s="1"/>
  <c r="AR4052" s="1"/>
  <c r="AR4053" s="1"/>
  <c r="AR4054" s="1"/>
  <c r="AR4055" s="1"/>
  <c r="AR4056" s="1"/>
  <c r="AR4057" s="1"/>
  <c r="AR4058" s="1"/>
  <c r="AR4059" s="1"/>
  <c r="AR4060" s="1"/>
  <c r="AR4061" s="1"/>
  <c r="AR4062" s="1"/>
  <c r="AR4063" s="1"/>
  <c r="AR4064" s="1"/>
  <c r="AR4065" s="1"/>
  <c r="AR4066" s="1"/>
  <c r="AR4067" s="1"/>
  <c r="AR4068" s="1"/>
  <c r="AR4069" s="1"/>
  <c r="AR4070" s="1"/>
  <c r="AR4071" s="1"/>
  <c r="AR4072" s="1"/>
  <c r="AR4073" s="1"/>
  <c r="AR4074" s="1"/>
  <c r="AR4075" s="1"/>
  <c r="AR4076" s="1"/>
  <c r="AR4077" s="1"/>
  <c r="AR4078" s="1"/>
  <c r="AR4079" s="1"/>
  <c r="AR4080" s="1"/>
  <c r="AR4081" s="1"/>
  <c r="AR4082" s="1"/>
  <c r="AR4083" s="1"/>
  <c r="AR4084" s="1"/>
  <c r="AR4085" s="1"/>
  <c r="AR4086" s="1"/>
  <c r="AR4087" s="1"/>
  <c r="AR4088" s="1"/>
  <c r="AR4089" s="1"/>
  <c r="AR4090" s="1"/>
  <c r="AR4091" s="1"/>
  <c r="AR4092" s="1"/>
  <c r="AR4093" s="1"/>
  <c r="AR4094" s="1"/>
  <c r="AR4095" s="1"/>
  <c r="AR4096" s="1"/>
  <c r="AR4097" s="1"/>
  <c r="AR4098" s="1"/>
  <c r="AR4099" s="1"/>
  <c r="AR4100" s="1"/>
  <c r="AR4101" s="1"/>
  <c r="AR4102" s="1"/>
  <c r="AR4103" s="1"/>
  <c r="AR4104" s="1"/>
  <c r="AR4105" s="1"/>
  <c r="AR4106" s="1"/>
  <c r="AR4107" s="1"/>
  <c r="AR4108" s="1"/>
  <c r="AR4109" s="1"/>
  <c r="AR4110" s="1"/>
  <c r="AR4111" s="1"/>
  <c r="AR4112" s="1"/>
  <c r="AR4113" s="1"/>
  <c r="AR4114" s="1"/>
  <c r="AR4115" s="1"/>
  <c r="AR4116" s="1"/>
  <c r="AR4117" s="1"/>
  <c r="AR4118" s="1"/>
  <c r="AR4119" s="1"/>
  <c r="AR4120" s="1"/>
  <c r="AR4121" s="1"/>
  <c r="AR4122" s="1"/>
  <c r="AR4123" s="1"/>
  <c r="AR4124" s="1"/>
  <c r="AR4125" s="1"/>
  <c r="AR4126" s="1"/>
  <c r="AR4127" s="1"/>
  <c r="AR4128" s="1"/>
  <c r="AR4129" s="1"/>
  <c r="AR4130" s="1"/>
  <c r="AR4131" s="1"/>
  <c r="AR4132" s="1"/>
  <c r="AR4133" s="1"/>
  <c r="AR4134" s="1"/>
  <c r="AR4135" s="1"/>
  <c r="AR4136" s="1"/>
  <c r="AR4137" s="1"/>
  <c r="AR4138" s="1"/>
  <c r="AR4139" s="1"/>
  <c r="AR4140" s="1"/>
  <c r="AR4141" s="1"/>
  <c r="AR4142" s="1"/>
  <c r="AR4143" s="1"/>
  <c r="AR4144" s="1"/>
  <c r="AR4145" s="1"/>
  <c r="AR4146" s="1"/>
  <c r="AR4147" s="1"/>
  <c r="AR4148" s="1"/>
  <c r="AR4149" s="1"/>
  <c r="AR4150" s="1"/>
  <c r="AR4151" s="1"/>
  <c r="AR4152" s="1"/>
  <c r="AR4153" s="1"/>
  <c r="AR4154" s="1"/>
  <c r="AR4155" s="1"/>
  <c r="AR4156" s="1"/>
  <c r="AR4157" s="1"/>
  <c r="AR4158" s="1"/>
  <c r="AR4159" s="1"/>
  <c r="AR4160" s="1"/>
  <c r="AR4161" s="1"/>
  <c r="AR4162" s="1"/>
  <c r="AR4163" s="1"/>
  <c r="AR4164" s="1"/>
  <c r="AR4165" s="1"/>
  <c r="AR4166" s="1"/>
  <c r="AR4167" s="1"/>
  <c r="AR4168" s="1"/>
  <c r="AR4169" s="1"/>
  <c r="AR4170" s="1"/>
  <c r="AR4171" s="1"/>
  <c r="AR4172" s="1"/>
  <c r="AR4173" s="1"/>
  <c r="AR4174" s="1"/>
  <c r="AR4175" s="1"/>
  <c r="AR4176" s="1"/>
  <c r="AR4177" s="1"/>
  <c r="AR4178" s="1"/>
  <c r="AR4179" s="1"/>
  <c r="AR4180" s="1"/>
  <c r="AR4181" s="1"/>
  <c r="AR4182" s="1"/>
  <c r="AR4183" s="1"/>
  <c r="AR4184" s="1"/>
  <c r="AR4185" s="1"/>
  <c r="AR4186" s="1"/>
  <c r="AR4187" s="1"/>
  <c r="AR4188" s="1"/>
  <c r="AR4189" s="1"/>
  <c r="AR4190" s="1"/>
  <c r="AR4191" s="1"/>
  <c r="AR4192" s="1"/>
  <c r="AR4193" s="1"/>
  <c r="AR4194" s="1"/>
  <c r="AR4195" s="1"/>
  <c r="AR4196" s="1"/>
  <c r="AR4197" s="1"/>
  <c r="AR4198" s="1"/>
  <c r="AR4199" s="1"/>
  <c r="AR4200" s="1"/>
  <c r="AR4201" s="1"/>
  <c r="AR4202" s="1"/>
  <c r="AR4203" s="1"/>
  <c r="AR4204" s="1"/>
  <c r="AR4205" s="1"/>
  <c r="AR4206" s="1"/>
  <c r="AR4207" s="1"/>
  <c r="AR4208" s="1"/>
  <c r="AR4209" s="1"/>
  <c r="AR4210" s="1"/>
  <c r="AR4211" s="1"/>
  <c r="AR4212" s="1"/>
  <c r="AR4213" s="1"/>
  <c r="AR4214" s="1"/>
  <c r="AR4215" s="1"/>
  <c r="AR4216" s="1"/>
  <c r="AR4217" s="1"/>
  <c r="AR4218" s="1"/>
  <c r="AR4219" s="1"/>
  <c r="AR4220" s="1"/>
  <c r="AR4221" s="1"/>
  <c r="AR4222" s="1"/>
  <c r="AR4223" s="1"/>
  <c r="AR4224" s="1"/>
  <c r="AR4225" s="1"/>
  <c r="AR4226" s="1"/>
  <c r="AR4227" s="1"/>
  <c r="AR4228" s="1"/>
  <c r="AR4229" s="1"/>
  <c r="AR4230" s="1"/>
  <c r="AR4231" s="1"/>
  <c r="AR4232" s="1"/>
  <c r="AR4233" s="1"/>
  <c r="AR4234" s="1"/>
  <c r="AR4235" s="1"/>
  <c r="AR4236" s="1"/>
  <c r="AR4237" s="1"/>
  <c r="AR4238" s="1"/>
  <c r="AR4239" s="1"/>
  <c r="AR4240" s="1"/>
  <c r="AR4241" s="1"/>
  <c r="AR4242" s="1"/>
  <c r="AR4243" s="1"/>
  <c r="AR4244" s="1"/>
  <c r="AR4245" s="1"/>
  <c r="AR4246" s="1"/>
  <c r="AR4247" s="1"/>
  <c r="AR4248" s="1"/>
  <c r="AR4249" s="1"/>
  <c r="AR4250" s="1"/>
  <c r="AR4251" s="1"/>
  <c r="AR4252" s="1"/>
  <c r="AR4253" s="1"/>
  <c r="AR4254" s="1"/>
  <c r="AR4255" s="1"/>
  <c r="AR4256" s="1"/>
  <c r="AR4257" s="1"/>
  <c r="AR4258" s="1"/>
  <c r="AR4259" s="1"/>
  <c r="AR4260" s="1"/>
  <c r="AR4261" s="1"/>
  <c r="AR4262" s="1"/>
  <c r="AR4263" s="1"/>
  <c r="AR4264" s="1"/>
  <c r="AR4265" s="1"/>
  <c r="AR4266" s="1"/>
  <c r="AR4267" s="1"/>
  <c r="AR4268" s="1"/>
  <c r="AR4269" s="1"/>
  <c r="AR4270" s="1"/>
  <c r="AR4271" s="1"/>
  <c r="AR4272" s="1"/>
  <c r="AR4273" s="1"/>
  <c r="AR4274" s="1"/>
  <c r="AR4275" s="1"/>
  <c r="AR4276" s="1"/>
  <c r="AR4277" s="1"/>
  <c r="AR4278" s="1"/>
  <c r="AR4279" s="1"/>
  <c r="AR4280" s="1"/>
  <c r="AR4281" s="1"/>
  <c r="AR4282" s="1"/>
  <c r="AR4283" s="1"/>
  <c r="AR4284" s="1"/>
  <c r="AR4285" s="1"/>
  <c r="AR4286" s="1"/>
  <c r="AR4287" s="1"/>
  <c r="AR4288" s="1"/>
  <c r="AR4289" s="1"/>
  <c r="AR4290" s="1"/>
  <c r="AR4291" s="1"/>
  <c r="AR4292" s="1"/>
  <c r="AR4293" s="1"/>
  <c r="AR4294" s="1"/>
  <c r="AR4295" s="1"/>
  <c r="AR4296" s="1"/>
  <c r="AR4297" s="1"/>
  <c r="AR4298" s="1"/>
  <c r="AR4299" s="1"/>
  <c r="AR4300" s="1"/>
  <c r="AR4301" s="1"/>
  <c r="AR4302" s="1"/>
  <c r="AR4303" s="1"/>
  <c r="AR4304" s="1"/>
  <c r="AR4305" s="1"/>
  <c r="AR4306" s="1"/>
  <c r="AR4307" s="1"/>
  <c r="AR4308" s="1"/>
  <c r="AR4309" s="1"/>
  <c r="AR4310" s="1"/>
  <c r="AR4311" s="1"/>
  <c r="AR4312" s="1"/>
  <c r="AR4313" s="1"/>
  <c r="AR4314" s="1"/>
  <c r="AR4315" s="1"/>
  <c r="AR4316" s="1"/>
  <c r="AR4317" s="1"/>
  <c r="AR4318" s="1"/>
  <c r="AR4319" s="1"/>
  <c r="AR4320" s="1"/>
  <c r="AR4321" s="1"/>
  <c r="AR4322" s="1"/>
  <c r="AR4323" s="1"/>
  <c r="AR4324" s="1"/>
  <c r="AR4325" s="1"/>
  <c r="AR4326" s="1"/>
  <c r="AR4327" s="1"/>
  <c r="AR4328" s="1"/>
  <c r="AR4329" s="1"/>
  <c r="AR4330" s="1"/>
  <c r="AR4331" s="1"/>
  <c r="AR4332" s="1"/>
  <c r="AR4333" s="1"/>
  <c r="AR4334" s="1"/>
  <c r="AR4335" s="1"/>
  <c r="AR4336" s="1"/>
  <c r="AR4337" s="1"/>
  <c r="AR4338" s="1"/>
  <c r="AR4339" s="1"/>
  <c r="AR4340" s="1"/>
  <c r="AR4341" s="1"/>
  <c r="AR4342" s="1"/>
  <c r="AR4343" s="1"/>
  <c r="AR4344" s="1"/>
  <c r="AR4345" s="1"/>
  <c r="AR4346" s="1"/>
  <c r="AR4347" s="1"/>
  <c r="AR4348" s="1"/>
  <c r="AR4349" s="1"/>
  <c r="AR4350" s="1"/>
  <c r="AR4351" s="1"/>
  <c r="AR4352" s="1"/>
  <c r="AR4353" s="1"/>
  <c r="AR4354" s="1"/>
  <c r="AR4355" s="1"/>
  <c r="AR4356" s="1"/>
  <c r="AR4357" s="1"/>
  <c r="AR4358" s="1"/>
  <c r="AR4359" s="1"/>
  <c r="AR4360" s="1"/>
  <c r="AR4361" s="1"/>
  <c r="AR4362" s="1"/>
  <c r="AR4363" s="1"/>
  <c r="AR4364" s="1"/>
  <c r="AR4365" s="1"/>
  <c r="AR4366" s="1"/>
  <c r="AR4367" s="1"/>
  <c r="AR4368" s="1"/>
  <c r="AR4369" s="1"/>
  <c r="AR4370" s="1"/>
  <c r="AR4371" s="1"/>
  <c r="AR4372" s="1"/>
  <c r="AR4373" s="1"/>
  <c r="AR4374" s="1"/>
  <c r="AR4375" s="1"/>
  <c r="AR4376" s="1"/>
  <c r="AR4377" s="1"/>
  <c r="AR4378" s="1"/>
  <c r="AR4379" s="1"/>
  <c r="AR4380" s="1"/>
  <c r="AR4381" s="1"/>
  <c r="AR4382" s="1"/>
  <c r="AR4383" s="1"/>
  <c r="AR4384" s="1"/>
  <c r="AR4385" s="1"/>
  <c r="AR4386" s="1"/>
  <c r="AR4387" s="1"/>
  <c r="AR4388" s="1"/>
  <c r="AR4389" s="1"/>
  <c r="AR4390" s="1"/>
  <c r="AR4391" s="1"/>
  <c r="AR4392" s="1"/>
  <c r="AR4393" s="1"/>
  <c r="AR4394" s="1"/>
  <c r="AR4395" s="1"/>
  <c r="AR4396" s="1"/>
  <c r="AR4397" s="1"/>
  <c r="AR4398" s="1"/>
  <c r="AR4399" s="1"/>
  <c r="AR4400" s="1"/>
  <c r="AR4401" s="1"/>
  <c r="AR4402" s="1"/>
  <c r="AR4403" s="1"/>
  <c r="AR4404" s="1"/>
  <c r="AR4405" s="1"/>
  <c r="AR4406" s="1"/>
  <c r="AR4407" s="1"/>
  <c r="AR4408" s="1"/>
  <c r="AR4409" s="1"/>
  <c r="AR4410" s="1"/>
  <c r="AR4411" s="1"/>
  <c r="AR4412" s="1"/>
  <c r="AR4413" s="1"/>
  <c r="AR4414" s="1"/>
  <c r="AR4415" s="1"/>
  <c r="AR4416" s="1"/>
  <c r="AR4417" s="1"/>
  <c r="AR4418" s="1"/>
  <c r="AR4419" s="1"/>
  <c r="AR4420" s="1"/>
  <c r="AR4421" s="1"/>
  <c r="AR4422" s="1"/>
  <c r="AR4423" s="1"/>
  <c r="AR4424" s="1"/>
  <c r="AR4425" s="1"/>
  <c r="AR4426" s="1"/>
  <c r="AR4427" s="1"/>
  <c r="AR4428" s="1"/>
  <c r="AR4429" s="1"/>
  <c r="AR4430" s="1"/>
  <c r="AR4431" s="1"/>
  <c r="AR4432" s="1"/>
  <c r="AR4433" s="1"/>
  <c r="AR4434" s="1"/>
  <c r="AR4435" s="1"/>
  <c r="AR4436" s="1"/>
  <c r="AR4437" s="1"/>
  <c r="AR4438" s="1"/>
  <c r="AR4439" s="1"/>
  <c r="AR4440" s="1"/>
  <c r="AR4441" s="1"/>
  <c r="AR4442" s="1"/>
  <c r="AR4443" s="1"/>
  <c r="AR4444" s="1"/>
  <c r="AR4445" s="1"/>
  <c r="AR4446" s="1"/>
  <c r="AR4447" s="1"/>
  <c r="AR4448" s="1"/>
  <c r="AR4449" s="1"/>
  <c r="AR4450" s="1"/>
  <c r="AR4451" s="1"/>
  <c r="AR4452" s="1"/>
  <c r="AR4453" s="1"/>
  <c r="AR4454" s="1"/>
  <c r="AR4455" s="1"/>
  <c r="AR4456" s="1"/>
  <c r="AR4457" s="1"/>
  <c r="AR4458" s="1"/>
  <c r="AR4459" s="1"/>
  <c r="AR4460" s="1"/>
  <c r="AR4461" s="1"/>
  <c r="AR4462" s="1"/>
  <c r="AR4463" s="1"/>
  <c r="AR4464" s="1"/>
  <c r="AR4465" s="1"/>
  <c r="AR4466" s="1"/>
  <c r="AR4467" s="1"/>
  <c r="AR4468" s="1"/>
  <c r="AR4469" s="1"/>
  <c r="AR4470" s="1"/>
  <c r="AR4471" s="1"/>
  <c r="AR4472" s="1"/>
  <c r="AR4473" s="1"/>
  <c r="AR4474" s="1"/>
  <c r="AR4475" s="1"/>
  <c r="AR4476" s="1"/>
  <c r="AR4477" s="1"/>
  <c r="AR4478" s="1"/>
  <c r="AR4479" s="1"/>
  <c r="AR4480" s="1"/>
  <c r="AR4481" s="1"/>
  <c r="AR4482" s="1"/>
  <c r="AR4483" s="1"/>
  <c r="AR4484" s="1"/>
  <c r="AR4485" s="1"/>
  <c r="AR4486" s="1"/>
  <c r="AR4487" s="1"/>
  <c r="AR4488" s="1"/>
  <c r="AR4489" s="1"/>
  <c r="AR4490" s="1"/>
  <c r="AR4491" s="1"/>
  <c r="AR4492" s="1"/>
  <c r="AR4493" s="1"/>
  <c r="AR4494" s="1"/>
  <c r="AR4495" s="1"/>
  <c r="AR4496" s="1"/>
  <c r="AR4497" s="1"/>
  <c r="AR4498" s="1"/>
  <c r="AR4499" s="1"/>
  <c r="AR4500" s="1"/>
  <c r="AR4501" s="1"/>
  <c r="AR4502" s="1"/>
  <c r="AR4503" s="1"/>
  <c r="AR4504" s="1"/>
  <c r="AR4505" s="1"/>
  <c r="AR4506" s="1"/>
  <c r="AR4507" s="1"/>
  <c r="AR4508" s="1"/>
  <c r="AR4509" s="1"/>
  <c r="AR4510" s="1"/>
  <c r="AR4511" s="1"/>
  <c r="AR4512" s="1"/>
  <c r="AR4513" s="1"/>
  <c r="AR4514" s="1"/>
  <c r="AR4515" s="1"/>
  <c r="AR4516" s="1"/>
  <c r="AR4517" s="1"/>
  <c r="AR4518" s="1"/>
  <c r="AR4519" s="1"/>
  <c r="AR4520" s="1"/>
  <c r="AR4521" s="1"/>
  <c r="AR4522" s="1"/>
  <c r="AR4523" s="1"/>
  <c r="AR4524" s="1"/>
  <c r="AR4525" s="1"/>
  <c r="AR4526" s="1"/>
  <c r="AR4527" s="1"/>
  <c r="AR4528" s="1"/>
  <c r="AR4529" s="1"/>
  <c r="AR4530" s="1"/>
  <c r="AR4531" s="1"/>
  <c r="AR4532" s="1"/>
  <c r="AR4533" s="1"/>
  <c r="AR4534" s="1"/>
  <c r="AR4535" s="1"/>
  <c r="AR4536" s="1"/>
  <c r="AR4537" s="1"/>
  <c r="AR4538" s="1"/>
  <c r="AR4539" s="1"/>
  <c r="AR4540" s="1"/>
  <c r="AR4541" s="1"/>
  <c r="AR4542" s="1"/>
  <c r="AR4543" s="1"/>
  <c r="AR4544" s="1"/>
  <c r="AR4545" s="1"/>
  <c r="AR4546" s="1"/>
  <c r="AR4547" s="1"/>
  <c r="AR4548" s="1"/>
  <c r="AR4549" s="1"/>
  <c r="AR4550" s="1"/>
  <c r="AR4551" s="1"/>
  <c r="AR4552" s="1"/>
  <c r="AR4553" s="1"/>
  <c r="AR4554" s="1"/>
  <c r="AR4555" s="1"/>
  <c r="AR4556" s="1"/>
  <c r="AR4557" s="1"/>
  <c r="AR4558" s="1"/>
  <c r="AR4559" s="1"/>
  <c r="AR4560" s="1"/>
  <c r="AR4561" s="1"/>
  <c r="AR4562" s="1"/>
  <c r="AR4563" s="1"/>
  <c r="AR4564" s="1"/>
  <c r="AR4565" s="1"/>
  <c r="AR4566" s="1"/>
  <c r="AR4567" s="1"/>
  <c r="AR4568" s="1"/>
  <c r="AR4569" s="1"/>
  <c r="AR4570" s="1"/>
  <c r="AR4571" s="1"/>
  <c r="AR4572" s="1"/>
  <c r="AR4573" s="1"/>
  <c r="AR4574" s="1"/>
  <c r="AR4575" s="1"/>
  <c r="AR4576" s="1"/>
  <c r="AR4577" s="1"/>
  <c r="AR4578" s="1"/>
  <c r="AR4579" s="1"/>
  <c r="AR4580" s="1"/>
  <c r="AR4581" s="1"/>
  <c r="AR4582" s="1"/>
  <c r="AR4583" s="1"/>
  <c r="AR4584" s="1"/>
  <c r="AR4585" s="1"/>
  <c r="AR4586" s="1"/>
  <c r="AR4587" s="1"/>
  <c r="AR4588" s="1"/>
  <c r="AR4589" s="1"/>
  <c r="AR4590" s="1"/>
  <c r="AR4591" s="1"/>
  <c r="AR4592" s="1"/>
  <c r="AR4593" s="1"/>
  <c r="AR4594" s="1"/>
  <c r="AR4595" s="1"/>
  <c r="AR4596" s="1"/>
  <c r="AR4597" s="1"/>
  <c r="AR4598" s="1"/>
  <c r="AR4599" s="1"/>
  <c r="AR4600" s="1"/>
  <c r="AR4601" s="1"/>
  <c r="AR4602" s="1"/>
  <c r="AR4603" s="1"/>
  <c r="AR4604" s="1"/>
  <c r="AR4605" s="1"/>
  <c r="AR4606" s="1"/>
  <c r="AR4607" s="1"/>
  <c r="AR4608" s="1"/>
  <c r="AR4609" s="1"/>
  <c r="AR4610" s="1"/>
  <c r="AR4611" s="1"/>
  <c r="AR4612" s="1"/>
  <c r="AR4613" s="1"/>
  <c r="AR4614" s="1"/>
  <c r="AR4615" s="1"/>
  <c r="AR4616" s="1"/>
  <c r="AR4617" s="1"/>
  <c r="AR4618" s="1"/>
  <c r="AR4619" s="1"/>
  <c r="AR4620" s="1"/>
  <c r="AR4621" s="1"/>
  <c r="AR4622" s="1"/>
  <c r="AR4623" s="1"/>
  <c r="AR4624" s="1"/>
  <c r="AR4625" s="1"/>
  <c r="AR4626" s="1"/>
  <c r="AR4627" s="1"/>
  <c r="AR4628" s="1"/>
  <c r="AR4629" s="1"/>
  <c r="AR4630" s="1"/>
  <c r="AR4631" s="1"/>
  <c r="AR4632" s="1"/>
  <c r="AR4633" s="1"/>
  <c r="AR4634" s="1"/>
  <c r="AR4635" s="1"/>
  <c r="AR4636" s="1"/>
  <c r="AR4637" s="1"/>
  <c r="AR4638" s="1"/>
  <c r="AR4639" s="1"/>
  <c r="AR4640" s="1"/>
  <c r="AR4641" s="1"/>
  <c r="AR4642" s="1"/>
  <c r="AR4643" s="1"/>
  <c r="AR4644" s="1"/>
  <c r="AR4645" s="1"/>
  <c r="AR4646" s="1"/>
  <c r="AR4647" s="1"/>
  <c r="AR4648" s="1"/>
  <c r="AR4649" s="1"/>
  <c r="AR4650" s="1"/>
  <c r="AR4651" s="1"/>
  <c r="AR4652" s="1"/>
  <c r="AR4653" s="1"/>
  <c r="AR4654" s="1"/>
  <c r="AR4655" s="1"/>
  <c r="AR4656" s="1"/>
  <c r="AR4657" s="1"/>
  <c r="AR4658" s="1"/>
  <c r="AR4659" s="1"/>
  <c r="AR4660" s="1"/>
  <c r="AR4661" s="1"/>
  <c r="AR4662" s="1"/>
  <c r="AR4663" s="1"/>
  <c r="AR4664" s="1"/>
  <c r="AR4665" s="1"/>
  <c r="AR4666" s="1"/>
  <c r="AR4667" s="1"/>
  <c r="AR4668" s="1"/>
  <c r="AR4669" s="1"/>
  <c r="AR4670" s="1"/>
  <c r="AR4671" s="1"/>
  <c r="AR4672" s="1"/>
  <c r="AR4673" s="1"/>
  <c r="AR4674" s="1"/>
  <c r="AR4675" s="1"/>
  <c r="AR4676" s="1"/>
  <c r="AR4677" s="1"/>
  <c r="AR4678" s="1"/>
  <c r="AR4679" s="1"/>
  <c r="AR4680" s="1"/>
  <c r="AR4681" s="1"/>
  <c r="AR4682" s="1"/>
  <c r="AR4683" s="1"/>
  <c r="AR4684" s="1"/>
  <c r="AR4685" s="1"/>
  <c r="AR4686" s="1"/>
  <c r="AR4687" s="1"/>
  <c r="AR4688" s="1"/>
  <c r="AR4689" s="1"/>
  <c r="AR4690" s="1"/>
  <c r="AR4691" s="1"/>
  <c r="AR4692" s="1"/>
  <c r="AR4693" s="1"/>
  <c r="AR4694" s="1"/>
  <c r="AR4695" s="1"/>
  <c r="AR4696" s="1"/>
  <c r="AR4697" s="1"/>
  <c r="AR4698" s="1"/>
  <c r="AR4699" s="1"/>
  <c r="AR4700" s="1"/>
  <c r="AR4701" s="1"/>
  <c r="AR4702" s="1"/>
  <c r="AR4703" s="1"/>
  <c r="AR4704" s="1"/>
  <c r="AR4705" s="1"/>
  <c r="AR4706" s="1"/>
  <c r="AR4707" s="1"/>
  <c r="AR4708" s="1"/>
  <c r="AR4709" s="1"/>
  <c r="AR4710" s="1"/>
  <c r="AR4711" s="1"/>
  <c r="AR4712" s="1"/>
  <c r="AR4713" s="1"/>
  <c r="AR4714" s="1"/>
  <c r="AR4715" s="1"/>
  <c r="AR4716" s="1"/>
  <c r="AR4717" s="1"/>
  <c r="AR4718" s="1"/>
  <c r="AR4719" s="1"/>
  <c r="AR4720" s="1"/>
  <c r="AR4721" s="1"/>
  <c r="AR4722" s="1"/>
  <c r="AR4723" s="1"/>
  <c r="AR4724" s="1"/>
  <c r="AR4725" s="1"/>
  <c r="AR4726" s="1"/>
  <c r="AR4727" s="1"/>
  <c r="AR4728" s="1"/>
  <c r="AR4729" s="1"/>
  <c r="AR4730" s="1"/>
  <c r="AR4731" s="1"/>
  <c r="AR4732" s="1"/>
  <c r="AR4733" s="1"/>
  <c r="AR4734" s="1"/>
  <c r="AR4735" s="1"/>
  <c r="AR4736" s="1"/>
  <c r="AR4737" s="1"/>
  <c r="AR4738" s="1"/>
  <c r="AR4739" s="1"/>
  <c r="AR4740" s="1"/>
  <c r="AR4741" s="1"/>
  <c r="AR4742" s="1"/>
  <c r="AR4743" s="1"/>
  <c r="AR4744" s="1"/>
  <c r="AR4745" s="1"/>
  <c r="AR4746" s="1"/>
  <c r="AR4747" s="1"/>
  <c r="AR4748" s="1"/>
  <c r="AR4749" s="1"/>
  <c r="AR4750" s="1"/>
  <c r="AR4751" s="1"/>
  <c r="AR4752" s="1"/>
  <c r="AR4753" s="1"/>
  <c r="AR4754" s="1"/>
  <c r="AR4755" s="1"/>
  <c r="AR4756" s="1"/>
  <c r="AR4757" s="1"/>
  <c r="AR4758" s="1"/>
  <c r="AR4759" s="1"/>
  <c r="AR4760" s="1"/>
  <c r="AR4761" s="1"/>
  <c r="AR4762" s="1"/>
  <c r="AR4763" s="1"/>
  <c r="AR4764" s="1"/>
  <c r="AR4765" s="1"/>
  <c r="AR4766" s="1"/>
  <c r="AR4767" s="1"/>
  <c r="AR4768" s="1"/>
  <c r="AR4769" s="1"/>
  <c r="AR4770" s="1"/>
  <c r="AR4771" s="1"/>
  <c r="AR4772" s="1"/>
  <c r="AR4773" s="1"/>
  <c r="AR4774" s="1"/>
  <c r="AR4775" s="1"/>
  <c r="AR4776" s="1"/>
  <c r="AR4777" s="1"/>
  <c r="AR4778" s="1"/>
  <c r="AR4779" s="1"/>
  <c r="AR4780" s="1"/>
  <c r="AR4781" s="1"/>
  <c r="AR4782" s="1"/>
  <c r="AR4783" s="1"/>
  <c r="AR4784" s="1"/>
  <c r="AR4785" s="1"/>
  <c r="AR4786" s="1"/>
  <c r="AR4787" s="1"/>
  <c r="AR4788" s="1"/>
  <c r="AR4789" s="1"/>
  <c r="AR4790" s="1"/>
  <c r="AR4791" s="1"/>
  <c r="AR4792" s="1"/>
  <c r="AR4793" s="1"/>
  <c r="AR4794" s="1"/>
  <c r="AR4795" s="1"/>
  <c r="AR4796" s="1"/>
  <c r="AR4797" s="1"/>
  <c r="AR4798" s="1"/>
  <c r="AR4799" s="1"/>
  <c r="AR4800" s="1"/>
  <c r="AR4801" s="1"/>
  <c r="AR4802" s="1"/>
  <c r="AR4803" s="1"/>
  <c r="AR4804" s="1"/>
  <c r="AR4805" s="1"/>
  <c r="AR4806" s="1"/>
  <c r="AR4807" s="1"/>
  <c r="AR4808" s="1"/>
  <c r="AR4809" s="1"/>
  <c r="AR4810" s="1"/>
  <c r="AR4811" s="1"/>
  <c r="AR4812" s="1"/>
  <c r="AR4813" s="1"/>
  <c r="AR4814" s="1"/>
  <c r="AR4815" s="1"/>
  <c r="AR4816" s="1"/>
  <c r="AR4817" s="1"/>
  <c r="AR4818" s="1"/>
  <c r="AR4819" s="1"/>
  <c r="AR4820" s="1"/>
  <c r="AR4821" s="1"/>
  <c r="AR4822" s="1"/>
  <c r="AR4823" s="1"/>
  <c r="AR4824" s="1"/>
  <c r="AR4825" s="1"/>
  <c r="AR4826" s="1"/>
  <c r="AR4827" s="1"/>
  <c r="AR4828" s="1"/>
  <c r="AR4829" s="1"/>
  <c r="AR4830" s="1"/>
  <c r="AR4831" s="1"/>
  <c r="AR4832" s="1"/>
  <c r="AR4833" s="1"/>
  <c r="AR4834" s="1"/>
  <c r="AR4835" s="1"/>
  <c r="AR4836" s="1"/>
  <c r="AR4837" s="1"/>
  <c r="AR4838" s="1"/>
  <c r="AR4839" s="1"/>
  <c r="AR4840" s="1"/>
  <c r="AR4841" s="1"/>
  <c r="AR4842" s="1"/>
  <c r="AR4843" s="1"/>
  <c r="AR4844" s="1"/>
  <c r="AR4845" s="1"/>
  <c r="AR4846" s="1"/>
  <c r="AR4847" s="1"/>
  <c r="AR4848" s="1"/>
  <c r="AR4849" s="1"/>
  <c r="AR4850" s="1"/>
  <c r="AR4851" s="1"/>
  <c r="AR4852" s="1"/>
  <c r="AR4853" s="1"/>
  <c r="AR4854" s="1"/>
  <c r="AR4855" s="1"/>
  <c r="AR4856" s="1"/>
  <c r="AR4857" s="1"/>
  <c r="AR4858" s="1"/>
  <c r="AR4859" s="1"/>
  <c r="AR4860" s="1"/>
  <c r="AR4861" s="1"/>
  <c r="AR4862" s="1"/>
  <c r="AR4863" s="1"/>
  <c r="AR4864" s="1"/>
  <c r="AR4865" s="1"/>
  <c r="AR4866" s="1"/>
  <c r="AR4867" s="1"/>
  <c r="AR4868" s="1"/>
  <c r="AR4869" s="1"/>
  <c r="AR4870" s="1"/>
  <c r="AR4871" s="1"/>
  <c r="AR4872" s="1"/>
  <c r="AR4873" s="1"/>
  <c r="AR4874" s="1"/>
  <c r="AR4875" s="1"/>
  <c r="AR4876" s="1"/>
  <c r="AR4877" s="1"/>
  <c r="AR4878" s="1"/>
  <c r="AR4879" s="1"/>
  <c r="AR4880" s="1"/>
  <c r="AR4881" s="1"/>
  <c r="AR4882" s="1"/>
  <c r="AR4883" s="1"/>
  <c r="AR4884" s="1"/>
  <c r="AR4885" s="1"/>
  <c r="AR4886" s="1"/>
  <c r="AR4887" s="1"/>
  <c r="AR4888" s="1"/>
  <c r="AR4889" s="1"/>
  <c r="AR4890" s="1"/>
  <c r="AR4891" s="1"/>
  <c r="AR4892" s="1"/>
  <c r="AR4893" s="1"/>
  <c r="AR4894" s="1"/>
  <c r="AR4895" s="1"/>
  <c r="AR4896" s="1"/>
  <c r="AR4897" s="1"/>
  <c r="AR4898" s="1"/>
  <c r="AR4899" s="1"/>
  <c r="AR4900" s="1"/>
  <c r="AR4901" s="1"/>
  <c r="AR4902" s="1"/>
  <c r="AR4903" s="1"/>
  <c r="AR4904" s="1"/>
  <c r="AR4905" s="1"/>
  <c r="AR4906" s="1"/>
  <c r="AR4907" s="1"/>
  <c r="AR4908" s="1"/>
  <c r="AR4909" s="1"/>
  <c r="AR4910" s="1"/>
  <c r="AR4911" s="1"/>
  <c r="AR4912" s="1"/>
  <c r="AR4913" s="1"/>
  <c r="AR4914" s="1"/>
  <c r="AR4915" s="1"/>
  <c r="AR4916" s="1"/>
  <c r="AR4917" s="1"/>
  <c r="AR4918" s="1"/>
  <c r="AR4919" s="1"/>
  <c r="AR4920" s="1"/>
  <c r="AR4921" s="1"/>
  <c r="AR4922" s="1"/>
  <c r="AR4923" s="1"/>
  <c r="AR4924" s="1"/>
  <c r="AR4925" s="1"/>
  <c r="AR4926" s="1"/>
  <c r="AR4927" s="1"/>
  <c r="AR4928" s="1"/>
  <c r="AR4929" s="1"/>
  <c r="AR4930" s="1"/>
  <c r="AR4931" s="1"/>
  <c r="AR4932" s="1"/>
  <c r="AR4933" s="1"/>
  <c r="AR4934" s="1"/>
  <c r="AR4935" s="1"/>
  <c r="AR4936" s="1"/>
  <c r="AR4937" s="1"/>
  <c r="AR4938" s="1"/>
  <c r="AR4939" s="1"/>
  <c r="AR4940" s="1"/>
  <c r="AR4941" s="1"/>
  <c r="AR4942" s="1"/>
  <c r="AR4943" s="1"/>
  <c r="AR4944" s="1"/>
  <c r="AR4945" s="1"/>
  <c r="AR4946" s="1"/>
  <c r="AR4947" s="1"/>
  <c r="AR4948" s="1"/>
  <c r="AR4949" s="1"/>
  <c r="AR4950" s="1"/>
  <c r="AR4951" s="1"/>
  <c r="AR4952" s="1"/>
  <c r="AR4953" s="1"/>
  <c r="AR4954" s="1"/>
  <c r="AR4955" s="1"/>
  <c r="AR4956" s="1"/>
  <c r="AR4957" s="1"/>
  <c r="AR4958" s="1"/>
  <c r="AR4959" s="1"/>
  <c r="AR4960" s="1"/>
  <c r="AR4961" s="1"/>
  <c r="AR4962" s="1"/>
  <c r="AR4963" s="1"/>
  <c r="AR4964" s="1"/>
  <c r="AR4965" s="1"/>
  <c r="AR4966" s="1"/>
  <c r="AR4967" s="1"/>
  <c r="AR4968" s="1"/>
  <c r="AR4969" s="1"/>
  <c r="AR4970" s="1"/>
  <c r="AR4971" s="1"/>
  <c r="AR4972" s="1"/>
  <c r="AR4973" s="1"/>
  <c r="AR4974" s="1"/>
  <c r="AR4975" s="1"/>
  <c r="AR4976" s="1"/>
  <c r="AR4977" s="1"/>
  <c r="AR4978" s="1"/>
  <c r="AR4979" s="1"/>
  <c r="AR4980" s="1"/>
  <c r="AR4981" s="1"/>
  <c r="AR4982" s="1"/>
  <c r="AR4983" s="1"/>
  <c r="AR4984" s="1"/>
  <c r="AR4985" s="1"/>
  <c r="AR4986" s="1"/>
  <c r="AR4987" s="1"/>
  <c r="AR4988" s="1"/>
  <c r="AR4989" s="1"/>
  <c r="AR4990" s="1"/>
  <c r="AR4991" s="1"/>
  <c r="AR4992" s="1"/>
  <c r="AR4993" s="1"/>
  <c r="AR4994" s="1"/>
  <c r="AR4995" s="1"/>
  <c r="AR4996" s="1"/>
  <c r="AR4997" s="1"/>
  <c r="AR4998" s="1"/>
  <c r="AR4999" s="1"/>
  <c r="AR5000" s="1"/>
  <c r="AR5001" s="1"/>
  <c r="AR5002" s="1"/>
  <c r="AQ5002"/>
  <c r="AQ5001"/>
  <c r="AQ5000"/>
  <c r="AQ4999"/>
  <c r="AQ4998"/>
  <c r="AQ4997"/>
  <c r="AQ4996"/>
  <c r="AQ4995"/>
  <c r="AQ4994"/>
  <c r="AQ4993"/>
  <c r="AQ4992"/>
  <c r="AQ4991"/>
  <c r="AQ4990"/>
  <c r="AQ4989"/>
  <c r="AQ4988"/>
  <c r="AQ4987"/>
  <c r="AQ4986"/>
  <c r="AQ4985"/>
  <c r="AQ4984"/>
  <c r="AQ4983"/>
  <c r="AQ4982"/>
  <c r="AQ4981"/>
  <c r="AQ4980"/>
  <c r="AQ4979"/>
  <c r="AQ4978"/>
  <c r="AQ4977"/>
  <c r="AQ4976"/>
  <c r="AQ4975"/>
  <c r="AQ4974"/>
  <c r="AQ4973"/>
  <c r="AQ4972"/>
  <c r="AQ4971"/>
  <c r="AQ4970"/>
  <c r="AQ4969"/>
  <c r="AQ4968"/>
  <c r="AQ4967"/>
  <c r="AQ4966"/>
  <c r="AQ4965"/>
  <c r="AQ4964"/>
  <c r="AQ4963"/>
  <c r="AQ4962"/>
  <c r="AQ4961"/>
  <c r="AQ4960"/>
  <c r="AQ4959"/>
  <c r="AQ4958"/>
  <c r="AQ4957"/>
  <c r="AQ4956"/>
  <c r="AQ4955"/>
  <c r="AQ4954"/>
  <c r="AQ4953"/>
  <c r="AQ4952"/>
  <c r="AQ4951"/>
  <c r="AQ4950"/>
  <c r="AQ4949"/>
  <c r="AQ4948"/>
  <c r="AQ4947"/>
  <c r="AQ4946"/>
  <c r="AQ4945"/>
  <c r="AQ4944"/>
  <c r="AQ4943"/>
  <c r="AQ4942"/>
  <c r="AQ4941"/>
  <c r="AQ4940"/>
  <c r="AQ4939"/>
  <c r="AQ4938"/>
  <c r="AQ4937"/>
  <c r="AQ4936"/>
  <c r="AQ4935"/>
  <c r="AQ4934"/>
  <c r="AQ4933"/>
  <c r="AQ4932"/>
  <c r="AQ4931"/>
  <c r="AQ4930"/>
  <c r="AQ4929"/>
  <c r="AQ4928"/>
  <c r="AQ4927"/>
  <c r="AQ4926"/>
  <c r="AQ4925"/>
  <c r="AQ4924"/>
  <c r="AQ4923"/>
  <c r="AQ4922"/>
  <c r="AQ4921"/>
  <c r="AQ4920"/>
  <c r="AQ4919"/>
  <c r="AQ4918"/>
  <c r="AQ4917"/>
  <c r="AQ4916"/>
  <c r="AQ4915"/>
  <c r="AQ4914"/>
  <c r="AQ4913"/>
  <c r="AQ4912"/>
  <c r="AQ4911"/>
  <c r="AQ4910"/>
  <c r="AQ4909"/>
  <c r="AQ4908"/>
  <c r="AQ4907"/>
  <c r="AQ4906"/>
  <c r="AQ4905"/>
  <c r="AQ4904"/>
  <c r="AQ4903"/>
  <c r="AQ4902"/>
  <c r="AQ4901"/>
  <c r="AQ4900"/>
  <c r="AQ4899"/>
  <c r="AQ4898"/>
  <c r="AQ4897"/>
  <c r="AQ4896"/>
  <c r="AQ4895"/>
  <c r="AQ4894"/>
  <c r="AQ4893"/>
  <c r="AQ4892"/>
  <c r="AQ4891"/>
  <c r="AQ4890"/>
  <c r="AQ4889"/>
  <c r="AQ4888"/>
  <c r="AQ4887"/>
  <c r="AQ4886"/>
  <c r="AQ4885"/>
  <c r="AQ4884"/>
  <c r="AQ4883"/>
  <c r="AQ4882"/>
  <c r="AQ4881"/>
  <c r="AQ4880"/>
  <c r="AQ4879"/>
  <c r="AQ4878"/>
  <c r="AQ4877"/>
  <c r="AQ4876"/>
  <c r="AQ4875"/>
  <c r="AQ4874"/>
  <c r="AQ4873"/>
  <c r="AQ4872"/>
  <c r="AQ4871"/>
  <c r="AQ4870"/>
  <c r="AQ4869"/>
  <c r="AQ4868"/>
  <c r="AQ4867"/>
  <c r="AQ4866"/>
  <c r="AQ4865"/>
  <c r="AQ4864"/>
  <c r="AQ4863"/>
  <c r="AQ4862"/>
  <c r="AQ4861"/>
  <c r="AQ4860"/>
  <c r="AQ4859"/>
  <c r="AQ4858"/>
  <c r="AQ4857"/>
  <c r="AQ4856"/>
  <c r="AQ4855"/>
  <c r="AQ4854"/>
  <c r="AQ4853"/>
  <c r="AQ4852"/>
  <c r="AQ4851"/>
  <c r="AQ4850"/>
  <c r="AQ4849"/>
  <c r="AQ4848"/>
  <c r="AQ4847"/>
  <c r="AQ4846"/>
  <c r="AQ4845"/>
  <c r="AQ4844"/>
  <c r="AQ4843"/>
  <c r="AQ4842"/>
  <c r="AQ4841"/>
  <c r="AQ4840"/>
  <c r="AQ4839"/>
  <c r="AQ4838"/>
  <c r="AQ4837"/>
  <c r="AQ4836"/>
  <c r="AQ4835"/>
  <c r="AQ4834"/>
  <c r="AQ4833"/>
  <c r="AQ4832"/>
  <c r="AQ4831"/>
  <c r="AQ4830"/>
  <c r="AQ4829"/>
  <c r="AQ4828"/>
  <c r="AQ4827"/>
  <c r="AQ4826"/>
  <c r="AQ4825"/>
  <c r="AQ4824"/>
  <c r="AQ4823"/>
  <c r="AQ4822"/>
  <c r="AQ4821"/>
  <c r="AQ4820"/>
  <c r="AQ4819"/>
  <c r="AQ4818"/>
  <c r="AQ4817"/>
  <c r="AQ4816"/>
  <c r="AQ4815"/>
  <c r="AQ4814"/>
  <c r="AQ4813"/>
  <c r="AQ4812"/>
  <c r="AQ4811"/>
  <c r="AQ4810"/>
  <c r="AQ4809"/>
  <c r="AQ4808"/>
  <c r="AQ4807"/>
  <c r="AQ4806"/>
  <c r="AQ4805"/>
  <c r="AQ4804"/>
  <c r="AQ4803"/>
  <c r="AQ4802"/>
  <c r="AQ4801"/>
  <c r="AQ4800"/>
  <c r="AQ4799"/>
  <c r="AQ4798"/>
  <c r="AQ4797"/>
  <c r="AQ4796"/>
  <c r="AQ4795"/>
  <c r="AQ4794"/>
  <c r="AQ4793"/>
  <c r="AQ4792"/>
  <c r="AQ4791"/>
  <c r="AQ4790"/>
  <c r="AQ4789"/>
  <c r="AQ4788"/>
  <c r="AQ4787"/>
  <c r="AQ4786"/>
  <c r="AQ4785"/>
  <c r="AQ4784"/>
  <c r="AQ4783"/>
  <c r="AQ4782"/>
  <c r="AQ4781"/>
  <c r="AQ4780"/>
  <c r="AQ4779"/>
  <c r="AQ4778"/>
  <c r="AQ4777"/>
  <c r="AQ4776"/>
  <c r="AQ4775"/>
  <c r="AQ4774"/>
  <c r="AQ4773"/>
  <c r="AQ4772"/>
  <c r="AQ4771"/>
  <c r="AQ4770"/>
  <c r="AQ4769"/>
  <c r="AQ4768"/>
  <c r="AQ4767"/>
  <c r="AQ4766"/>
  <c r="AQ4765"/>
  <c r="AQ4764"/>
  <c r="AQ4763"/>
  <c r="AQ4762"/>
  <c r="AQ4761"/>
  <c r="AQ4760"/>
  <c r="AQ4759"/>
  <c r="AQ4758"/>
  <c r="AQ4757"/>
  <c r="AQ4756"/>
  <c r="AQ4755"/>
  <c r="AQ4754"/>
  <c r="AQ4753"/>
  <c r="AQ4752"/>
  <c r="AQ4751"/>
  <c r="AQ4750"/>
  <c r="AQ4749"/>
  <c r="AQ4748"/>
  <c r="AQ4747"/>
  <c r="AQ4746"/>
  <c r="AQ4745"/>
  <c r="AQ4744"/>
  <c r="AQ4743"/>
  <c r="AQ4742"/>
  <c r="AQ4741"/>
  <c r="AQ4740"/>
  <c r="AQ4739"/>
  <c r="AQ4738"/>
  <c r="AQ4737"/>
  <c r="AQ4736"/>
  <c r="AQ4735"/>
  <c r="AQ4734"/>
  <c r="AQ4733"/>
  <c r="AQ4732"/>
  <c r="AQ4731"/>
  <c r="AQ4730"/>
  <c r="AQ4729"/>
  <c r="AQ4728"/>
  <c r="AQ4727"/>
  <c r="AQ4726"/>
  <c r="AQ4725"/>
  <c r="AQ4724"/>
  <c r="AQ4723"/>
  <c r="AQ4722"/>
  <c r="AQ4721"/>
  <c r="AQ4720"/>
  <c r="AQ4719"/>
  <c r="AQ4718"/>
  <c r="AQ4717"/>
  <c r="AQ4716"/>
  <c r="AQ4715"/>
  <c r="AQ4714"/>
  <c r="AQ4713"/>
  <c r="AQ4712"/>
  <c r="AQ4711"/>
  <c r="AQ4710"/>
  <c r="AQ4709"/>
  <c r="AQ4708"/>
  <c r="AQ4707"/>
  <c r="AQ4706"/>
  <c r="AQ4705"/>
  <c r="AQ4704"/>
  <c r="AQ4703"/>
  <c r="AQ4702"/>
  <c r="AQ4701"/>
  <c r="AQ4700"/>
  <c r="AQ4699"/>
  <c r="AQ4698"/>
  <c r="AQ4697"/>
  <c r="AQ4696"/>
  <c r="AQ4695"/>
  <c r="AQ4694"/>
  <c r="AQ4693"/>
  <c r="AQ4692"/>
  <c r="AQ4691"/>
  <c r="AQ4690"/>
  <c r="AQ4689"/>
  <c r="AQ4688"/>
  <c r="AQ4687"/>
  <c r="AQ4686"/>
  <c r="AQ4685"/>
  <c r="AQ4684"/>
  <c r="AQ4683"/>
  <c r="AQ4682"/>
  <c r="AQ4681"/>
  <c r="AQ4680"/>
  <c r="AQ4679"/>
  <c r="AQ4678"/>
  <c r="AQ4677"/>
  <c r="AQ4676"/>
  <c r="AQ4675"/>
  <c r="AQ4674"/>
  <c r="AQ4673"/>
  <c r="AQ4672"/>
  <c r="AQ4671"/>
  <c r="AQ4670"/>
  <c r="AQ4669"/>
  <c r="AQ4668"/>
  <c r="AQ4667"/>
  <c r="AQ4666"/>
  <c r="AQ4665"/>
  <c r="AQ4664"/>
  <c r="AQ4663"/>
  <c r="AQ4662"/>
  <c r="AQ4661"/>
  <c r="AQ4660"/>
  <c r="AQ4659"/>
  <c r="AQ4658"/>
  <c r="AQ4657"/>
  <c r="AQ4656"/>
  <c r="AQ4655"/>
  <c r="AQ4654"/>
  <c r="AQ4653"/>
  <c r="AQ4652"/>
  <c r="AQ4651"/>
  <c r="AQ4650"/>
  <c r="AQ4649"/>
  <c r="AQ4648"/>
  <c r="AQ4647"/>
  <c r="AQ4646"/>
  <c r="AQ4645"/>
  <c r="AQ4644"/>
  <c r="AQ4643"/>
  <c r="AQ4642"/>
  <c r="AQ4641"/>
  <c r="AQ4640"/>
  <c r="AQ4639"/>
  <c r="AQ4638"/>
  <c r="AQ4637"/>
  <c r="AQ4636"/>
  <c r="AQ4635"/>
  <c r="AQ4634"/>
  <c r="AQ4633"/>
  <c r="AQ4632"/>
  <c r="AQ4631"/>
  <c r="AQ4630"/>
  <c r="AQ4629"/>
  <c r="AQ4628"/>
  <c r="AQ4627"/>
  <c r="AQ4626"/>
  <c r="AQ4625"/>
  <c r="AQ4624"/>
  <c r="AQ4623"/>
  <c r="AQ4622"/>
  <c r="AQ4621"/>
  <c r="AQ4620"/>
  <c r="AQ4619"/>
  <c r="AQ4618"/>
  <c r="AQ4617"/>
  <c r="AQ4616"/>
  <c r="AQ4615"/>
  <c r="AQ4614"/>
  <c r="AQ4613"/>
  <c r="AQ4612"/>
  <c r="AQ4611"/>
  <c r="AQ4610"/>
  <c r="AQ4609"/>
  <c r="AQ4608"/>
  <c r="AQ4607"/>
  <c r="AQ4606"/>
  <c r="AQ4605"/>
  <c r="AQ4604"/>
  <c r="AQ4603"/>
  <c r="AQ4602"/>
  <c r="AQ4601"/>
  <c r="AQ4600"/>
  <c r="AQ4599"/>
  <c r="AQ4598"/>
  <c r="AQ4597"/>
  <c r="AQ4596"/>
  <c r="AQ4595"/>
  <c r="AQ4594"/>
  <c r="AQ4593"/>
  <c r="AQ4592"/>
  <c r="AQ4591"/>
  <c r="AQ4590"/>
  <c r="AQ4589"/>
  <c r="AQ4588"/>
  <c r="AQ4587"/>
  <c r="AQ4586"/>
  <c r="AQ4585"/>
  <c r="AQ4584"/>
  <c r="AQ4583"/>
  <c r="AQ4582"/>
  <c r="AQ4581"/>
  <c r="AQ4580"/>
  <c r="AQ4579"/>
  <c r="AQ4578"/>
  <c r="AQ4577"/>
  <c r="AQ4576"/>
  <c r="AQ4575"/>
  <c r="AQ4574"/>
  <c r="AQ4573"/>
  <c r="AQ4572"/>
  <c r="AQ4571"/>
  <c r="AQ4570"/>
  <c r="AQ4569"/>
  <c r="AQ4568"/>
  <c r="AQ4567"/>
  <c r="AQ4566"/>
  <c r="AQ4565"/>
  <c r="AQ4564"/>
  <c r="AQ4563"/>
  <c r="AQ4562"/>
  <c r="AQ4561"/>
  <c r="AQ4560"/>
  <c r="AQ4559"/>
  <c r="AQ4558"/>
  <c r="AQ4557"/>
  <c r="AQ4556"/>
  <c r="AQ4555"/>
  <c r="AQ4554"/>
  <c r="AQ4553"/>
  <c r="AQ4552"/>
  <c r="AQ4551"/>
  <c r="AQ4550"/>
  <c r="AQ4549"/>
  <c r="AQ4548"/>
  <c r="AQ4547"/>
  <c r="AQ4546"/>
  <c r="AQ4545"/>
  <c r="AQ4544"/>
  <c r="AQ4543"/>
  <c r="AQ4542"/>
  <c r="AQ4541"/>
  <c r="AQ4540"/>
  <c r="AQ4539"/>
  <c r="AQ4538"/>
  <c r="AQ4537"/>
  <c r="AQ4536"/>
  <c r="AQ4535"/>
  <c r="AQ4534"/>
  <c r="AQ4533"/>
  <c r="AQ4532"/>
  <c r="AQ4531"/>
  <c r="AQ4530"/>
  <c r="AQ4529"/>
  <c r="AQ4528"/>
  <c r="AQ4527"/>
  <c r="AQ4526"/>
  <c r="AQ4525"/>
  <c r="AQ4524"/>
  <c r="AQ4523"/>
  <c r="AQ4522"/>
  <c r="AQ4521"/>
  <c r="AQ4520"/>
  <c r="AQ4519"/>
  <c r="AQ4518"/>
  <c r="AQ4517"/>
  <c r="AQ4516"/>
  <c r="AQ4515"/>
  <c r="AQ4514"/>
  <c r="AQ4513"/>
  <c r="AQ4512"/>
  <c r="AQ4511"/>
  <c r="AQ4510"/>
  <c r="AQ4509"/>
  <c r="AQ4508"/>
  <c r="AQ4507"/>
  <c r="AQ4506"/>
  <c r="AQ4505"/>
  <c r="AQ4504"/>
  <c r="AQ4503"/>
  <c r="AQ4502"/>
  <c r="AQ4501"/>
  <c r="AQ4500"/>
  <c r="AQ4499"/>
  <c r="AQ4498"/>
  <c r="AQ4497"/>
  <c r="AQ4496"/>
  <c r="AQ4495"/>
  <c r="AQ4494"/>
  <c r="AQ4493"/>
  <c r="AQ4492"/>
  <c r="AQ4491"/>
  <c r="AQ4490"/>
  <c r="AQ4489"/>
  <c r="AQ4488"/>
  <c r="AQ4487"/>
  <c r="AQ4486"/>
  <c r="AQ4485"/>
  <c r="AQ4484"/>
  <c r="AQ4483"/>
  <c r="AQ4482"/>
  <c r="AQ4481"/>
  <c r="AQ4480"/>
  <c r="AQ4479"/>
  <c r="AQ4478"/>
  <c r="AQ4477"/>
  <c r="AQ4476"/>
  <c r="AQ4475"/>
  <c r="AQ4474"/>
  <c r="AQ4473"/>
  <c r="AQ4472"/>
  <c r="AQ4471"/>
  <c r="AQ4470"/>
  <c r="AQ4469"/>
  <c r="AQ4468"/>
  <c r="AQ4467"/>
  <c r="AQ4466"/>
  <c r="AQ4465"/>
  <c r="AQ4464"/>
  <c r="AQ4463"/>
  <c r="AQ4462"/>
  <c r="AQ4461"/>
  <c r="AQ4460"/>
  <c r="AQ4459"/>
  <c r="AQ4458"/>
  <c r="AQ4457"/>
  <c r="AQ4456"/>
  <c r="AQ4455"/>
  <c r="AQ4454"/>
  <c r="AQ4453"/>
  <c r="AQ4452"/>
  <c r="AQ4451"/>
  <c r="AQ4450"/>
  <c r="AQ4449"/>
  <c r="AQ4448"/>
  <c r="AQ4447"/>
  <c r="AQ4446"/>
  <c r="AQ4445"/>
  <c r="AQ4444"/>
  <c r="AQ4443"/>
  <c r="AQ4442"/>
  <c r="AQ4441"/>
  <c r="AQ4440"/>
  <c r="AQ4439"/>
  <c r="AQ4438"/>
  <c r="AQ4437"/>
  <c r="AQ4436"/>
  <c r="AQ4435"/>
  <c r="AQ4434"/>
  <c r="AQ4433"/>
  <c r="AQ4432"/>
  <c r="AQ4431"/>
  <c r="AQ4430"/>
  <c r="AQ4429"/>
  <c r="AQ4428"/>
  <c r="AQ4427"/>
  <c r="AQ4426"/>
  <c r="AQ4425"/>
  <c r="AQ4424"/>
  <c r="AQ4423"/>
  <c r="AQ4422"/>
  <c r="AQ4421"/>
  <c r="AQ4420"/>
  <c r="AQ4419"/>
  <c r="AQ4418"/>
  <c r="AQ4417"/>
  <c r="AQ4416"/>
  <c r="AQ4415"/>
  <c r="AQ4414"/>
  <c r="AQ4413"/>
  <c r="AQ4412"/>
  <c r="AQ4411"/>
  <c r="AQ4410"/>
  <c r="AQ4409"/>
  <c r="AQ4408"/>
  <c r="AQ4407"/>
  <c r="AQ4406"/>
  <c r="AQ4405"/>
  <c r="AQ4404"/>
  <c r="AQ4403"/>
  <c r="AQ4402"/>
  <c r="AQ4401"/>
  <c r="AQ4400"/>
  <c r="AQ4399"/>
  <c r="AQ4398"/>
  <c r="AQ4397"/>
  <c r="AQ4396"/>
  <c r="AQ4395"/>
  <c r="AQ4394"/>
  <c r="AQ4393"/>
  <c r="AQ4392"/>
  <c r="AQ4391"/>
  <c r="AQ4390"/>
  <c r="AQ4389"/>
  <c r="AQ4388"/>
  <c r="AQ4387"/>
  <c r="AQ4386"/>
  <c r="AQ4385"/>
  <c r="AQ4384"/>
  <c r="AQ4383"/>
  <c r="AQ4382"/>
  <c r="AQ4381"/>
  <c r="AQ4380"/>
  <c r="AQ4379"/>
  <c r="AQ4378"/>
  <c r="AQ4377"/>
  <c r="AQ4376"/>
  <c r="AQ4375"/>
  <c r="AQ4374"/>
  <c r="AQ4373"/>
  <c r="AQ4372"/>
  <c r="AQ4371"/>
  <c r="AQ4370"/>
  <c r="AQ4369"/>
  <c r="AQ4368"/>
  <c r="AQ4367"/>
  <c r="AQ4366"/>
  <c r="AQ4365"/>
  <c r="AQ4364"/>
  <c r="AQ4363"/>
  <c r="AQ4362"/>
  <c r="AQ4361"/>
  <c r="AQ4360"/>
  <c r="AQ4359"/>
  <c r="AQ4358"/>
  <c r="AQ4357"/>
  <c r="AQ4356"/>
  <c r="AQ4355"/>
  <c r="AQ4354"/>
  <c r="AQ4353"/>
  <c r="AQ4352"/>
  <c r="AQ4351"/>
  <c r="AQ4350"/>
  <c r="AQ4349"/>
  <c r="AQ4348"/>
  <c r="AQ4347"/>
  <c r="AQ4346"/>
  <c r="AQ4345"/>
  <c r="AQ4344"/>
  <c r="AQ4343"/>
  <c r="AQ4342"/>
  <c r="AQ4341"/>
  <c r="AQ4340"/>
  <c r="AQ4339"/>
  <c r="AQ4338"/>
  <c r="AQ4337"/>
  <c r="AQ4336"/>
  <c r="AQ4335"/>
  <c r="AQ4334"/>
  <c r="AQ4333"/>
  <c r="AQ4332"/>
  <c r="AQ4331"/>
  <c r="AQ4330"/>
  <c r="AQ4329"/>
  <c r="AQ4328"/>
  <c r="AQ4327"/>
  <c r="AQ4326"/>
  <c r="AQ4325"/>
  <c r="AQ4324"/>
  <c r="AQ4323"/>
  <c r="AQ4322"/>
  <c r="AQ4321"/>
  <c r="AQ4320"/>
  <c r="AQ4319"/>
  <c r="AQ4318"/>
  <c r="AQ4317"/>
  <c r="AQ4316"/>
  <c r="AQ4315"/>
  <c r="AQ4314"/>
  <c r="AQ4313"/>
  <c r="AQ4312"/>
  <c r="AQ4311"/>
  <c r="AQ4310"/>
  <c r="AQ4309"/>
  <c r="AQ4308"/>
  <c r="AQ4307"/>
  <c r="AQ4306"/>
  <c r="AQ4305"/>
  <c r="AQ4304"/>
  <c r="AQ4303"/>
  <c r="AQ4302"/>
  <c r="AQ4301"/>
  <c r="AQ4300"/>
  <c r="AQ4299"/>
  <c r="AQ4298"/>
  <c r="AQ4297"/>
  <c r="AQ4296"/>
  <c r="AQ4295"/>
  <c r="AQ4294"/>
  <c r="AQ4293"/>
  <c r="AQ4292"/>
  <c r="AQ4291"/>
  <c r="AQ4290"/>
  <c r="AQ4289"/>
  <c r="AQ4288"/>
  <c r="AQ4287"/>
  <c r="AQ4286"/>
  <c r="AQ4285"/>
  <c r="AQ4284"/>
  <c r="AQ4283"/>
  <c r="AQ4282"/>
  <c r="AQ4281"/>
  <c r="AQ4280"/>
  <c r="AQ4279"/>
  <c r="AQ4278"/>
  <c r="AQ4277"/>
  <c r="AQ4276"/>
  <c r="AQ4275"/>
  <c r="AQ4274"/>
  <c r="AQ4273"/>
  <c r="AQ4272"/>
  <c r="AQ4271"/>
  <c r="AQ4270"/>
  <c r="AQ4269"/>
  <c r="AQ4268"/>
  <c r="AQ4267"/>
  <c r="AQ4266"/>
  <c r="AQ4265"/>
  <c r="AQ4264"/>
  <c r="AQ4263"/>
  <c r="AQ4262"/>
  <c r="AQ4261"/>
  <c r="AQ4260"/>
  <c r="AQ4259"/>
  <c r="AQ4258"/>
  <c r="AQ4257"/>
  <c r="AQ4256"/>
  <c r="AQ4255"/>
  <c r="AQ4254"/>
  <c r="AQ4253"/>
  <c r="AQ4252"/>
  <c r="AQ4251"/>
  <c r="AQ4250"/>
  <c r="AQ4249"/>
  <c r="AQ4248"/>
  <c r="AQ4247"/>
  <c r="AQ4246"/>
  <c r="AQ4245"/>
  <c r="AQ4244"/>
  <c r="AQ4243"/>
  <c r="AQ4242"/>
  <c r="AQ4241"/>
  <c r="AQ4240"/>
  <c r="AQ4239"/>
  <c r="AQ4238"/>
  <c r="AQ4237"/>
  <c r="AQ4236"/>
  <c r="AQ4235"/>
  <c r="AQ4234"/>
  <c r="AQ4233"/>
  <c r="AQ4232"/>
  <c r="AQ4231"/>
  <c r="AQ4230"/>
  <c r="AQ4229"/>
  <c r="AQ4228"/>
  <c r="AQ4227"/>
  <c r="AQ4226"/>
  <c r="AQ4225"/>
  <c r="AQ4224"/>
  <c r="AQ4223"/>
  <c r="AQ4222"/>
  <c r="AQ4221"/>
  <c r="AQ4220"/>
  <c r="AQ4219"/>
  <c r="AQ4218"/>
  <c r="AQ4217"/>
  <c r="AQ4216"/>
  <c r="AQ4215"/>
  <c r="AQ4214"/>
  <c r="AQ4213"/>
  <c r="AQ4212"/>
  <c r="AQ4211"/>
  <c r="AQ4210"/>
  <c r="AQ4209"/>
  <c r="AQ4208"/>
  <c r="AQ4207"/>
  <c r="AQ4206"/>
  <c r="AQ4205"/>
  <c r="AQ4204"/>
  <c r="AQ4203"/>
  <c r="AQ4202"/>
  <c r="AQ4201"/>
  <c r="AQ4200"/>
  <c r="AQ4199"/>
  <c r="AQ4198"/>
  <c r="AQ4197"/>
  <c r="AQ4196"/>
  <c r="AQ4195"/>
  <c r="AQ4194"/>
  <c r="AQ4193"/>
  <c r="AQ4192"/>
  <c r="AQ4191"/>
  <c r="AQ4190"/>
  <c r="AQ4189"/>
  <c r="AQ4188"/>
  <c r="AQ4187"/>
  <c r="AQ4186"/>
  <c r="AQ4185"/>
  <c r="AQ4184"/>
  <c r="AQ4183"/>
  <c r="AQ4182"/>
  <c r="AQ4181"/>
  <c r="AQ4180"/>
  <c r="AQ4179"/>
  <c r="AQ4178"/>
  <c r="AQ4177"/>
  <c r="AQ4176"/>
  <c r="AQ4175"/>
  <c r="AQ4174"/>
  <c r="AQ4173"/>
  <c r="AQ4172"/>
  <c r="AQ4171"/>
  <c r="AQ4170"/>
  <c r="AQ4169"/>
  <c r="AQ4168"/>
  <c r="AQ4167"/>
  <c r="AQ4166"/>
  <c r="AQ4165"/>
  <c r="AQ4164"/>
  <c r="AQ4163"/>
  <c r="AQ4162"/>
  <c r="AQ4161"/>
  <c r="AQ4160"/>
  <c r="AQ4159"/>
  <c r="AQ4158"/>
  <c r="AQ4157"/>
  <c r="AQ4156"/>
  <c r="AQ4155"/>
  <c r="AQ4154"/>
  <c r="AQ4153"/>
  <c r="AQ4152"/>
  <c r="AQ4151"/>
  <c r="AQ4150"/>
  <c r="AQ4149"/>
  <c r="AQ4148"/>
  <c r="AQ4147"/>
  <c r="AQ4146"/>
  <c r="AQ4145"/>
  <c r="AQ4144"/>
  <c r="AQ4143"/>
  <c r="AQ4142"/>
  <c r="AQ4141"/>
  <c r="AQ4140"/>
  <c r="AQ4139"/>
  <c r="AQ4138"/>
  <c r="AQ4137"/>
  <c r="AQ4136"/>
  <c r="AQ4135"/>
  <c r="AQ4134"/>
  <c r="AQ4133"/>
  <c r="AQ4132"/>
  <c r="AQ4131"/>
  <c r="AQ4130"/>
  <c r="AQ4129"/>
  <c r="AQ4128"/>
  <c r="AQ4127"/>
  <c r="AQ4126"/>
  <c r="AQ4125"/>
  <c r="AQ4124"/>
  <c r="AQ4123"/>
  <c r="AQ4122"/>
  <c r="AQ4121"/>
  <c r="AQ4120"/>
  <c r="AQ4119"/>
  <c r="AQ4118"/>
  <c r="AQ4117"/>
  <c r="AQ4116"/>
  <c r="AQ4115"/>
  <c r="AQ4114"/>
  <c r="AQ4113"/>
  <c r="AQ4112"/>
  <c r="AQ4111"/>
  <c r="AQ4110"/>
  <c r="AQ4109"/>
  <c r="AQ4108"/>
  <c r="AQ4107"/>
  <c r="AQ4106"/>
  <c r="AQ4105"/>
  <c r="AQ4104"/>
  <c r="AQ4103"/>
  <c r="AQ4102"/>
  <c r="AQ4101"/>
  <c r="AQ4100"/>
  <c r="AQ4099"/>
  <c r="AQ4098"/>
  <c r="AQ4097"/>
  <c r="AQ4096"/>
  <c r="AQ4095"/>
  <c r="AQ4094"/>
  <c r="AQ4093"/>
  <c r="AQ4092"/>
  <c r="AQ4091"/>
  <c r="AQ4090"/>
  <c r="AQ4089"/>
  <c r="AQ4088"/>
  <c r="AQ4087"/>
  <c r="AQ4086"/>
  <c r="AQ4085"/>
  <c r="AQ4084"/>
  <c r="AQ4083"/>
  <c r="AQ4082"/>
  <c r="AQ4081"/>
  <c r="AQ4080"/>
  <c r="AQ4079"/>
  <c r="AQ4078"/>
  <c r="AQ4077"/>
  <c r="AQ4076"/>
  <c r="AQ4075"/>
  <c r="AQ4074"/>
  <c r="AQ4073"/>
  <c r="AQ4072"/>
  <c r="AQ4071"/>
  <c r="AQ4070"/>
  <c r="AQ4069"/>
  <c r="AQ4068"/>
  <c r="AQ4067"/>
  <c r="AQ4066"/>
  <c r="AQ4065"/>
  <c r="AQ4064"/>
  <c r="AQ4063"/>
  <c r="AQ4062"/>
  <c r="AQ4061"/>
  <c r="AQ4060"/>
  <c r="AQ4059"/>
  <c r="AQ4058"/>
  <c r="AQ4057"/>
  <c r="AQ4056"/>
  <c r="AQ4055"/>
  <c r="AQ4054"/>
  <c r="AQ4053"/>
  <c r="AQ4052"/>
  <c r="AQ4051"/>
  <c r="AQ4050"/>
  <c r="AQ4049"/>
  <c r="AQ4048"/>
  <c r="AQ4047"/>
  <c r="AQ4046"/>
  <c r="AQ4045"/>
  <c r="AQ4044"/>
  <c r="AQ4043"/>
  <c r="AQ4042"/>
  <c r="AQ4041"/>
  <c r="AQ4040"/>
  <c r="AQ4039"/>
  <c r="AQ4038"/>
  <c r="AQ4037"/>
  <c r="AQ4036"/>
  <c r="AQ4035"/>
  <c r="AQ4034"/>
  <c r="AQ4033"/>
  <c r="AQ4032"/>
  <c r="AQ4031"/>
  <c r="AQ4030"/>
  <c r="AQ4029"/>
  <c r="AQ4028"/>
  <c r="AQ4027"/>
  <c r="AQ4026"/>
  <c r="AQ4025"/>
  <c r="AQ4024"/>
  <c r="AQ4023"/>
  <c r="AQ4022"/>
  <c r="AQ4021"/>
  <c r="AQ4020"/>
  <c r="AQ4019"/>
  <c r="AQ4018"/>
  <c r="AQ4017"/>
  <c r="AQ4016"/>
  <c r="AQ4015"/>
  <c r="AQ4014"/>
  <c r="AQ4013"/>
  <c r="AQ4012"/>
  <c r="AQ4011"/>
  <c r="AQ4010"/>
  <c r="AQ4009"/>
  <c r="AQ4008"/>
  <c r="AQ4007"/>
  <c r="AQ4006"/>
  <c r="AQ4005"/>
  <c r="AQ4004"/>
  <c r="AQ4003"/>
  <c r="AQ4002"/>
  <c r="AQ4001"/>
  <c r="AQ4000"/>
  <c r="AQ3999"/>
  <c r="AQ3998"/>
  <c r="AQ3997"/>
  <c r="AQ3996"/>
  <c r="AQ3995"/>
  <c r="AQ3994"/>
  <c r="AQ3993"/>
  <c r="AQ3992"/>
  <c r="AQ3991"/>
  <c r="AQ3990"/>
  <c r="AQ3989"/>
  <c r="AQ3988"/>
  <c r="AQ3987"/>
  <c r="AQ3986"/>
  <c r="AQ3985"/>
  <c r="AQ3984"/>
  <c r="AQ3983"/>
  <c r="AQ3982"/>
  <c r="AQ3981"/>
  <c r="AQ3980"/>
  <c r="AQ3979"/>
  <c r="AQ3978"/>
  <c r="AQ3977"/>
  <c r="AQ3976"/>
  <c r="AQ3975"/>
  <c r="AQ3974"/>
  <c r="AQ3973"/>
  <c r="AQ3972"/>
  <c r="AQ3971"/>
  <c r="AQ3970"/>
  <c r="AQ3969"/>
  <c r="AQ3968"/>
  <c r="AQ3967"/>
  <c r="AQ3966"/>
  <c r="AQ3965"/>
  <c r="AQ3964"/>
  <c r="AQ3963"/>
  <c r="AQ3962"/>
  <c r="AQ3961"/>
  <c r="AQ3960"/>
  <c r="AQ3959"/>
  <c r="AQ3958"/>
  <c r="AQ3957"/>
  <c r="AQ3956"/>
  <c r="AQ3955"/>
  <c r="AQ3954"/>
  <c r="AQ3953"/>
  <c r="AQ3952"/>
  <c r="AQ3951"/>
  <c r="AQ3950"/>
  <c r="AQ3949"/>
  <c r="AQ3948"/>
  <c r="AQ3947"/>
  <c r="AQ3946"/>
  <c r="AQ3945"/>
  <c r="AQ3944"/>
  <c r="AQ3943"/>
  <c r="AQ3942"/>
  <c r="AQ3941"/>
  <c r="AQ3940"/>
  <c r="AQ3939"/>
  <c r="AQ3938"/>
  <c r="AQ3937"/>
  <c r="AQ3936"/>
  <c r="AQ3935"/>
  <c r="AQ3934"/>
  <c r="AQ3933"/>
  <c r="AQ3932"/>
  <c r="AQ3931"/>
  <c r="AQ3930"/>
  <c r="AQ3929"/>
  <c r="AQ3928"/>
  <c r="AQ3927"/>
  <c r="AQ3926"/>
  <c r="AQ3925"/>
  <c r="AQ3924"/>
  <c r="AQ3923"/>
  <c r="AQ3922"/>
  <c r="AQ3921"/>
  <c r="AQ3920"/>
  <c r="AQ3919"/>
  <c r="AQ3918"/>
  <c r="AQ3917"/>
  <c r="AQ3916"/>
  <c r="AQ3915"/>
  <c r="AQ3914"/>
  <c r="AQ3913"/>
  <c r="AQ3912"/>
  <c r="AQ3911"/>
  <c r="AQ3910"/>
  <c r="AQ3909"/>
  <c r="AQ3908"/>
  <c r="AQ3907"/>
  <c r="AQ3906"/>
  <c r="AQ3905"/>
  <c r="AQ3904"/>
  <c r="AQ3903"/>
  <c r="AQ3902"/>
  <c r="AQ3901"/>
  <c r="AQ3900"/>
  <c r="AQ3899"/>
  <c r="AQ3898"/>
  <c r="AQ3897"/>
  <c r="AQ3896"/>
  <c r="AQ3895"/>
  <c r="AQ3894"/>
  <c r="AQ3893"/>
  <c r="AQ3892"/>
  <c r="AQ3891"/>
  <c r="AQ3890"/>
  <c r="AQ3889"/>
  <c r="AQ3888"/>
  <c r="AQ3887"/>
  <c r="AQ3886"/>
  <c r="AQ3885"/>
  <c r="AQ3884"/>
  <c r="AQ3883"/>
  <c r="AQ3882"/>
  <c r="AQ3881"/>
  <c r="AQ3880"/>
  <c r="AQ3879"/>
  <c r="AQ3878"/>
  <c r="AQ3877"/>
  <c r="AQ3876"/>
  <c r="AQ3875"/>
  <c r="AQ3874"/>
  <c r="AQ3873"/>
  <c r="AQ3872"/>
  <c r="AQ3871"/>
  <c r="AQ3870"/>
  <c r="AQ3869"/>
  <c r="AQ3868"/>
  <c r="AQ3867"/>
  <c r="AQ3866"/>
  <c r="AQ3865"/>
  <c r="AQ3864"/>
  <c r="AQ3863"/>
  <c r="AQ3862"/>
  <c r="AQ3861"/>
  <c r="AQ3860"/>
  <c r="AQ3859"/>
  <c r="AQ3858"/>
  <c r="AQ3857"/>
  <c r="AQ3856"/>
  <c r="AQ3855"/>
  <c r="AQ3854"/>
  <c r="AQ3853"/>
  <c r="AQ3852"/>
  <c r="AQ3851"/>
  <c r="AQ3850"/>
  <c r="AQ3849"/>
  <c r="AQ3848"/>
  <c r="AQ3847"/>
  <c r="AQ3846"/>
  <c r="AQ3845"/>
  <c r="AQ3844"/>
  <c r="AQ3843"/>
  <c r="AQ3842"/>
  <c r="AQ3841"/>
  <c r="AQ3840"/>
  <c r="AQ3839"/>
  <c r="AQ3838"/>
  <c r="AQ3837"/>
  <c r="AQ3836"/>
  <c r="AQ3835"/>
  <c r="AQ3834"/>
  <c r="AQ3833"/>
  <c r="AQ3832"/>
  <c r="AQ3831"/>
  <c r="AQ3830"/>
  <c r="AQ3829"/>
  <c r="AQ3828"/>
  <c r="AQ3827"/>
  <c r="AQ3826"/>
  <c r="AQ3825"/>
  <c r="AQ3824"/>
  <c r="AQ3823"/>
  <c r="AQ3822"/>
  <c r="AQ3821"/>
  <c r="AQ3820"/>
  <c r="AQ3819"/>
  <c r="AQ3818"/>
  <c r="AQ3817"/>
  <c r="AQ3816"/>
  <c r="AQ3815"/>
  <c r="AQ3814"/>
  <c r="AQ3813"/>
  <c r="AQ3812"/>
  <c r="AQ3811"/>
  <c r="AQ3810"/>
  <c r="AQ3809"/>
  <c r="AQ3808"/>
  <c r="AQ3807"/>
  <c r="AQ3806"/>
  <c r="AQ3805"/>
  <c r="AQ3804"/>
  <c r="AQ3803"/>
  <c r="AQ3802"/>
  <c r="AQ3801"/>
  <c r="AQ3800"/>
  <c r="AQ3799"/>
  <c r="AQ3798"/>
  <c r="AQ3797"/>
  <c r="AQ3796"/>
  <c r="AQ3795"/>
  <c r="AQ3794"/>
  <c r="AQ3793"/>
  <c r="AQ3792"/>
  <c r="AQ3791"/>
  <c r="AQ3790"/>
  <c r="AQ3789"/>
  <c r="AQ3788"/>
  <c r="AQ3787"/>
  <c r="AQ3786"/>
  <c r="AQ3785"/>
  <c r="AQ3784"/>
  <c r="AQ3783"/>
  <c r="AQ3782"/>
  <c r="AQ3781"/>
  <c r="AQ3780"/>
  <c r="AQ3779"/>
  <c r="AQ3778"/>
  <c r="AQ3777"/>
  <c r="AQ3776"/>
  <c r="AQ3775"/>
  <c r="AQ3774"/>
  <c r="AQ3773"/>
  <c r="AQ3772"/>
  <c r="AQ3771"/>
  <c r="AQ3770"/>
  <c r="AQ3769"/>
  <c r="AQ3768"/>
  <c r="AQ3767"/>
  <c r="AQ3766"/>
  <c r="AQ3765"/>
  <c r="AQ3764"/>
  <c r="AQ3763"/>
  <c r="AQ3762"/>
  <c r="AQ3761"/>
  <c r="AQ3760"/>
  <c r="AQ3759"/>
  <c r="AQ3758"/>
  <c r="AQ3757"/>
  <c r="AQ3756"/>
  <c r="AQ3755"/>
  <c r="AQ3754"/>
  <c r="AQ3753"/>
  <c r="AQ3752"/>
  <c r="AQ3751"/>
  <c r="AQ3750"/>
  <c r="AQ3749"/>
  <c r="AQ3748"/>
  <c r="AQ3747"/>
  <c r="AQ3746"/>
  <c r="AQ3745"/>
  <c r="AQ3744"/>
  <c r="AQ3743"/>
  <c r="AQ3742"/>
  <c r="AQ3741"/>
  <c r="AQ3740"/>
  <c r="AQ3739"/>
  <c r="AQ3738"/>
  <c r="AQ3737"/>
  <c r="AQ3736"/>
  <c r="AQ3735"/>
  <c r="AQ3734"/>
  <c r="AQ3733"/>
  <c r="AQ3732"/>
  <c r="AQ3731"/>
  <c r="AQ3730"/>
  <c r="AQ3729"/>
  <c r="AQ3728"/>
  <c r="AQ3727"/>
  <c r="AQ3726"/>
  <c r="AQ3725"/>
  <c r="AQ3724"/>
  <c r="AQ3723"/>
  <c r="AQ3722"/>
  <c r="AQ3721"/>
  <c r="AQ3720"/>
  <c r="AQ3719"/>
  <c r="AQ3718"/>
  <c r="AQ3717"/>
  <c r="AQ3716"/>
  <c r="AQ3715"/>
  <c r="AQ3714"/>
  <c r="AQ3713"/>
  <c r="AQ3712"/>
  <c r="AQ3711"/>
  <c r="AQ3710"/>
  <c r="AQ3709"/>
  <c r="AQ3708"/>
  <c r="AQ3707"/>
  <c r="AQ3706"/>
  <c r="AQ3705"/>
  <c r="AQ3704"/>
  <c r="AQ3703"/>
  <c r="AQ3702"/>
  <c r="AQ3701"/>
  <c r="AQ3700"/>
  <c r="AQ3699"/>
  <c r="AQ3698"/>
  <c r="AQ3697"/>
  <c r="AQ3696"/>
  <c r="AQ3695"/>
  <c r="AQ3694"/>
  <c r="AQ3693"/>
  <c r="AQ3692"/>
  <c r="AQ3691"/>
  <c r="AQ3690"/>
  <c r="AQ3689"/>
  <c r="AQ3688"/>
  <c r="AQ3687"/>
  <c r="AQ3686"/>
  <c r="AQ3685"/>
  <c r="AQ3684"/>
  <c r="AQ3683"/>
  <c r="AQ3682"/>
  <c r="AQ3681"/>
  <c r="AQ3680"/>
  <c r="AQ3679"/>
  <c r="AQ3678"/>
  <c r="AQ3677"/>
  <c r="AQ3676"/>
  <c r="AQ3675"/>
  <c r="AQ3674"/>
  <c r="AQ3673"/>
  <c r="AQ3672"/>
  <c r="AQ3671"/>
  <c r="AQ3670"/>
  <c r="AQ3669"/>
  <c r="AQ3668"/>
  <c r="AQ3667"/>
  <c r="AQ3666"/>
  <c r="AQ3665"/>
  <c r="AQ3664"/>
  <c r="AQ3663"/>
  <c r="AQ3662"/>
  <c r="AQ3661"/>
  <c r="AQ3660"/>
  <c r="AQ3659"/>
  <c r="AQ3658"/>
  <c r="AQ3657"/>
  <c r="AQ3656"/>
  <c r="AQ3655"/>
  <c r="AQ3654"/>
  <c r="AQ3653"/>
  <c r="AQ3652"/>
  <c r="AQ3651"/>
  <c r="AQ3650"/>
  <c r="AQ3649"/>
  <c r="AQ3648"/>
  <c r="AQ3647"/>
  <c r="AQ3646"/>
  <c r="AQ3645"/>
  <c r="AQ3644"/>
  <c r="AQ3643"/>
  <c r="AQ3642"/>
  <c r="AQ3641"/>
  <c r="AQ3640"/>
  <c r="AQ3639"/>
  <c r="AQ3638"/>
  <c r="AQ3637"/>
  <c r="AQ3636"/>
  <c r="AQ3635"/>
  <c r="AQ3634"/>
  <c r="AQ3633"/>
  <c r="AQ3632"/>
  <c r="AQ3631"/>
  <c r="AQ3630"/>
  <c r="AQ3629"/>
  <c r="AQ3628"/>
  <c r="AQ3627"/>
  <c r="AQ3626"/>
  <c r="AQ3625"/>
  <c r="AQ3624"/>
  <c r="AQ3623"/>
  <c r="AQ3622"/>
  <c r="AQ3621"/>
  <c r="AQ3620"/>
  <c r="AQ3619"/>
  <c r="AQ3618"/>
  <c r="AQ3617"/>
  <c r="AQ3616"/>
  <c r="AQ3615"/>
  <c r="AQ3614"/>
  <c r="AQ3613"/>
  <c r="AQ3612"/>
  <c r="AQ3611"/>
  <c r="AQ3610"/>
  <c r="AQ3609"/>
  <c r="AQ3608"/>
  <c r="AQ3607"/>
  <c r="AQ3606"/>
  <c r="AQ3605"/>
  <c r="AQ3604"/>
  <c r="AQ3603"/>
  <c r="AQ3602"/>
  <c r="AQ3601"/>
  <c r="AQ3600"/>
  <c r="AQ3599"/>
  <c r="AQ3598"/>
  <c r="AQ3597"/>
  <c r="AQ3596"/>
  <c r="AQ3595"/>
  <c r="AQ3594"/>
  <c r="AQ3593"/>
  <c r="AQ3592"/>
  <c r="AQ3591"/>
  <c r="AQ3590"/>
  <c r="AQ3589"/>
  <c r="AQ3588"/>
  <c r="AQ3587"/>
  <c r="AQ3586"/>
  <c r="AQ3585"/>
  <c r="AQ3584"/>
  <c r="AQ3583"/>
  <c r="AQ3582"/>
  <c r="AQ3581"/>
  <c r="AQ3580"/>
  <c r="AQ3579"/>
  <c r="AQ3578"/>
  <c r="AQ3577"/>
  <c r="AQ3576"/>
  <c r="AQ3575"/>
  <c r="AQ3574"/>
  <c r="AQ3573"/>
  <c r="AQ3572"/>
  <c r="AQ3571"/>
  <c r="AQ3570"/>
  <c r="AQ3569"/>
  <c r="AQ3568"/>
  <c r="AQ3567"/>
  <c r="AQ3566"/>
  <c r="AQ3565"/>
  <c r="AQ3564"/>
  <c r="AQ3563"/>
  <c r="AQ3562"/>
  <c r="AQ3561"/>
  <c r="AQ3560"/>
  <c r="AQ3559"/>
  <c r="AQ3558"/>
  <c r="AQ3557"/>
  <c r="AQ3556"/>
  <c r="AQ3555"/>
  <c r="AQ3554"/>
  <c r="AQ3553"/>
  <c r="AQ3552"/>
  <c r="AQ3551"/>
  <c r="AQ3550"/>
  <c r="AQ3549"/>
  <c r="AQ3548"/>
  <c r="AQ3547"/>
  <c r="AQ3546"/>
  <c r="AQ3545"/>
  <c r="AQ3544"/>
  <c r="AQ3543"/>
  <c r="AQ3542"/>
  <c r="AQ3541"/>
  <c r="AQ3540"/>
  <c r="AQ3539"/>
  <c r="AQ3538"/>
  <c r="AQ3537"/>
  <c r="AQ3536"/>
  <c r="AQ3535"/>
  <c r="AQ3534"/>
  <c r="AQ3533"/>
  <c r="AQ3532"/>
  <c r="AQ3531"/>
  <c r="AQ3530"/>
  <c r="AQ3529"/>
  <c r="AQ3528"/>
  <c r="AQ3527"/>
  <c r="AQ3526"/>
  <c r="AQ3525"/>
  <c r="AQ3524"/>
  <c r="AQ3523"/>
  <c r="AQ3522"/>
  <c r="AQ3521"/>
  <c r="AQ3520"/>
  <c r="AQ3519"/>
  <c r="AQ3518"/>
  <c r="AQ3517"/>
  <c r="AQ3516"/>
  <c r="AQ3515"/>
  <c r="AQ3514"/>
  <c r="AQ3513"/>
  <c r="AQ3512"/>
  <c r="AQ3511"/>
  <c r="AQ3510"/>
  <c r="AQ3509"/>
  <c r="AQ3508"/>
  <c r="AQ3507"/>
  <c r="AQ3506"/>
  <c r="AQ3505"/>
  <c r="AQ3504"/>
  <c r="AQ3503"/>
  <c r="AQ3502"/>
  <c r="AQ3501"/>
  <c r="AQ3500"/>
  <c r="AQ3499"/>
  <c r="AQ3498"/>
  <c r="AQ3497"/>
  <c r="AQ3496"/>
  <c r="AQ3495"/>
  <c r="AQ3494"/>
  <c r="AQ3493"/>
  <c r="AQ3492"/>
  <c r="AQ3491"/>
  <c r="AQ3490"/>
  <c r="AQ3489"/>
  <c r="AQ3488"/>
  <c r="AQ3487"/>
  <c r="AQ3486"/>
  <c r="AQ3485"/>
  <c r="AQ3484"/>
  <c r="AQ3483"/>
  <c r="AQ3482"/>
  <c r="AQ3481"/>
  <c r="AQ3480"/>
  <c r="AQ3479"/>
  <c r="AQ3478"/>
  <c r="AQ3477"/>
  <c r="AQ3476"/>
  <c r="AQ3475"/>
  <c r="AQ3474"/>
  <c r="AQ3473"/>
  <c r="AQ3472"/>
  <c r="AQ3471"/>
  <c r="AQ3470"/>
  <c r="AQ3469"/>
  <c r="AQ3468"/>
  <c r="AQ3467"/>
  <c r="AQ3466"/>
  <c r="AQ3465"/>
  <c r="AQ3464"/>
  <c r="AQ3463"/>
  <c r="AQ3462"/>
  <c r="AQ3461"/>
  <c r="AQ3460"/>
  <c r="AQ3459"/>
  <c r="AQ3458"/>
  <c r="AQ3457"/>
  <c r="AQ3456"/>
  <c r="AQ3455"/>
  <c r="AQ3454"/>
  <c r="AQ3453"/>
  <c r="AQ3452"/>
  <c r="AQ3451"/>
  <c r="AQ3450"/>
  <c r="AQ3449"/>
  <c r="AQ3448"/>
  <c r="AQ3447"/>
  <c r="AQ3446"/>
  <c r="AQ3445"/>
  <c r="AQ3444"/>
  <c r="AQ3443"/>
  <c r="AQ3442"/>
  <c r="AQ3441"/>
  <c r="AQ3440"/>
  <c r="AQ3439"/>
  <c r="AQ3438"/>
  <c r="AQ3437"/>
  <c r="AQ3436"/>
  <c r="AQ3435"/>
  <c r="AQ3434"/>
  <c r="AQ3433"/>
  <c r="AQ3432"/>
  <c r="AQ3431"/>
  <c r="AQ3430"/>
  <c r="AQ3429"/>
  <c r="AQ3428"/>
  <c r="AQ3427"/>
  <c r="AQ3426"/>
  <c r="AQ3425"/>
  <c r="AQ3424"/>
  <c r="AQ3423"/>
  <c r="AQ3422"/>
  <c r="AQ3421"/>
  <c r="AQ3420"/>
  <c r="AQ3419"/>
  <c r="AQ3418"/>
  <c r="AQ3417"/>
  <c r="AQ3416"/>
  <c r="AQ3415"/>
  <c r="AQ3414"/>
  <c r="AQ3413"/>
  <c r="AQ3412"/>
  <c r="AQ3411"/>
  <c r="AQ3410"/>
  <c r="AQ3409"/>
  <c r="AQ3408"/>
  <c r="AQ3407"/>
  <c r="AQ3406"/>
  <c r="AQ3405"/>
  <c r="AQ3404"/>
  <c r="AQ3403"/>
  <c r="AQ3402"/>
  <c r="AQ3401"/>
  <c r="AQ3400"/>
  <c r="AQ3399"/>
  <c r="AQ3398"/>
  <c r="AQ3397"/>
  <c r="AQ3396"/>
  <c r="AQ3395"/>
  <c r="AQ3394"/>
  <c r="AQ3393"/>
  <c r="AQ3392"/>
  <c r="AQ3391"/>
  <c r="AQ3390"/>
  <c r="AQ3389"/>
  <c r="AQ3388"/>
  <c r="AQ3387"/>
  <c r="AQ3386"/>
  <c r="AQ3385"/>
  <c r="AQ3384"/>
  <c r="AQ3383"/>
  <c r="AQ3382"/>
  <c r="AQ3381"/>
  <c r="AQ3380"/>
  <c r="AQ3379"/>
  <c r="AQ3378"/>
  <c r="AQ3377"/>
  <c r="AQ3376"/>
  <c r="AQ3375"/>
  <c r="AQ3374"/>
  <c r="AQ3373"/>
  <c r="AQ3372"/>
  <c r="AQ3371"/>
  <c r="AQ3370"/>
  <c r="AQ3369"/>
  <c r="AQ3368"/>
  <c r="AQ3367"/>
  <c r="AQ3366"/>
  <c r="AQ3365"/>
  <c r="AQ3364"/>
  <c r="AQ3363"/>
  <c r="AQ3362"/>
  <c r="AQ3361"/>
  <c r="AQ3360"/>
  <c r="AQ3359"/>
  <c r="AQ3358"/>
  <c r="AQ3357"/>
  <c r="AQ3356"/>
  <c r="AQ3355"/>
  <c r="AQ3354"/>
  <c r="AQ3353"/>
  <c r="AQ3352"/>
  <c r="AQ3351"/>
  <c r="AQ3350"/>
  <c r="AQ3349"/>
  <c r="AQ3348"/>
  <c r="AQ3347"/>
  <c r="AQ3346"/>
  <c r="AQ3345"/>
  <c r="AQ3344"/>
  <c r="AQ3343"/>
  <c r="AQ3342"/>
  <c r="AQ3341"/>
  <c r="AQ3340"/>
  <c r="AQ3339"/>
  <c r="AQ3338"/>
  <c r="AQ3337"/>
  <c r="AQ3336"/>
  <c r="AQ3335"/>
  <c r="AQ3334"/>
  <c r="AQ3333"/>
  <c r="AQ3332"/>
  <c r="AQ3331"/>
  <c r="AQ3330"/>
  <c r="AQ3329"/>
  <c r="AQ3328"/>
  <c r="AQ3327"/>
  <c r="AQ3326"/>
  <c r="AQ3325"/>
  <c r="AQ3324"/>
  <c r="AQ3323"/>
  <c r="AQ3322"/>
  <c r="AQ3321"/>
  <c r="AQ3320"/>
  <c r="AQ3319"/>
  <c r="AQ3318"/>
  <c r="AQ3317"/>
  <c r="AQ3316"/>
  <c r="AQ3315"/>
  <c r="AQ3314"/>
  <c r="AQ3313"/>
  <c r="AQ3312"/>
  <c r="AQ3311"/>
  <c r="AQ3310"/>
  <c r="AQ3309"/>
  <c r="AQ3308"/>
  <c r="AQ3307"/>
  <c r="AQ3306"/>
  <c r="AQ3305"/>
  <c r="AQ3304"/>
  <c r="AQ3303"/>
  <c r="AQ3302"/>
  <c r="AQ3301"/>
  <c r="AQ3300"/>
  <c r="AQ3299"/>
  <c r="AQ3298"/>
  <c r="AQ3297"/>
  <c r="AQ3296"/>
  <c r="AQ3295"/>
  <c r="AQ3294"/>
  <c r="AQ3293"/>
  <c r="AQ3292"/>
  <c r="AQ3291"/>
  <c r="AQ3290"/>
  <c r="AQ3289"/>
  <c r="AQ3288"/>
  <c r="AQ3287"/>
  <c r="AQ3286"/>
  <c r="AQ3285"/>
  <c r="AQ3284"/>
  <c r="AQ3283"/>
  <c r="AQ3282"/>
  <c r="AQ3281"/>
  <c r="AQ3280"/>
  <c r="AQ3279"/>
  <c r="AQ3278"/>
  <c r="AQ3277"/>
  <c r="AQ3276"/>
  <c r="AQ3275"/>
  <c r="AQ3274"/>
  <c r="AQ3273"/>
  <c r="AQ3272"/>
  <c r="AQ3271"/>
  <c r="AQ3270"/>
  <c r="AQ3269"/>
  <c r="AQ3268"/>
  <c r="AQ3267"/>
  <c r="AQ3266"/>
  <c r="AQ3265"/>
  <c r="AQ3264"/>
  <c r="AQ3263"/>
  <c r="AQ3262"/>
  <c r="AQ3261"/>
  <c r="AQ3260"/>
  <c r="AQ3259"/>
  <c r="AQ3258"/>
  <c r="AQ3257"/>
  <c r="AQ3256"/>
  <c r="AQ3255"/>
  <c r="AQ3254"/>
  <c r="AQ3253"/>
  <c r="AQ3252"/>
  <c r="AQ3251"/>
  <c r="AQ3250"/>
  <c r="AQ3249"/>
  <c r="AQ3248"/>
  <c r="AQ3247"/>
  <c r="AQ3246"/>
  <c r="AQ3245"/>
  <c r="AQ3244"/>
  <c r="AQ3243"/>
  <c r="AQ3242"/>
  <c r="AQ3241"/>
  <c r="AQ3240"/>
  <c r="AQ3239"/>
  <c r="AQ3238"/>
  <c r="AQ3237"/>
  <c r="AQ3236"/>
  <c r="AQ3235"/>
  <c r="AQ3234"/>
  <c r="AQ3233"/>
  <c r="AQ3232"/>
  <c r="AQ3231"/>
  <c r="AQ3230"/>
  <c r="AQ3229"/>
  <c r="AQ3228"/>
  <c r="AQ3227"/>
  <c r="AQ3226"/>
  <c r="AQ3225"/>
  <c r="AQ3224"/>
  <c r="AQ3223"/>
  <c r="AQ3222"/>
  <c r="AQ3221"/>
  <c r="AQ3220"/>
  <c r="AQ3219"/>
  <c r="AQ3218"/>
  <c r="AQ3217"/>
  <c r="AQ3216"/>
  <c r="AQ3215"/>
  <c r="AQ3214"/>
  <c r="AQ3213"/>
  <c r="AQ3212"/>
  <c r="AQ3211"/>
  <c r="AQ3210"/>
  <c r="AQ3209"/>
  <c r="AQ3208"/>
  <c r="AQ3207"/>
  <c r="AQ3206"/>
  <c r="AQ3205"/>
  <c r="AQ3204"/>
  <c r="AQ3203"/>
  <c r="AQ3202"/>
  <c r="AQ3201"/>
  <c r="AQ3200"/>
  <c r="AQ3199"/>
  <c r="AQ3198"/>
  <c r="AQ3197"/>
  <c r="AQ3196"/>
  <c r="AQ3195"/>
  <c r="AQ3194"/>
  <c r="AQ3193"/>
  <c r="AQ3192"/>
  <c r="AQ3191"/>
  <c r="AQ3190"/>
  <c r="AQ3189"/>
  <c r="AQ3188"/>
  <c r="AQ3187"/>
  <c r="AQ3186"/>
  <c r="AQ3185"/>
  <c r="AQ3184"/>
  <c r="AQ3183"/>
  <c r="AQ3182"/>
  <c r="AQ3181"/>
  <c r="AQ3180"/>
  <c r="AQ3179"/>
  <c r="AQ3178"/>
  <c r="AQ3177"/>
  <c r="AQ3176"/>
  <c r="AQ3175"/>
  <c r="AQ3174"/>
  <c r="AQ3173"/>
  <c r="AQ3172"/>
  <c r="AQ3171"/>
  <c r="AQ3170"/>
  <c r="AQ3169"/>
  <c r="AQ3168"/>
  <c r="AQ3167"/>
  <c r="AQ3166"/>
  <c r="AQ3165"/>
  <c r="AQ3164"/>
  <c r="AQ3163"/>
  <c r="AQ3162"/>
  <c r="AQ3161"/>
  <c r="AQ3160"/>
  <c r="AQ3159"/>
  <c r="AQ3158"/>
  <c r="AQ3157"/>
  <c r="AQ3156"/>
  <c r="AQ3155"/>
  <c r="AQ3154"/>
  <c r="AQ3153"/>
  <c r="AQ3152"/>
  <c r="AQ3151"/>
  <c r="AQ3150"/>
  <c r="AQ3149"/>
  <c r="AQ3148"/>
  <c r="AQ3147"/>
  <c r="AQ3146"/>
  <c r="AQ3145"/>
  <c r="AQ3144"/>
  <c r="AQ3143"/>
  <c r="AQ3142"/>
  <c r="AQ3141"/>
  <c r="AQ3140"/>
  <c r="AQ3139"/>
  <c r="AQ3138"/>
  <c r="AQ3137"/>
  <c r="AQ3136"/>
  <c r="AQ3135"/>
  <c r="AQ3134"/>
  <c r="AQ3133"/>
  <c r="AQ3132"/>
  <c r="AQ3131"/>
  <c r="AQ3130"/>
  <c r="AQ3129"/>
  <c r="AQ3128"/>
  <c r="AQ3127"/>
  <c r="AQ3126"/>
  <c r="AQ3125"/>
  <c r="AQ3124"/>
  <c r="AQ3123"/>
  <c r="AQ3122"/>
  <c r="AQ3121"/>
  <c r="AQ3120"/>
  <c r="AQ3119"/>
  <c r="AQ3118"/>
  <c r="AQ3117"/>
  <c r="AQ3116"/>
  <c r="AQ3115"/>
  <c r="AQ3114"/>
  <c r="AQ3113"/>
  <c r="AQ3112"/>
  <c r="AQ3111"/>
  <c r="AQ3110"/>
  <c r="AQ3109"/>
  <c r="AQ3108"/>
  <c r="AQ3107"/>
  <c r="AQ3106"/>
  <c r="AQ3105"/>
  <c r="AQ3104"/>
  <c r="AQ3103"/>
  <c r="AQ3102"/>
  <c r="AQ3101"/>
  <c r="AQ3100"/>
  <c r="AQ3099"/>
  <c r="AQ3098"/>
  <c r="AQ3097"/>
  <c r="AQ3096"/>
  <c r="AQ3095"/>
  <c r="AQ3094"/>
  <c r="AQ3093"/>
  <c r="AQ3092"/>
  <c r="AQ3091"/>
  <c r="AQ3090"/>
  <c r="AQ3089"/>
  <c r="AQ3088"/>
  <c r="AQ3087"/>
  <c r="AQ3086"/>
  <c r="AQ3085"/>
  <c r="AQ3084"/>
  <c r="AQ3083"/>
  <c r="AQ3082"/>
  <c r="AQ3081"/>
  <c r="AQ3080"/>
  <c r="AQ3079"/>
  <c r="AQ3078"/>
  <c r="AQ3077"/>
  <c r="AQ3076"/>
  <c r="AQ3075"/>
  <c r="AQ3074"/>
  <c r="AQ3073"/>
  <c r="AQ3072"/>
  <c r="AQ3071"/>
  <c r="AQ3070"/>
  <c r="AQ3069"/>
  <c r="AQ3068"/>
  <c r="AQ3067"/>
  <c r="AQ3066"/>
  <c r="AQ3065"/>
  <c r="AQ3064"/>
  <c r="AQ3063"/>
  <c r="AQ3062"/>
  <c r="AQ3061"/>
  <c r="AQ3060"/>
  <c r="AQ3059"/>
  <c r="AQ3058"/>
  <c r="AQ3057"/>
  <c r="AQ3056"/>
  <c r="AQ3055"/>
  <c r="AQ3054"/>
  <c r="AQ3053"/>
  <c r="AQ3052"/>
  <c r="AQ3051"/>
  <c r="AQ3050"/>
  <c r="AQ3049"/>
  <c r="AQ3048"/>
  <c r="AQ3047"/>
  <c r="AQ3046"/>
  <c r="AQ3045"/>
  <c r="AQ3044"/>
  <c r="AQ3043"/>
  <c r="AQ3042"/>
  <c r="AQ3041"/>
  <c r="AQ3040"/>
  <c r="AQ3039"/>
  <c r="AQ3038"/>
  <c r="AQ3037"/>
  <c r="AQ3036"/>
  <c r="AQ3035"/>
  <c r="AQ3034"/>
  <c r="AQ3033"/>
  <c r="AQ3032"/>
  <c r="AQ3031"/>
  <c r="AQ3030"/>
  <c r="AQ3029"/>
  <c r="AQ3028"/>
  <c r="AQ3027"/>
  <c r="AQ3026"/>
  <c r="AQ3025"/>
  <c r="AQ3024"/>
  <c r="AQ3023"/>
  <c r="AQ3022"/>
  <c r="AQ3021"/>
  <c r="AQ3020"/>
  <c r="AQ3019"/>
  <c r="AQ3018"/>
  <c r="AQ3017"/>
  <c r="AQ3016"/>
  <c r="AQ3015"/>
  <c r="AQ3014"/>
  <c r="AQ3013"/>
  <c r="AQ3012"/>
  <c r="AQ3011"/>
  <c r="AQ3010"/>
  <c r="AQ3009"/>
  <c r="AQ3008"/>
  <c r="AQ3007"/>
  <c r="AQ3006"/>
  <c r="AQ3005"/>
  <c r="AQ3004"/>
  <c r="AQ3003"/>
  <c r="AQ3002"/>
  <c r="AQ3001"/>
  <c r="AQ3000"/>
  <c r="AQ2999"/>
  <c r="AQ2998"/>
  <c r="AQ2997"/>
  <c r="AQ2996"/>
  <c r="AQ2995"/>
  <c r="AQ2994"/>
  <c r="AQ2993"/>
  <c r="AQ2992"/>
  <c r="AQ2991"/>
  <c r="AQ2990"/>
  <c r="AQ2989"/>
  <c r="AQ2988"/>
  <c r="AQ2987"/>
  <c r="AQ2986"/>
  <c r="AQ2985"/>
  <c r="AQ2984"/>
  <c r="AQ2983"/>
  <c r="AQ2982"/>
  <c r="AQ2981"/>
  <c r="AQ2980"/>
  <c r="AQ2979"/>
  <c r="AQ2978"/>
  <c r="AQ2977"/>
  <c r="AQ2976"/>
  <c r="AQ2975"/>
  <c r="AQ2974"/>
  <c r="AQ2973"/>
  <c r="AQ2972"/>
  <c r="AQ2971"/>
  <c r="AQ2970"/>
  <c r="AQ2969"/>
  <c r="AQ2968"/>
  <c r="AQ2967"/>
  <c r="AQ2966"/>
  <c r="AQ2965"/>
  <c r="AQ2964"/>
  <c r="AQ2963"/>
  <c r="AQ2962"/>
  <c r="AQ2961"/>
  <c r="AQ2960"/>
  <c r="AQ2959"/>
  <c r="AQ2958"/>
  <c r="AQ2957"/>
  <c r="AQ2956"/>
  <c r="AQ2955"/>
  <c r="AQ2954"/>
  <c r="AQ2953"/>
  <c r="AQ2952"/>
  <c r="AQ2951"/>
  <c r="AQ2950"/>
  <c r="AQ2949"/>
  <c r="AQ2948"/>
  <c r="AQ2947"/>
  <c r="AQ2946"/>
  <c r="AQ2945"/>
  <c r="AQ2944"/>
  <c r="AQ2943"/>
  <c r="AQ2942"/>
  <c r="AQ2941"/>
  <c r="AQ2940"/>
  <c r="AQ2939"/>
  <c r="AQ2938"/>
  <c r="AQ2937"/>
  <c r="AQ2936"/>
  <c r="AQ2935"/>
  <c r="AQ2934"/>
  <c r="AQ2933"/>
  <c r="AQ2932"/>
  <c r="AQ2931"/>
  <c r="AQ2930"/>
  <c r="AQ2929"/>
  <c r="AQ2928"/>
  <c r="AQ2927"/>
  <c r="AQ2926"/>
  <c r="AQ2925"/>
  <c r="AQ2924"/>
  <c r="AQ2923"/>
  <c r="AQ2922"/>
  <c r="AQ2921"/>
  <c r="AQ2920"/>
  <c r="AQ2919"/>
  <c r="AQ2918"/>
  <c r="AQ2917"/>
  <c r="AQ2916"/>
  <c r="AQ2915"/>
  <c r="AQ2914"/>
  <c r="AQ2913"/>
  <c r="AQ2912"/>
  <c r="AQ2911"/>
  <c r="AQ2910"/>
  <c r="AQ2909"/>
  <c r="AQ2908"/>
  <c r="AQ2907"/>
  <c r="AQ2906"/>
  <c r="AQ2905"/>
  <c r="AQ2904"/>
  <c r="AQ2903"/>
  <c r="AQ2902"/>
  <c r="AQ2901"/>
  <c r="AQ2900"/>
  <c r="AQ2899"/>
  <c r="AQ2898"/>
  <c r="AQ2897"/>
  <c r="AQ2896"/>
  <c r="AQ2895"/>
  <c r="AQ2894"/>
  <c r="AQ2893"/>
  <c r="AQ2892"/>
  <c r="AQ2891"/>
  <c r="AQ2890"/>
  <c r="AQ2889"/>
  <c r="AQ2888"/>
  <c r="AQ2887"/>
  <c r="AQ2886"/>
  <c r="AQ2885"/>
  <c r="AQ2884"/>
  <c r="AQ2883"/>
  <c r="AQ2882"/>
  <c r="AQ2881"/>
  <c r="AQ2880"/>
  <c r="AQ2879"/>
  <c r="AQ2878"/>
  <c r="AQ2877"/>
  <c r="AQ2876"/>
  <c r="AQ2875"/>
  <c r="AQ2874"/>
  <c r="AQ2873"/>
  <c r="AQ2872"/>
  <c r="AQ2871"/>
  <c r="AQ2870"/>
  <c r="AQ2869"/>
  <c r="AQ2868"/>
  <c r="AQ2867"/>
  <c r="AQ2866"/>
  <c r="AQ2865"/>
  <c r="AQ2864"/>
  <c r="AQ2863"/>
  <c r="AQ2862"/>
  <c r="AQ2861"/>
  <c r="AQ2860"/>
  <c r="AQ2859"/>
  <c r="AQ2858"/>
  <c r="AQ2857"/>
  <c r="AQ2856"/>
  <c r="AQ2855"/>
  <c r="AQ2854"/>
  <c r="AQ2853"/>
  <c r="AQ2852"/>
  <c r="AQ2851"/>
  <c r="AQ2850"/>
  <c r="AQ2849"/>
  <c r="AQ2848"/>
  <c r="AQ2847"/>
  <c r="AQ2846"/>
  <c r="AQ2845"/>
  <c r="AQ2844"/>
  <c r="AQ2843"/>
  <c r="AQ2842"/>
  <c r="AQ2841"/>
  <c r="AQ2840"/>
  <c r="AQ2839"/>
  <c r="AQ2838"/>
  <c r="AQ2837"/>
  <c r="AQ2836"/>
  <c r="AQ2835"/>
  <c r="AQ2834"/>
  <c r="AQ2833"/>
  <c r="AQ2832"/>
  <c r="AQ2831"/>
  <c r="AQ2830"/>
  <c r="AQ2829"/>
  <c r="AQ2828"/>
  <c r="AQ2827"/>
  <c r="AQ2826"/>
  <c r="AQ2825"/>
  <c r="AQ2824"/>
  <c r="AQ2823"/>
  <c r="AQ2822"/>
  <c r="AQ2821"/>
  <c r="AQ2820"/>
  <c r="AQ2819"/>
  <c r="AQ2818"/>
  <c r="AQ2817"/>
  <c r="AQ2816"/>
  <c r="AQ2815"/>
  <c r="AQ2814"/>
  <c r="AQ2813"/>
  <c r="AQ2812"/>
  <c r="AQ2811"/>
  <c r="AQ2810"/>
  <c r="AQ2809"/>
  <c r="AQ2808"/>
  <c r="AQ2807"/>
  <c r="AQ2806"/>
  <c r="AQ2805"/>
  <c r="AQ2804"/>
  <c r="AQ2803"/>
  <c r="AQ2802"/>
  <c r="AQ2801"/>
  <c r="AQ2800"/>
  <c r="AQ2799"/>
  <c r="AQ2798"/>
  <c r="AQ2797"/>
  <c r="AQ2796"/>
  <c r="AQ2795"/>
  <c r="AQ2794"/>
  <c r="AQ2793"/>
  <c r="AQ2792"/>
  <c r="AQ2791"/>
  <c r="AQ2790"/>
  <c r="AQ2789"/>
  <c r="AQ2788"/>
  <c r="AQ2787"/>
  <c r="AQ2786"/>
  <c r="AQ2785"/>
  <c r="AQ2784"/>
  <c r="AQ2783"/>
  <c r="AQ2782"/>
  <c r="AQ2781"/>
  <c r="AQ2780"/>
  <c r="AQ2779"/>
  <c r="AQ2778"/>
  <c r="AQ2777"/>
  <c r="AQ2776"/>
  <c r="AQ2775"/>
  <c r="AQ2774"/>
  <c r="AQ2773"/>
  <c r="AQ2772"/>
  <c r="AQ2771"/>
  <c r="AQ2770"/>
  <c r="AQ2769"/>
  <c r="AQ2768"/>
  <c r="AQ2767"/>
  <c r="AQ2766"/>
  <c r="AQ2765"/>
  <c r="AQ2764"/>
  <c r="AQ2763"/>
  <c r="AQ2762"/>
  <c r="AQ2761"/>
  <c r="AQ2760"/>
  <c r="AQ2759"/>
  <c r="AQ2758"/>
  <c r="AQ2757"/>
  <c r="AQ2756"/>
  <c r="AQ2755"/>
  <c r="AQ2754"/>
  <c r="AQ2753"/>
  <c r="AQ2752"/>
  <c r="AQ2751"/>
  <c r="AQ2750"/>
  <c r="AQ2749"/>
  <c r="AQ2748"/>
  <c r="AQ2747"/>
  <c r="AQ2746"/>
  <c r="AQ2745"/>
  <c r="AQ2744"/>
  <c r="AQ2743"/>
  <c r="AQ2742"/>
  <c r="AQ2741"/>
  <c r="AQ2740"/>
  <c r="AQ2739"/>
  <c r="AQ2738"/>
  <c r="AQ2737"/>
  <c r="AQ2736"/>
  <c r="AQ2735"/>
  <c r="AQ2734"/>
  <c r="AQ2733"/>
  <c r="AQ2732"/>
  <c r="AQ2731"/>
  <c r="AQ2730"/>
  <c r="AQ2729"/>
  <c r="AQ2728"/>
  <c r="AQ2727"/>
  <c r="AQ2726"/>
  <c r="AQ2725"/>
  <c r="AQ2724"/>
  <c r="AQ2723"/>
  <c r="AQ2722"/>
  <c r="AQ2721"/>
  <c r="AQ2720"/>
  <c r="AQ2719"/>
  <c r="AQ2718"/>
  <c r="AQ2717"/>
  <c r="AQ2716"/>
  <c r="AQ2715"/>
  <c r="AQ2714"/>
  <c r="AQ2713"/>
  <c r="AQ2712"/>
  <c r="AQ2711"/>
  <c r="AQ2710"/>
  <c r="AQ2709"/>
  <c r="AQ2708"/>
  <c r="AQ2707"/>
  <c r="AQ2706"/>
  <c r="AQ2705"/>
  <c r="AQ2704"/>
  <c r="AQ2703"/>
  <c r="AQ2702"/>
  <c r="AQ2701"/>
  <c r="AQ2700"/>
  <c r="AQ2699"/>
  <c r="AQ2698"/>
  <c r="AQ2697"/>
  <c r="AQ2696"/>
  <c r="AQ2695"/>
  <c r="AQ2694"/>
  <c r="AQ2693"/>
  <c r="AQ2692"/>
  <c r="AQ2691"/>
  <c r="AQ2690"/>
  <c r="AQ2689"/>
  <c r="AQ2688"/>
  <c r="AQ2687"/>
  <c r="AQ2686"/>
  <c r="AQ2685"/>
  <c r="AQ2684"/>
  <c r="AQ2683"/>
  <c r="AQ2682"/>
  <c r="AQ2681"/>
  <c r="AQ2680"/>
  <c r="AQ2679"/>
  <c r="AQ2678"/>
  <c r="AQ2677"/>
  <c r="AQ2676"/>
  <c r="AQ2675"/>
  <c r="AQ2674"/>
  <c r="AQ2673"/>
  <c r="AQ2672"/>
  <c r="AQ2671"/>
  <c r="AQ2670"/>
  <c r="AQ2669"/>
  <c r="AQ2668"/>
  <c r="AQ2667"/>
  <c r="AQ2666"/>
  <c r="AQ2665"/>
  <c r="AQ2664"/>
  <c r="AQ2663"/>
  <c r="AQ2662"/>
  <c r="AQ2661"/>
  <c r="AQ2660"/>
  <c r="AQ2659"/>
  <c r="AQ2658"/>
  <c r="AQ2657"/>
  <c r="AQ2656"/>
  <c r="AQ2655"/>
  <c r="AQ2654"/>
  <c r="AQ2653"/>
  <c r="AQ2652"/>
  <c r="AQ2651"/>
  <c r="AQ2650"/>
  <c r="AQ2649"/>
  <c r="AQ2648"/>
  <c r="AQ2647"/>
  <c r="AQ2646"/>
  <c r="AQ2645"/>
  <c r="AQ2644"/>
  <c r="AQ2643"/>
  <c r="AQ2642"/>
  <c r="AQ2641"/>
  <c r="AQ2640"/>
  <c r="AQ2639"/>
  <c r="AQ2638"/>
  <c r="AQ2637"/>
  <c r="AQ2636"/>
  <c r="AQ2635"/>
  <c r="AQ2634"/>
  <c r="AQ2633"/>
  <c r="AQ2632"/>
  <c r="AQ2631"/>
  <c r="AQ2630"/>
  <c r="AQ2629"/>
  <c r="AQ2628"/>
  <c r="AQ2627"/>
  <c r="AQ2626"/>
  <c r="AQ2625"/>
  <c r="AQ2624"/>
  <c r="AQ2623"/>
  <c r="AQ2622"/>
  <c r="AQ2621"/>
  <c r="AQ2620"/>
  <c r="AQ2619"/>
  <c r="AQ2618"/>
  <c r="AQ2617"/>
  <c r="AQ2616"/>
  <c r="AQ2615"/>
  <c r="AQ2614"/>
  <c r="AQ2613"/>
  <c r="AQ2612"/>
  <c r="AQ2611"/>
  <c r="AQ2610"/>
  <c r="AQ2609"/>
  <c r="AQ2608"/>
  <c r="AQ2607"/>
  <c r="AQ2606"/>
  <c r="AQ2605"/>
  <c r="AQ2604"/>
  <c r="AQ2603"/>
  <c r="AQ2602"/>
  <c r="AQ2601"/>
  <c r="AQ2600"/>
  <c r="AQ2599"/>
  <c r="AQ2598"/>
  <c r="AQ2597"/>
  <c r="AQ2596"/>
  <c r="AQ2595"/>
  <c r="AQ2594"/>
  <c r="AQ2593"/>
  <c r="AQ2592"/>
  <c r="AQ2591"/>
  <c r="AQ2590"/>
  <c r="AQ2589"/>
  <c r="AQ2588"/>
  <c r="AQ2587"/>
  <c r="AQ2586"/>
  <c r="AQ2585"/>
  <c r="AQ2584"/>
  <c r="AQ2583"/>
  <c r="AQ2582"/>
  <c r="AQ2581"/>
  <c r="AQ2580"/>
  <c r="AQ2579"/>
  <c r="AQ2578"/>
  <c r="AQ2577"/>
  <c r="AQ2576"/>
  <c r="AQ2575"/>
  <c r="AQ2574"/>
  <c r="AQ2573"/>
  <c r="AQ2572"/>
  <c r="AQ2571"/>
  <c r="AQ2570"/>
  <c r="AQ2569"/>
  <c r="AQ2568"/>
  <c r="AQ2567"/>
  <c r="AQ2566"/>
  <c r="AQ2565"/>
  <c r="AQ2564"/>
  <c r="AQ2563"/>
  <c r="AQ2562"/>
  <c r="AQ2561"/>
  <c r="AQ2560"/>
  <c r="AQ2559"/>
  <c r="AQ2558"/>
  <c r="AQ2557"/>
  <c r="AQ2556"/>
  <c r="AQ2555"/>
  <c r="AQ2554"/>
  <c r="AQ2553"/>
  <c r="AQ2552"/>
  <c r="AQ2551"/>
  <c r="AQ2550"/>
  <c r="AQ2549"/>
  <c r="AQ2548"/>
  <c r="AQ2547"/>
  <c r="AQ2546"/>
  <c r="AQ2545"/>
  <c r="AQ2544"/>
  <c r="AQ2543"/>
  <c r="AQ2542"/>
  <c r="AQ2541"/>
  <c r="AQ2540"/>
  <c r="AQ2539"/>
  <c r="AQ2538"/>
  <c r="AQ2537"/>
  <c r="AQ2536"/>
  <c r="AQ2535"/>
  <c r="AQ2534"/>
  <c r="AQ2533"/>
  <c r="AQ2532"/>
  <c r="AQ2531"/>
  <c r="AQ2530"/>
  <c r="AQ2529"/>
  <c r="AQ2528"/>
  <c r="AQ2527"/>
  <c r="AQ2526"/>
  <c r="AQ2525"/>
  <c r="AQ2524"/>
  <c r="AQ2523"/>
  <c r="AQ2522"/>
  <c r="AQ2521"/>
  <c r="AQ2520"/>
  <c r="AQ2519"/>
  <c r="AQ2518"/>
  <c r="AQ2517"/>
  <c r="AQ2516"/>
  <c r="AQ2515"/>
  <c r="AQ2514"/>
  <c r="AQ2513"/>
  <c r="AQ2512"/>
  <c r="AQ2511"/>
  <c r="AQ2510"/>
  <c r="AQ2509"/>
  <c r="AQ2508"/>
  <c r="AQ2507"/>
  <c r="AQ2506"/>
  <c r="AQ2505"/>
  <c r="AQ2504"/>
  <c r="AQ2503"/>
  <c r="AQ2502"/>
  <c r="AQ2501"/>
  <c r="AQ2500"/>
  <c r="AQ2499"/>
  <c r="AQ2498"/>
  <c r="AQ2497"/>
  <c r="AQ2496"/>
  <c r="AQ2495"/>
  <c r="AQ2494"/>
  <c r="AQ2493"/>
  <c r="AQ2492"/>
  <c r="AQ2491"/>
  <c r="AQ2490"/>
  <c r="AQ2489"/>
  <c r="AQ2488"/>
  <c r="AQ2487"/>
  <c r="AQ2486"/>
  <c r="AQ2485"/>
  <c r="AQ2484"/>
  <c r="AQ2483"/>
  <c r="AQ2482"/>
  <c r="AQ2481"/>
  <c r="AQ2480"/>
  <c r="AQ2479"/>
  <c r="AQ2478"/>
  <c r="AQ2477"/>
  <c r="AQ2476"/>
  <c r="AQ2475"/>
  <c r="AQ2474"/>
  <c r="AQ2473"/>
  <c r="AQ2472"/>
  <c r="AQ2471"/>
  <c r="AQ2470"/>
  <c r="AQ2469"/>
  <c r="AQ2468"/>
  <c r="AQ2467"/>
  <c r="AQ2466"/>
  <c r="AQ2465"/>
  <c r="AQ2464"/>
  <c r="AQ2463"/>
  <c r="AQ2462"/>
  <c r="AQ2461"/>
  <c r="AQ2460"/>
  <c r="AQ2459"/>
  <c r="AQ2458"/>
  <c r="AQ2457"/>
  <c r="AQ2456"/>
  <c r="AQ2455"/>
  <c r="AQ2454"/>
  <c r="AQ2453"/>
  <c r="AQ2452"/>
  <c r="AQ2451"/>
  <c r="AQ2450"/>
  <c r="AQ2449"/>
  <c r="AQ2448"/>
  <c r="AQ2447"/>
  <c r="AQ2446"/>
  <c r="AQ2445"/>
  <c r="AQ2444"/>
  <c r="AQ2443"/>
  <c r="AQ2442"/>
  <c r="AQ2441"/>
  <c r="AQ2440"/>
  <c r="AQ2439"/>
  <c r="AQ2438"/>
  <c r="AQ2437"/>
  <c r="AQ2436"/>
  <c r="AQ2435"/>
  <c r="AQ2434"/>
  <c r="AQ2433"/>
  <c r="AQ2432"/>
  <c r="AQ2431"/>
  <c r="AQ2430"/>
  <c r="AQ2429"/>
  <c r="AQ2428"/>
  <c r="AQ2427"/>
  <c r="AQ2426"/>
  <c r="AQ2425"/>
  <c r="AQ2424"/>
  <c r="AQ2423"/>
  <c r="AQ2422"/>
  <c r="AQ2421"/>
  <c r="AQ2420"/>
  <c r="AQ2419"/>
  <c r="AQ2418"/>
  <c r="AQ2417"/>
  <c r="AQ2416"/>
  <c r="AQ2415"/>
  <c r="AQ2414"/>
  <c r="AQ2413"/>
  <c r="AQ2412"/>
  <c r="AQ2411"/>
  <c r="AQ2410"/>
  <c r="AQ2409"/>
  <c r="AQ2408"/>
  <c r="AQ2407"/>
  <c r="AQ2406"/>
  <c r="AQ2405"/>
  <c r="AQ2404"/>
  <c r="AQ2403"/>
  <c r="AQ2402"/>
  <c r="AQ2401"/>
  <c r="AQ2400"/>
  <c r="AQ2399"/>
  <c r="AQ2398"/>
  <c r="AQ2397"/>
  <c r="AQ2396"/>
  <c r="AQ2395"/>
  <c r="AQ2394"/>
  <c r="AQ2393"/>
  <c r="AQ2392"/>
  <c r="AQ2391"/>
  <c r="AQ2390"/>
  <c r="AQ2389"/>
  <c r="AQ2388"/>
  <c r="AQ2387"/>
  <c r="AQ2386"/>
  <c r="AQ2385"/>
  <c r="AQ2384"/>
  <c r="AQ2383"/>
  <c r="AQ2382"/>
  <c r="AQ2381"/>
  <c r="AQ2380"/>
  <c r="AQ2379"/>
  <c r="AQ2378"/>
  <c r="AQ2377"/>
  <c r="AQ2376"/>
  <c r="AQ2375"/>
  <c r="AQ2374"/>
  <c r="AQ2373"/>
  <c r="AQ2372"/>
  <c r="AQ2371"/>
  <c r="AQ2370"/>
  <c r="AQ2369"/>
  <c r="AQ2368"/>
  <c r="AQ2367"/>
  <c r="AQ2366"/>
  <c r="AQ2365"/>
  <c r="AQ2364"/>
  <c r="AQ2363"/>
  <c r="AQ2362"/>
  <c r="AQ2361"/>
  <c r="AQ2360"/>
  <c r="AQ2359"/>
  <c r="AQ2358"/>
  <c r="AQ2357"/>
  <c r="AQ2356"/>
  <c r="AQ2355"/>
  <c r="AQ2354"/>
  <c r="AQ2353"/>
  <c r="AQ2352"/>
  <c r="AQ2351"/>
  <c r="AQ2350"/>
  <c r="AQ2349"/>
  <c r="AQ2348"/>
  <c r="AQ2347"/>
  <c r="AQ2346"/>
  <c r="AQ2345"/>
  <c r="AQ2344"/>
  <c r="AQ2343"/>
  <c r="AQ2342"/>
  <c r="AQ2341"/>
  <c r="AQ2340"/>
  <c r="AQ2339"/>
  <c r="AQ2338"/>
  <c r="AQ2337"/>
  <c r="AQ2336"/>
  <c r="AQ2335"/>
  <c r="AQ2334"/>
  <c r="AQ2333"/>
  <c r="AQ2332"/>
  <c r="AQ2331"/>
  <c r="AQ2330"/>
  <c r="AQ2329"/>
  <c r="AQ2328"/>
  <c r="AQ2327"/>
  <c r="AQ2326"/>
  <c r="AQ2325"/>
  <c r="AQ2324"/>
  <c r="AQ2323"/>
  <c r="AQ2322"/>
  <c r="AQ2321"/>
  <c r="AQ2320"/>
  <c r="AQ2319"/>
  <c r="AQ2318"/>
  <c r="AQ2317"/>
  <c r="AQ2316"/>
  <c r="AQ2315"/>
  <c r="AQ2314"/>
  <c r="AQ2313"/>
  <c r="AQ2312"/>
  <c r="AQ2311"/>
  <c r="AQ2310"/>
  <c r="AQ2309"/>
  <c r="AQ2308"/>
  <c r="AQ2307"/>
  <c r="AQ2306"/>
  <c r="AQ2305"/>
  <c r="AQ2304"/>
  <c r="AQ2303"/>
  <c r="AQ2302"/>
  <c r="AQ2301"/>
  <c r="AQ2300"/>
  <c r="AQ2299"/>
  <c r="AQ2298"/>
  <c r="AQ2297"/>
  <c r="AQ2296"/>
  <c r="AQ2295"/>
  <c r="AQ2294"/>
  <c r="AQ2293"/>
  <c r="AQ2292"/>
  <c r="AQ2291"/>
  <c r="AQ2290"/>
  <c r="AQ2289"/>
  <c r="AQ2288"/>
  <c r="AQ2287"/>
  <c r="AQ2286"/>
  <c r="AQ2285"/>
  <c r="AQ2284"/>
  <c r="AQ2283"/>
  <c r="AQ2282"/>
  <c r="AQ2281"/>
  <c r="AQ2280"/>
  <c r="AQ2279"/>
  <c r="AQ2278"/>
  <c r="AQ2277"/>
  <c r="AQ2276"/>
  <c r="AQ2275"/>
  <c r="AQ2274"/>
  <c r="AQ2273"/>
  <c r="AQ2272"/>
  <c r="AQ2271"/>
  <c r="AQ2270"/>
  <c r="AQ2269"/>
  <c r="AQ2268"/>
  <c r="AQ2267"/>
  <c r="AQ2266"/>
  <c r="AQ2265"/>
  <c r="AQ2264"/>
  <c r="AQ2263"/>
  <c r="AQ2262"/>
  <c r="AQ2261"/>
  <c r="AQ2260"/>
  <c r="AQ2259"/>
  <c r="AQ2258"/>
  <c r="AQ2257"/>
  <c r="AQ2256"/>
  <c r="AQ2255"/>
  <c r="AQ2254"/>
  <c r="AQ2253"/>
  <c r="AQ2252"/>
  <c r="AQ2251"/>
  <c r="AQ2250"/>
  <c r="AQ2249"/>
  <c r="AQ2248"/>
  <c r="AQ2247"/>
  <c r="AQ2246"/>
  <c r="AQ2245"/>
  <c r="AQ2244"/>
  <c r="AQ2243"/>
  <c r="AQ2242"/>
  <c r="AQ2241"/>
  <c r="AQ2240"/>
  <c r="AQ2239"/>
  <c r="AQ2238"/>
  <c r="AQ2237"/>
  <c r="AQ2236"/>
  <c r="AQ2235"/>
  <c r="AQ2234"/>
  <c r="AQ2233"/>
  <c r="AQ2232"/>
  <c r="AQ2231"/>
  <c r="AQ2230"/>
  <c r="AQ2229"/>
  <c r="AQ2228"/>
  <c r="AQ2227"/>
  <c r="AQ2226"/>
  <c r="AQ2225"/>
  <c r="AQ2224"/>
  <c r="AQ2223"/>
  <c r="AQ2222"/>
  <c r="AQ2221"/>
  <c r="AQ2220"/>
  <c r="AQ2219"/>
  <c r="AQ2218"/>
  <c r="AQ2217"/>
  <c r="AQ2216"/>
  <c r="AQ2215"/>
  <c r="AQ2214"/>
  <c r="AQ2213"/>
  <c r="AQ2212"/>
  <c r="AQ2211"/>
  <c r="AQ2210"/>
  <c r="AQ2209"/>
  <c r="AQ2208"/>
  <c r="AQ2207"/>
  <c r="AQ2206"/>
  <c r="AQ2205"/>
  <c r="AQ2204"/>
  <c r="AQ2203"/>
  <c r="AQ2202"/>
  <c r="AQ2201"/>
  <c r="AQ2200"/>
  <c r="AQ2199"/>
  <c r="AQ2198"/>
  <c r="AQ2197"/>
  <c r="AQ2196"/>
  <c r="AQ2195"/>
  <c r="AQ2194"/>
  <c r="AQ2193"/>
  <c r="AQ2192"/>
  <c r="AQ2191"/>
  <c r="AQ2190"/>
  <c r="AQ2189"/>
  <c r="AQ2188"/>
  <c r="AQ2187"/>
  <c r="AQ2186"/>
  <c r="AQ2185"/>
  <c r="AQ2184"/>
  <c r="AQ2183"/>
  <c r="AQ2182"/>
  <c r="AQ2181"/>
  <c r="AQ2180"/>
  <c r="AQ2179"/>
  <c r="AQ2178"/>
  <c r="AQ2177"/>
  <c r="AQ2176"/>
  <c r="AQ2175"/>
  <c r="AQ2174"/>
  <c r="AQ2173"/>
  <c r="AQ2172"/>
  <c r="AQ2171"/>
  <c r="AQ2170"/>
  <c r="AQ2169"/>
  <c r="AQ2168"/>
  <c r="AQ2167"/>
  <c r="AQ2166"/>
  <c r="AQ2165"/>
  <c r="AQ2164"/>
  <c r="AQ2163"/>
  <c r="AQ2162"/>
  <c r="AQ2161"/>
  <c r="AQ2160"/>
  <c r="AQ2159"/>
  <c r="AQ2158"/>
  <c r="AQ2157"/>
  <c r="AQ2156"/>
  <c r="AQ2155"/>
  <c r="AQ2154"/>
  <c r="AQ2153"/>
  <c r="AQ2152"/>
  <c r="AQ2151"/>
  <c r="AQ2150"/>
  <c r="AQ2149"/>
  <c r="AQ2148"/>
  <c r="AQ2147"/>
  <c r="AQ2146"/>
  <c r="AQ2145"/>
  <c r="AQ2144"/>
  <c r="AQ2143"/>
  <c r="AQ2142"/>
  <c r="AQ2141"/>
  <c r="AQ2140"/>
  <c r="AQ2139"/>
  <c r="AQ2138"/>
  <c r="AQ2137"/>
  <c r="AQ2136"/>
  <c r="AQ2135"/>
  <c r="AQ2134"/>
  <c r="AQ2133"/>
  <c r="AQ2132"/>
  <c r="AQ2131"/>
  <c r="AQ2130"/>
  <c r="AQ2129"/>
  <c r="AQ2128"/>
  <c r="AQ2127"/>
  <c r="AQ2126"/>
  <c r="AQ2125"/>
  <c r="AQ2124"/>
  <c r="AQ2123"/>
  <c r="AQ2122"/>
  <c r="AQ2121"/>
  <c r="AQ2120"/>
  <c r="AQ2119"/>
  <c r="AQ2118"/>
  <c r="AQ2117"/>
  <c r="AQ2116"/>
  <c r="AQ2115"/>
  <c r="AQ2114"/>
  <c r="AQ2113"/>
  <c r="AQ2112"/>
  <c r="AQ2111"/>
  <c r="AQ2110"/>
  <c r="AQ2109"/>
  <c r="AQ2108"/>
  <c r="AQ2107"/>
  <c r="AQ2106"/>
  <c r="AQ2105"/>
  <c r="AQ2104"/>
  <c r="AQ2103"/>
  <c r="AQ2102"/>
  <c r="AQ2101"/>
  <c r="AQ2100"/>
  <c r="AQ2099"/>
  <c r="AQ2098"/>
  <c r="AQ2097"/>
  <c r="AQ2096"/>
  <c r="AQ2095"/>
  <c r="AQ2094"/>
  <c r="AQ2093"/>
  <c r="AQ2092"/>
  <c r="AQ2091"/>
  <c r="AQ2090"/>
  <c r="AQ2089"/>
  <c r="AQ2088"/>
  <c r="AQ2087"/>
  <c r="AQ2086"/>
  <c r="AQ2085"/>
  <c r="AQ2084"/>
  <c r="AQ2083"/>
  <c r="AQ2082"/>
  <c r="AQ2081"/>
  <c r="AQ2080"/>
  <c r="AQ2079"/>
  <c r="AQ2078"/>
  <c r="AQ2077"/>
  <c r="AQ2076"/>
  <c r="AQ2075"/>
  <c r="AQ2074"/>
  <c r="AQ2073"/>
  <c r="AQ2072"/>
  <c r="AQ2071"/>
  <c r="AQ2070"/>
  <c r="AQ2069"/>
  <c r="AQ2068"/>
  <c r="AQ2067"/>
  <c r="AQ2066"/>
  <c r="AQ2065"/>
  <c r="AQ2064"/>
  <c r="AQ2063"/>
  <c r="AQ2062"/>
  <c r="AQ2061"/>
  <c r="AQ2060"/>
  <c r="AQ2059"/>
  <c r="AQ2058"/>
  <c r="AQ2057"/>
  <c r="AQ2056"/>
  <c r="AQ2055"/>
  <c r="AQ2054"/>
  <c r="AQ2053"/>
  <c r="AQ2052"/>
  <c r="AQ2051"/>
  <c r="AQ2050"/>
  <c r="AQ2049"/>
  <c r="AQ2048"/>
  <c r="AQ2047"/>
  <c r="AQ2046"/>
  <c r="AQ2045"/>
  <c r="AQ2044"/>
  <c r="AQ2043"/>
  <c r="AQ2042"/>
  <c r="AQ2041"/>
  <c r="AQ2040"/>
  <c r="AQ2039"/>
  <c r="AQ2038"/>
  <c r="AQ2037"/>
  <c r="AQ2036"/>
  <c r="AQ2035"/>
  <c r="AQ2034"/>
  <c r="AQ2033"/>
  <c r="AQ2032"/>
  <c r="AQ2031"/>
  <c r="AQ2030"/>
  <c r="AQ2029"/>
  <c r="AQ2028"/>
  <c r="AQ2027"/>
  <c r="AQ2026"/>
  <c r="AQ2025"/>
  <c r="AQ2024"/>
  <c r="AQ2023"/>
  <c r="AQ2022"/>
  <c r="AQ2021"/>
  <c r="AQ2020"/>
  <c r="AQ2019"/>
  <c r="AQ2018"/>
  <c r="AQ2017"/>
  <c r="AQ2016"/>
  <c r="AQ2015"/>
  <c r="AQ2014"/>
  <c r="AQ2013"/>
  <c r="AQ2012"/>
  <c r="AQ2011"/>
  <c r="AQ2010"/>
  <c r="AQ2009"/>
  <c r="AQ2008"/>
  <c r="AQ2007"/>
  <c r="AQ2006"/>
  <c r="AQ2005"/>
  <c r="AQ2004"/>
  <c r="AQ2003"/>
  <c r="AQ2002"/>
  <c r="AQ2001"/>
  <c r="AQ2000"/>
  <c r="AQ1999"/>
  <c r="AQ1998"/>
  <c r="AQ1997"/>
  <c r="AQ1996"/>
  <c r="AQ1995"/>
  <c r="AQ1994"/>
  <c r="AQ1993"/>
  <c r="AQ1992"/>
  <c r="AQ1991"/>
  <c r="AQ1990"/>
  <c r="AQ1989"/>
  <c r="AQ1988"/>
  <c r="AQ1987"/>
  <c r="AQ1986"/>
  <c r="AQ1985"/>
  <c r="AQ1984"/>
  <c r="AQ1983"/>
  <c r="AQ1982"/>
  <c r="AQ1981"/>
  <c r="AQ1980"/>
  <c r="AQ1979"/>
  <c r="AQ1978"/>
  <c r="AQ1977"/>
  <c r="AQ1976"/>
  <c r="AQ1975"/>
  <c r="AQ1974"/>
  <c r="AQ1973"/>
  <c r="AQ1972"/>
  <c r="AQ1971"/>
  <c r="AQ1970"/>
  <c r="AQ1969"/>
  <c r="AQ1968"/>
  <c r="AQ1967"/>
  <c r="AQ1966"/>
  <c r="AQ1965"/>
  <c r="AQ1964"/>
  <c r="AQ1963"/>
  <c r="AQ1962"/>
  <c r="AQ1961"/>
  <c r="AQ1960"/>
  <c r="AQ1959"/>
  <c r="AQ1958"/>
  <c r="AQ1957"/>
  <c r="AQ1956"/>
  <c r="AQ1955"/>
  <c r="AQ1954"/>
  <c r="AQ1953"/>
  <c r="AQ1952"/>
  <c r="AQ1951"/>
  <c r="AQ1950"/>
  <c r="AQ1949"/>
  <c r="AQ1948"/>
  <c r="AQ1947"/>
  <c r="AQ1946"/>
  <c r="AQ1945"/>
  <c r="AQ1944"/>
  <c r="AQ1943"/>
  <c r="AQ1942"/>
  <c r="AQ1941"/>
  <c r="AQ1940"/>
  <c r="AQ1939"/>
  <c r="AQ1938"/>
  <c r="AQ1937"/>
  <c r="AQ1936"/>
  <c r="AQ1935"/>
  <c r="AQ1934"/>
  <c r="AQ1933"/>
  <c r="AQ1932"/>
  <c r="AQ1931"/>
  <c r="AQ1930"/>
  <c r="AQ1929"/>
  <c r="AQ1928"/>
  <c r="AQ1927"/>
  <c r="AQ1926"/>
  <c r="AQ1925"/>
  <c r="AQ1924"/>
  <c r="AQ1923"/>
  <c r="AQ1922"/>
  <c r="AQ1921"/>
  <c r="AQ1920"/>
  <c r="AQ1919"/>
  <c r="AQ1918"/>
  <c r="AQ1917"/>
  <c r="AQ1916"/>
  <c r="AQ1915"/>
  <c r="AQ1914"/>
  <c r="AQ1913"/>
  <c r="AQ1912"/>
  <c r="AQ1911"/>
  <c r="AQ1910"/>
  <c r="AQ1909"/>
  <c r="AQ1908"/>
  <c r="AQ1907"/>
  <c r="AQ1906"/>
  <c r="AQ1905"/>
  <c r="AQ1904"/>
  <c r="AQ1903"/>
  <c r="AQ1902"/>
  <c r="AQ1901"/>
  <c r="AQ1900"/>
  <c r="AQ1899"/>
  <c r="AQ1898"/>
  <c r="AQ1897"/>
  <c r="AQ1896"/>
  <c r="AQ1895"/>
  <c r="AQ1894"/>
  <c r="AQ1893"/>
  <c r="AQ1892"/>
  <c r="AQ1891"/>
  <c r="AQ1890"/>
  <c r="AQ1889"/>
  <c r="AQ1888"/>
  <c r="AQ1887"/>
  <c r="AQ1886"/>
  <c r="AQ1885"/>
  <c r="AQ1884"/>
  <c r="AQ1883"/>
  <c r="AQ1882"/>
  <c r="AQ1881"/>
  <c r="AQ1880"/>
  <c r="AQ1879"/>
  <c r="AQ1878"/>
  <c r="AQ1877"/>
  <c r="AQ1876"/>
  <c r="AQ1875"/>
  <c r="AQ1874"/>
  <c r="AQ1873"/>
  <c r="AQ1872"/>
  <c r="AQ1871"/>
  <c r="AQ1870"/>
  <c r="AQ1869"/>
  <c r="AQ1868"/>
  <c r="AQ1867"/>
  <c r="AQ1866"/>
  <c r="AQ1865"/>
  <c r="AQ1864"/>
  <c r="AQ1863"/>
  <c r="AQ1862"/>
  <c r="AQ1861"/>
  <c r="AQ1860"/>
  <c r="AQ1859"/>
  <c r="AQ1858"/>
  <c r="AQ1857"/>
  <c r="AQ1856"/>
  <c r="AQ1855"/>
  <c r="AQ1854"/>
  <c r="AQ1853"/>
  <c r="AQ1852"/>
  <c r="AQ1851"/>
  <c r="AQ1850"/>
  <c r="AQ1849"/>
  <c r="AQ1848"/>
  <c r="AQ1847"/>
  <c r="AQ1846"/>
  <c r="AQ1845"/>
  <c r="AQ1844"/>
  <c r="AQ1843"/>
  <c r="AQ1842"/>
  <c r="AQ1841"/>
  <c r="AQ1840"/>
  <c r="AQ1839"/>
  <c r="AQ1838"/>
  <c r="AQ1837"/>
  <c r="AQ1836"/>
  <c r="AQ1835"/>
  <c r="AQ1834"/>
  <c r="AQ1833"/>
  <c r="AQ1832"/>
  <c r="AQ1831"/>
  <c r="AQ1830"/>
  <c r="AQ1829"/>
  <c r="AQ1828"/>
  <c r="AQ1827"/>
  <c r="AQ1826"/>
  <c r="AQ1825"/>
  <c r="AQ1824"/>
  <c r="AQ1823"/>
  <c r="AQ1822"/>
  <c r="AQ1821"/>
  <c r="AQ1820"/>
  <c r="AQ1819"/>
  <c r="AQ1818"/>
  <c r="AQ1817"/>
  <c r="AQ1816"/>
  <c r="AQ1815"/>
  <c r="AQ1814"/>
  <c r="AQ1813"/>
  <c r="AQ1812"/>
  <c r="AQ1811"/>
  <c r="AQ1810"/>
  <c r="AQ1809"/>
  <c r="AQ1808"/>
  <c r="AQ1807"/>
  <c r="AQ1806"/>
  <c r="AQ1805"/>
  <c r="AQ1804"/>
  <c r="AQ1803"/>
  <c r="AQ1802"/>
  <c r="AQ1801"/>
  <c r="AQ1800"/>
  <c r="AQ1799"/>
  <c r="AQ1798"/>
  <c r="AQ1797"/>
  <c r="AQ1796"/>
  <c r="AQ1795"/>
  <c r="AQ1794"/>
  <c r="AQ1793"/>
  <c r="AQ1792"/>
  <c r="AQ1791"/>
  <c r="AQ1790"/>
  <c r="AQ1789"/>
  <c r="AQ1788"/>
  <c r="AQ1787"/>
  <c r="AQ1786"/>
  <c r="AQ1785"/>
  <c r="AQ1784"/>
  <c r="AQ1783"/>
  <c r="AQ1782"/>
  <c r="AQ1781"/>
  <c r="AQ1780"/>
  <c r="AQ1779"/>
  <c r="AQ1778"/>
  <c r="AQ1777"/>
  <c r="AQ1776"/>
  <c r="AQ1775"/>
  <c r="AQ1774"/>
  <c r="AQ1773"/>
  <c r="AQ1772"/>
  <c r="AQ1771"/>
  <c r="AQ1770"/>
  <c r="AQ1769"/>
  <c r="AQ1768"/>
  <c r="AQ1767"/>
  <c r="AQ1766"/>
  <c r="AQ1765"/>
  <c r="AQ1764"/>
  <c r="AQ1763"/>
  <c r="AQ1762"/>
  <c r="AQ1761"/>
  <c r="AQ1760"/>
  <c r="AQ1759"/>
  <c r="AQ1758"/>
  <c r="AQ1757"/>
  <c r="AQ1756"/>
  <c r="AQ1755"/>
  <c r="AQ1754"/>
  <c r="AQ1753"/>
  <c r="AQ1752"/>
  <c r="AQ1751"/>
  <c r="AQ1750"/>
  <c r="AQ1749"/>
  <c r="AQ1748"/>
  <c r="AQ1747"/>
  <c r="AQ1746"/>
  <c r="AQ1745"/>
  <c r="AQ1744"/>
  <c r="AQ1743"/>
  <c r="AQ1742"/>
  <c r="AQ1741"/>
  <c r="AQ1740"/>
  <c r="AQ1739"/>
  <c r="AQ1738"/>
  <c r="AQ1737"/>
  <c r="AQ1736"/>
  <c r="AQ1735"/>
  <c r="AQ1734"/>
  <c r="AQ1733"/>
  <c r="AQ1732"/>
  <c r="AQ1731"/>
  <c r="AQ1730"/>
  <c r="AQ1729"/>
  <c r="AQ1728"/>
  <c r="AQ1727"/>
  <c r="AQ1726"/>
  <c r="AQ1725"/>
  <c r="AQ1724"/>
  <c r="AQ1723"/>
  <c r="AQ1722"/>
  <c r="AQ1721"/>
  <c r="AQ1720"/>
  <c r="AQ1719"/>
  <c r="AQ1718"/>
  <c r="AQ1717"/>
  <c r="AQ1716"/>
  <c r="AQ1715"/>
  <c r="AQ1714"/>
  <c r="AQ1713"/>
  <c r="AQ1712"/>
  <c r="AQ1711"/>
  <c r="AQ1710"/>
  <c r="AQ1709"/>
  <c r="AQ1708"/>
  <c r="AQ1707"/>
  <c r="AQ1706"/>
  <c r="AQ1705"/>
  <c r="AQ1704"/>
  <c r="AQ1703"/>
  <c r="AQ1702"/>
  <c r="AQ1701"/>
  <c r="AQ1700"/>
  <c r="AQ1699"/>
  <c r="AQ1698"/>
  <c r="AQ1697"/>
  <c r="AQ1696"/>
  <c r="AQ1695"/>
  <c r="AQ1694"/>
  <c r="AQ1693"/>
  <c r="AQ1692"/>
  <c r="AQ1691"/>
  <c r="AQ1690"/>
  <c r="AQ1689"/>
  <c r="AQ1688"/>
  <c r="AQ1687"/>
  <c r="AQ1686"/>
  <c r="AQ1685"/>
  <c r="AQ1684"/>
  <c r="AQ1683"/>
  <c r="AQ1682"/>
  <c r="AQ1681"/>
  <c r="AQ1680"/>
  <c r="AQ1679"/>
  <c r="AQ1678"/>
  <c r="AQ1677"/>
  <c r="AQ1676"/>
  <c r="AQ1675"/>
  <c r="AQ1674"/>
  <c r="AQ1673"/>
  <c r="AQ1672"/>
  <c r="AQ1671"/>
  <c r="AQ1670"/>
  <c r="AQ1669"/>
  <c r="AQ1668"/>
  <c r="AQ1667"/>
  <c r="AQ1666"/>
  <c r="AQ1665"/>
  <c r="AQ1664"/>
  <c r="AQ1663"/>
  <c r="AQ1662"/>
  <c r="AQ1661"/>
  <c r="AQ1660"/>
  <c r="AQ1659"/>
  <c r="AQ1658"/>
  <c r="AQ1657"/>
  <c r="AQ1656"/>
  <c r="AQ1655"/>
  <c r="AQ1654"/>
  <c r="AQ1653"/>
  <c r="AQ1652"/>
  <c r="AQ1651"/>
  <c r="AQ1650"/>
  <c r="AQ1649"/>
  <c r="AQ1648"/>
  <c r="AQ1647"/>
  <c r="AQ1646"/>
  <c r="AQ1645"/>
  <c r="AQ1644"/>
  <c r="AQ1643"/>
  <c r="AQ1642"/>
  <c r="AQ1641"/>
  <c r="AQ1640"/>
  <c r="AQ1639"/>
  <c r="AQ1638"/>
  <c r="AQ1637"/>
  <c r="AQ1636"/>
  <c r="AQ1635"/>
  <c r="AQ1634"/>
  <c r="AQ1633"/>
  <c r="AQ1632"/>
  <c r="AQ1631"/>
  <c r="AQ1630"/>
  <c r="AQ1629"/>
  <c r="AQ1628"/>
  <c r="AQ1627"/>
  <c r="AQ1626"/>
  <c r="AQ1625"/>
  <c r="AQ1624"/>
  <c r="AQ1623"/>
  <c r="AQ1622"/>
  <c r="AQ1621"/>
  <c r="AQ1620"/>
  <c r="AQ1619"/>
  <c r="AQ1618"/>
  <c r="AQ1617"/>
  <c r="AQ1616"/>
  <c r="AQ1615"/>
  <c r="AQ1614"/>
  <c r="AQ1613"/>
  <c r="AQ1612"/>
  <c r="AQ1611"/>
  <c r="AQ1610"/>
  <c r="AQ1609"/>
  <c r="AQ1608"/>
  <c r="AQ1607"/>
  <c r="AQ1606"/>
  <c r="AQ1605"/>
  <c r="AQ1604"/>
  <c r="AQ1603"/>
  <c r="AQ1602"/>
  <c r="AQ1601"/>
  <c r="AQ1600"/>
  <c r="AQ1599"/>
  <c r="AQ1598"/>
  <c r="AQ1597"/>
  <c r="AQ1596"/>
  <c r="AQ1595"/>
  <c r="AQ1594"/>
  <c r="AQ1593"/>
  <c r="AQ1592"/>
  <c r="AQ1591"/>
  <c r="AQ1590"/>
  <c r="AQ1589"/>
  <c r="AQ1588"/>
  <c r="AQ1587"/>
  <c r="AQ1586"/>
  <c r="AQ1585"/>
  <c r="AQ1584"/>
  <c r="AQ1583"/>
  <c r="AQ1582"/>
  <c r="AQ1581"/>
  <c r="AQ1580"/>
  <c r="AQ1579"/>
  <c r="AQ1578"/>
  <c r="AQ1577"/>
  <c r="AQ1576"/>
  <c r="AQ1575"/>
  <c r="AQ1574"/>
  <c r="AQ1573"/>
  <c r="AQ1572"/>
  <c r="AQ1571"/>
  <c r="AQ1570"/>
  <c r="AQ1569"/>
  <c r="AQ1568"/>
  <c r="AQ1567"/>
  <c r="AQ1566"/>
  <c r="AQ1565"/>
  <c r="AQ1564"/>
  <c r="AQ1563"/>
  <c r="AQ1562"/>
  <c r="AQ1561"/>
  <c r="AQ1560"/>
  <c r="AQ1559"/>
  <c r="AQ1558"/>
  <c r="AQ1557"/>
  <c r="AQ1556"/>
  <c r="AQ1555"/>
  <c r="AQ1554"/>
  <c r="AQ1553"/>
  <c r="AQ1552"/>
  <c r="AQ1551"/>
  <c r="AQ1550"/>
  <c r="AQ1549"/>
  <c r="AQ1548"/>
  <c r="AQ1547"/>
  <c r="AQ1546"/>
  <c r="AQ1545"/>
  <c r="AQ1544"/>
  <c r="AQ1543"/>
  <c r="AQ1542"/>
  <c r="AQ1541"/>
  <c r="AQ1540"/>
  <c r="AQ1539"/>
  <c r="AQ1538"/>
  <c r="AQ1537"/>
  <c r="AQ1536"/>
  <c r="AQ1535"/>
  <c r="AQ1534"/>
  <c r="AQ1533"/>
  <c r="AQ1532"/>
  <c r="AQ1531"/>
  <c r="AQ1530"/>
  <c r="AQ1529"/>
  <c r="AQ1528"/>
  <c r="AQ1527"/>
  <c r="AQ1526"/>
  <c r="AQ1525"/>
  <c r="AQ1524"/>
  <c r="AQ1523"/>
  <c r="AQ1522"/>
  <c r="AQ1521"/>
  <c r="AQ1520"/>
  <c r="AQ1519"/>
  <c r="AQ1518"/>
  <c r="AQ1517"/>
  <c r="AQ1516"/>
  <c r="AQ1515"/>
  <c r="AQ1514"/>
  <c r="AQ1513"/>
  <c r="AQ1512"/>
  <c r="AQ1511"/>
  <c r="AQ1510"/>
  <c r="AQ1509"/>
  <c r="AQ1508"/>
  <c r="AQ1507"/>
  <c r="AQ1506"/>
  <c r="AQ1505"/>
  <c r="AQ1504"/>
  <c r="AQ1503"/>
  <c r="AQ1502"/>
  <c r="AQ1501"/>
  <c r="AQ1500"/>
  <c r="AQ1499"/>
  <c r="AQ1498"/>
  <c r="AQ1497"/>
  <c r="AQ1496"/>
  <c r="AQ1495"/>
  <c r="AQ1494"/>
  <c r="AQ1493"/>
  <c r="AQ1492"/>
  <c r="AQ1491"/>
  <c r="AQ1490"/>
  <c r="AQ1489"/>
  <c r="AQ1488"/>
  <c r="AQ1487"/>
  <c r="AQ1486"/>
  <c r="AQ1485"/>
  <c r="AQ1484"/>
  <c r="AQ1483"/>
  <c r="AQ1482"/>
  <c r="AQ1481"/>
  <c r="AQ1480"/>
  <c r="AQ1479"/>
  <c r="AQ1478"/>
  <c r="AQ1477"/>
  <c r="AQ1476"/>
  <c r="AQ1475"/>
  <c r="AQ1474"/>
  <c r="AQ1473"/>
  <c r="AQ1472"/>
  <c r="AQ1471"/>
  <c r="AQ1470"/>
  <c r="AQ1469"/>
  <c r="AQ1468"/>
  <c r="AQ1467"/>
  <c r="AQ1466"/>
  <c r="AQ1465"/>
  <c r="AQ1464"/>
  <c r="AQ1463"/>
  <c r="AQ1462"/>
  <c r="AQ1461"/>
  <c r="AQ1460"/>
  <c r="AQ1459"/>
  <c r="AQ1458"/>
  <c r="AQ1457"/>
  <c r="AQ1456"/>
  <c r="AQ1455"/>
  <c r="AQ1454"/>
  <c r="AQ1453"/>
  <c r="AQ1452"/>
  <c r="AQ1451"/>
  <c r="AQ1450"/>
  <c r="AQ1449"/>
  <c r="AQ1448"/>
  <c r="AQ1447"/>
  <c r="AQ1446"/>
  <c r="AQ1445"/>
  <c r="AQ1444"/>
  <c r="AQ1443"/>
  <c r="AQ1442"/>
  <c r="AQ1441"/>
  <c r="AQ1440"/>
  <c r="AQ1439"/>
  <c r="AQ1438"/>
  <c r="AQ1437"/>
  <c r="AQ1436"/>
  <c r="AQ1435"/>
  <c r="AQ1434"/>
  <c r="AQ1433"/>
  <c r="AQ1432"/>
  <c r="AQ1431"/>
  <c r="AQ1430"/>
  <c r="AQ1429"/>
  <c r="AQ1428"/>
  <c r="AQ1427"/>
  <c r="AQ1426"/>
  <c r="AQ1425"/>
  <c r="AQ1424"/>
  <c r="AQ1423"/>
  <c r="AQ1422"/>
  <c r="AQ1421"/>
  <c r="AQ1420"/>
  <c r="AQ1419"/>
  <c r="AQ1418"/>
  <c r="AQ1417"/>
  <c r="AQ1416"/>
  <c r="AQ1415"/>
  <c r="AQ1414"/>
  <c r="AQ1413"/>
  <c r="AQ1412"/>
  <c r="AQ1411"/>
  <c r="AQ1410"/>
  <c r="AQ1409"/>
  <c r="AQ1408"/>
  <c r="AQ1407"/>
  <c r="AQ1406"/>
  <c r="AQ1405"/>
  <c r="AQ1404"/>
  <c r="AQ1403"/>
  <c r="AQ1402"/>
  <c r="AQ1401"/>
  <c r="AQ1400"/>
  <c r="AQ1399"/>
  <c r="AQ1398"/>
  <c r="AQ1397"/>
  <c r="AQ1396"/>
  <c r="AQ1395"/>
  <c r="AQ1394"/>
  <c r="AQ1393"/>
  <c r="AQ1392"/>
  <c r="AQ1391"/>
  <c r="AQ1390"/>
  <c r="AQ1389"/>
  <c r="AQ1388"/>
  <c r="AQ1387"/>
  <c r="AQ1386"/>
  <c r="AQ1385"/>
  <c r="AQ1384"/>
  <c r="AQ1383"/>
  <c r="AQ1382"/>
  <c r="AQ1381"/>
  <c r="AQ1380"/>
  <c r="AQ1379"/>
  <c r="AQ1378"/>
  <c r="AQ1377"/>
  <c r="AQ1376"/>
  <c r="AQ1375"/>
  <c r="AQ1374"/>
  <c r="AQ1373"/>
  <c r="AQ1372"/>
  <c r="AQ1371"/>
  <c r="AQ1370"/>
  <c r="AQ1369"/>
  <c r="AQ1368"/>
  <c r="AQ1367"/>
  <c r="AQ1366"/>
  <c r="AQ1365"/>
  <c r="AQ1364"/>
  <c r="AQ1363"/>
  <c r="AQ1362"/>
  <c r="AQ1361"/>
  <c r="AQ1360"/>
  <c r="AQ1359"/>
  <c r="AQ1358"/>
  <c r="AQ1357"/>
  <c r="AQ1356"/>
  <c r="AQ1355"/>
  <c r="AQ1354"/>
  <c r="AQ1353"/>
  <c r="AQ1352"/>
  <c r="AQ1351"/>
  <c r="AQ1350"/>
  <c r="AQ1349"/>
  <c r="AQ1348"/>
  <c r="AQ1347"/>
  <c r="AQ1346"/>
  <c r="AQ1345"/>
  <c r="AQ1344"/>
  <c r="AQ1343"/>
  <c r="AQ1342"/>
  <c r="AQ1341"/>
  <c r="AQ1340"/>
  <c r="AQ1339"/>
  <c r="AQ1338"/>
  <c r="AQ1337"/>
  <c r="AQ1336"/>
  <c r="AQ1335"/>
  <c r="AQ1334"/>
  <c r="AQ1333"/>
  <c r="AQ1332"/>
  <c r="AQ1331"/>
  <c r="AQ1330"/>
  <c r="AQ1329"/>
  <c r="AQ1328"/>
  <c r="AQ1327"/>
  <c r="AQ1326"/>
  <c r="AQ1325"/>
  <c r="AQ1324"/>
  <c r="AQ1323"/>
  <c r="AQ1322"/>
  <c r="AQ1321"/>
  <c r="AQ1320"/>
  <c r="AQ1319"/>
  <c r="AQ1318"/>
  <c r="AQ1317"/>
  <c r="AQ1316"/>
  <c r="AQ1315"/>
  <c r="AQ1314"/>
  <c r="AQ1313"/>
  <c r="AQ1312"/>
  <c r="AQ1311"/>
  <c r="AQ1310"/>
  <c r="AQ1309"/>
  <c r="AQ1308"/>
  <c r="AQ1307"/>
  <c r="AQ1306"/>
  <c r="AQ1305"/>
  <c r="AQ1304"/>
  <c r="AQ1303"/>
  <c r="AQ1302"/>
  <c r="AQ1301"/>
  <c r="AQ1300"/>
  <c r="AQ1299"/>
  <c r="AQ1298"/>
  <c r="AQ1297"/>
  <c r="AQ1296"/>
  <c r="AQ1295"/>
  <c r="AQ1294"/>
  <c r="AQ1293"/>
  <c r="AQ1292"/>
  <c r="AQ1291"/>
  <c r="AQ1290"/>
  <c r="AQ1289"/>
  <c r="AQ1288"/>
  <c r="AQ1287"/>
  <c r="AQ1286"/>
  <c r="AQ1285"/>
  <c r="AQ1284"/>
  <c r="AQ1283"/>
  <c r="AQ1282"/>
  <c r="AQ1281"/>
  <c r="AQ1280"/>
  <c r="AQ1279"/>
  <c r="AQ1278"/>
  <c r="AQ1277"/>
  <c r="AQ1276"/>
  <c r="AQ1275"/>
  <c r="AQ1274"/>
  <c r="AQ1273"/>
  <c r="AQ1272"/>
  <c r="AQ1271"/>
  <c r="AQ1270"/>
  <c r="AQ1269"/>
  <c r="AQ1268"/>
  <c r="AQ1267"/>
  <c r="AQ1266"/>
  <c r="AQ1265"/>
  <c r="AQ1264"/>
  <c r="AQ1263"/>
  <c r="AQ1262"/>
  <c r="AQ1261"/>
  <c r="AQ1260"/>
  <c r="AQ1259"/>
  <c r="AQ1258"/>
  <c r="AQ1257"/>
  <c r="AQ1256"/>
  <c r="AQ1255"/>
  <c r="AQ1254"/>
  <c r="AQ1253"/>
  <c r="AQ1252"/>
  <c r="AQ1251"/>
  <c r="AQ1250"/>
  <c r="AQ1249"/>
  <c r="AQ1248"/>
  <c r="AQ1247"/>
  <c r="AQ1246"/>
  <c r="AQ1245"/>
  <c r="AQ1244"/>
  <c r="AQ1243"/>
  <c r="AQ1242"/>
  <c r="AQ1241"/>
  <c r="AQ1240"/>
  <c r="AQ1239"/>
  <c r="AQ1238"/>
  <c r="AQ1237"/>
  <c r="AQ1236"/>
  <c r="AQ1235"/>
  <c r="AQ1234"/>
  <c r="AQ1233"/>
  <c r="AQ1232"/>
  <c r="AQ1231"/>
  <c r="AQ1230"/>
  <c r="AQ1229"/>
  <c r="AQ1228"/>
  <c r="AQ1227"/>
  <c r="AQ1226"/>
  <c r="AQ1225"/>
  <c r="AQ1224"/>
  <c r="AQ1223"/>
  <c r="AQ1222"/>
  <c r="AQ1221"/>
  <c r="AQ1220"/>
  <c r="AQ1219"/>
  <c r="AQ1218"/>
  <c r="AQ1217"/>
  <c r="AQ1216"/>
  <c r="AQ1215"/>
  <c r="AQ1214"/>
  <c r="AQ1213"/>
  <c r="AQ1212"/>
  <c r="AQ1211"/>
  <c r="AQ1210"/>
  <c r="AQ1209"/>
  <c r="AQ1208"/>
  <c r="AQ1207"/>
  <c r="AQ1206"/>
  <c r="AQ1205"/>
  <c r="AQ1204"/>
  <c r="AQ1203"/>
  <c r="AQ1202"/>
  <c r="AQ1201"/>
  <c r="AQ1200"/>
  <c r="AQ1199"/>
  <c r="AQ1198"/>
  <c r="AQ1197"/>
  <c r="AQ1196"/>
  <c r="AQ1195"/>
  <c r="AQ1194"/>
  <c r="AQ1193"/>
  <c r="AQ1192"/>
  <c r="AQ1191"/>
  <c r="AQ1190"/>
  <c r="AQ1189"/>
  <c r="AQ1188"/>
  <c r="AQ1187"/>
  <c r="AQ1186"/>
  <c r="AQ1185"/>
  <c r="AQ1184"/>
  <c r="AQ1183"/>
  <c r="AQ1182"/>
  <c r="AQ1181"/>
  <c r="AQ1180"/>
  <c r="AQ1179"/>
  <c r="AQ1178"/>
  <c r="AQ1177"/>
  <c r="AQ1176"/>
  <c r="AQ1175"/>
  <c r="AQ1174"/>
  <c r="AQ1173"/>
  <c r="AQ1172"/>
  <c r="AQ1171"/>
  <c r="AQ1170"/>
  <c r="AQ1169"/>
  <c r="AQ1168"/>
  <c r="AQ1167"/>
  <c r="AQ1166"/>
  <c r="AQ1165"/>
  <c r="AQ1164"/>
  <c r="AQ1163"/>
  <c r="AQ1162"/>
  <c r="AQ1161"/>
  <c r="AQ1160"/>
  <c r="AQ1159"/>
  <c r="AQ1158"/>
  <c r="AQ1157"/>
  <c r="AQ1156"/>
  <c r="AQ1155"/>
  <c r="AQ1154"/>
  <c r="AQ1153"/>
  <c r="AQ1152"/>
  <c r="AQ1151"/>
  <c r="AQ1150"/>
  <c r="AQ1149"/>
  <c r="AQ1148"/>
  <c r="AQ1147"/>
  <c r="AQ1146"/>
  <c r="AQ1145"/>
  <c r="AQ1144"/>
  <c r="AQ1143"/>
  <c r="AQ1142"/>
  <c r="AQ1141"/>
  <c r="AQ1140"/>
  <c r="AQ1139"/>
  <c r="AQ1138"/>
  <c r="AQ1137"/>
  <c r="AQ1136"/>
  <c r="AQ1135"/>
  <c r="AQ1134"/>
  <c r="AQ1133"/>
  <c r="AQ1132"/>
  <c r="AQ1131"/>
  <c r="AQ1130"/>
  <c r="AQ1129"/>
  <c r="AQ1128"/>
  <c r="AQ1127"/>
  <c r="AQ1126"/>
  <c r="AQ1125"/>
  <c r="AQ1124"/>
  <c r="AQ1123"/>
  <c r="AQ1122"/>
  <c r="AQ1121"/>
  <c r="AQ1120"/>
  <c r="AQ1119"/>
  <c r="AQ1118"/>
  <c r="AQ1117"/>
  <c r="AQ1116"/>
  <c r="AQ1115"/>
  <c r="AQ1114"/>
  <c r="AQ1113"/>
  <c r="AQ1112"/>
  <c r="AQ1111"/>
  <c r="AQ1110"/>
  <c r="AQ1109"/>
  <c r="AQ1108"/>
  <c r="AQ1107"/>
  <c r="AQ1106"/>
  <c r="AQ1105"/>
  <c r="AQ1104"/>
  <c r="AQ1103"/>
  <c r="AQ1102"/>
  <c r="AQ1101"/>
  <c r="AQ1100"/>
  <c r="AQ1099"/>
  <c r="AQ1098"/>
  <c r="AQ1097"/>
  <c r="AQ1096"/>
  <c r="AQ1095"/>
  <c r="AQ1094"/>
  <c r="AQ1093"/>
  <c r="AQ1092"/>
  <c r="AQ1091"/>
  <c r="AQ1090"/>
  <c r="AQ1089"/>
  <c r="AQ1088"/>
  <c r="AQ1087"/>
  <c r="AQ1086"/>
  <c r="AQ1085"/>
  <c r="AQ1084"/>
  <c r="AQ1083"/>
  <c r="AQ1082"/>
  <c r="AQ1081"/>
  <c r="AQ1080"/>
  <c r="AQ1079"/>
  <c r="AQ1078"/>
  <c r="AQ1077"/>
  <c r="AQ1076"/>
  <c r="AQ1075"/>
  <c r="AQ1074"/>
  <c r="AQ1073"/>
  <c r="AQ1072"/>
  <c r="AQ1071"/>
  <c r="AQ1070"/>
  <c r="AQ1069"/>
  <c r="AQ1068"/>
  <c r="AQ1067"/>
  <c r="AQ1066"/>
  <c r="AQ1065"/>
  <c r="AQ1064"/>
  <c r="AQ1063"/>
  <c r="AQ1062"/>
  <c r="AQ1061"/>
  <c r="AQ1060"/>
  <c r="AQ1059"/>
  <c r="AQ1058"/>
  <c r="AQ1057"/>
  <c r="AQ1056"/>
  <c r="AQ1055"/>
  <c r="AQ1054"/>
  <c r="AQ1053"/>
  <c r="AQ1052"/>
  <c r="AQ1051"/>
  <c r="AQ1050"/>
  <c r="AQ1049"/>
  <c r="AQ1048"/>
  <c r="AQ1047"/>
  <c r="AQ1046"/>
  <c r="AQ1045"/>
  <c r="AQ1044"/>
  <c r="AQ1043"/>
  <c r="AQ1042"/>
  <c r="AQ1041"/>
  <c r="AQ1040"/>
  <c r="AQ1039"/>
  <c r="AQ1038"/>
  <c r="AQ1037"/>
  <c r="AQ1036"/>
  <c r="AQ1035"/>
  <c r="AQ1034"/>
  <c r="AQ1033"/>
  <c r="AQ1032"/>
  <c r="AQ1031"/>
  <c r="AQ1030"/>
  <c r="AQ1029"/>
  <c r="AQ1028"/>
  <c r="AQ1027"/>
  <c r="AQ1026"/>
  <c r="AQ1025"/>
  <c r="AQ1024"/>
  <c r="AQ1023"/>
  <c r="AQ1022"/>
  <c r="AQ1021"/>
  <c r="AQ1020"/>
  <c r="AQ1019"/>
  <c r="AQ1018"/>
  <c r="AQ1017"/>
  <c r="AQ1016"/>
  <c r="AQ1015"/>
  <c r="AQ1014"/>
  <c r="AQ1013"/>
  <c r="AQ1012"/>
  <c r="AQ1011"/>
  <c r="AQ1010"/>
  <c r="AQ1009"/>
  <c r="AQ1008"/>
  <c r="AQ1007"/>
  <c r="AQ1006"/>
  <c r="AQ1005"/>
  <c r="AQ1004"/>
  <c r="AQ1003"/>
  <c r="AQ1002"/>
  <c r="AQ1001"/>
  <c r="AQ1000"/>
  <c r="AQ999"/>
  <c r="AQ998"/>
  <c r="AQ997"/>
  <c r="AQ996"/>
  <c r="AQ995"/>
  <c r="AQ994"/>
  <c r="AQ993"/>
  <c r="AQ992"/>
  <c r="AQ991"/>
  <c r="AQ990"/>
  <c r="AQ989"/>
  <c r="AQ988"/>
  <c r="AQ987"/>
  <c r="AQ986"/>
  <c r="AQ985"/>
  <c r="AQ984"/>
  <c r="AQ983"/>
  <c r="AQ982"/>
  <c r="AQ981"/>
  <c r="AQ980"/>
  <c r="AQ979"/>
  <c r="AQ978"/>
  <c r="AQ977"/>
  <c r="AQ976"/>
  <c r="AQ975"/>
  <c r="AQ974"/>
  <c r="AQ973"/>
  <c r="AQ972"/>
  <c r="AQ971"/>
  <c r="AQ970"/>
  <c r="AQ969"/>
  <c r="AQ968"/>
  <c r="AQ967"/>
  <c r="AQ966"/>
  <c r="AQ965"/>
  <c r="AQ964"/>
  <c r="AQ963"/>
  <c r="AQ962"/>
  <c r="AQ961"/>
  <c r="AQ960"/>
  <c r="AQ959"/>
  <c r="AQ958"/>
  <c r="AQ957"/>
  <c r="AQ956"/>
  <c r="AQ955"/>
  <c r="AQ954"/>
  <c r="AQ953"/>
  <c r="AQ952"/>
  <c r="AQ951"/>
  <c r="AQ950"/>
  <c r="AQ949"/>
  <c r="AQ948"/>
  <c r="AQ947"/>
  <c r="AQ946"/>
  <c r="AQ945"/>
  <c r="AQ944"/>
  <c r="AQ943"/>
  <c r="AQ942"/>
  <c r="AQ941"/>
  <c r="AQ940"/>
  <c r="AQ939"/>
  <c r="AQ938"/>
  <c r="AQ937"/>
  <c r="AQ936"/>
  <c r="AQ935"/>
  <c r="AQ934"/>
  <c r="AQ933"/>
  <c r="AQ932"/>
  <c r="AQ931"/>
  <c r="AQ930"/>
  <c r="AQ929"/>
  <c r="AQ928"/>
  <c r="AQ927"/>
  <c r="AQ926"/>
  <c r="AQ925"/>
  <c r="AQ924"/>
  <c r="AQ923"/>
  <c r="AQ922"/>
  <c r="AQ921"/>
  <c r="AQ920"/>
  <c r="AQ919"/>
  <c r="AQ918"/>
  <c r="AQ917"/>
  <c r="AQ916"/>
  <c r="AQ915"/>
  <c r="AQ914"/>
  <c r="AQ913"/>
  <c r="AQ912"/>
  <c r="AQ911"/>
  <c r="AQ910"/>
  <c r="AQ909"/>
  <c r="AQ908"/>
  <c r="AQ907"/>
  <c r="AQ906"/>
  <c r="AQ905"/>
  <c r="AQ904"/>
  <c r="AQ903"/>
  <c r="AQ902"/>
  <c r="AQ901"/>
  <c r="AQ900"/>
  <c r="AQ899"/>
  <c r="AQ898"/>
  <c r="AQ897"/>
  <c r="AQ896"/>
  <c r="AQ895"/>
  <c r="AQ894"/>
  <c r="AQ893"/>
  <c r="AQ892"/>
  <c r="AQ891"/>
  <c r="AQ890"/>
  <c r="AQ889"/>
  <c r="AQ888"/>
  <c r="AQ887"/>
  <c r="AQ886"/>
  <c r="AQ885"/>
  <c r="AQ884"/>
  <c r="AQ883"/>
  <c r="AQ882"/>
  <c r="AQ881"/>
  <c r="AQ880"/>
  <c r="AQ879"/>
  <c r="AQ878"/>
  <c r="AQ877"/>
  <c r="AQ876"/>
  <c r="AQ875"/>
  <c r="AQ874"/>
  <c r="AQ873"/>
  <c r="AQ872"/>
  <c r="AQ871"/>
  <c r="AQ870"/>
  <c r="AQ869"/>
  <c r="AQ868"/>
  <c r="AQ867"/>
  <c r="AQ866"/>
  <c r="AQ865"/>
  <c r="AQ864"/>
  <c r="AQ863"/>
  <c r="AQ862"/>
  <c r="AQ861"/>
  <c r="AQ860"/>
  <c r="AQ859"/>
  <c r="AQ858"/>
  <c r="AQ857"/>
  <c r="AQ856"/>
  <c r="AQ855"/>
  <c r="AQ854"/>
  <c r="AQ853"/>
  <c r="AQ852"/>
  <c r="AQ851"/>
  <c r="AQ850"/>
  <c r="AQ849"/>
  <c r="AQ848"/>
  <c r="AQ847"/>
  <c r="AQ846"/>
  <c r="AQ845"/>
  <c r="AQ844"/>
  <c r="AQ843"/>
  <c r="AQ842"/>
  <c r="AQ841"/>
  <c r="AQ840"/>
  <c r="AQ839"/>
  <c r="AQ838"/>
  <c r="AQ837"/>
  <c r="AQ836"/>
  <c r="AQ835"/>
  <c r="AQ834"/>
  <c r="AQ833"/>
  <c r="AQ832"/>
  <c r="AQ831"/>
  <c r="AQ830"/>
  <c r="AQ829"/>
  <c r="AQ828"/>
  <c r="AQ827"/>
  <c r="AQ826"/>
  <c r="AQ825"/>
  <c r="AQ824"/>
  <c r="AQ823"/>
  <c r="AQ822"/>
  <c r="AQ821"/>
  <c r="AQ820"/>
  <c r="AQ819"/>
  <c r="AQ818"/>
  <c r="AQ817"/>
  <c r="AQ816"/>
  <c r="AQ815"/>
  <c r="AQ814"/>
  <c r="AQ813"/>
  <c r="AQ812"/>
  <c r="AQ811"/>
  <c r="AQ810"/>
  <c r="AQ809"/>
  <c r="AQ808"/>
  <c r="AQ807"/>
  <c r="AQ806"/>
  <c r="AQ805"/>
  <c r="AQ804"/>
  <c r="AQ803"/>
  <c r="AQ802"/>
  <c r="AQ801"/>
  <c r="AQ800"/>
  <c r="AQ799"/>
  <c r="AQ798"/>
  <c r="AQ797"/>
  <c r="AQ796"/>
  <c r="AQ795"/>
  <c r="AQ794"/>
  <c r="AQ793"/>
  <c r="AQ792"/>
  <c r="AQ791"/>
  <c r="AQ790"/>
  <c r="AQ789"/>
  <c r="AQ788"/>
  <c r="AQ787"/>
  <c r="AQ786"/>
  <c r="AQ785"/>
  <c r="AQ784"/>
  <c r="AQ783"/>
  <c r="AQ782"/>
  <c r="AQ781"/>
  <c r="AQ780"/>
  <c r="AQ779"/>
  <c r="AQ778"/>
  <c r="AQ777"/>
  <c r="AQ776"/>
  <c r="AQ775"/>
  <c r="AQ774"/>
  <c r="AQ773"/>
  <c r="AQ772"/>
  <c r="AQ771"/>
  <c r="AQ770"/>
  <c r="AQ769"/>
  <c r="AQ768"/>
  <c r="AQ767"/>
  <c r="AQ766"/>
  <c r="AQ765"/>
  <c r="AQ764"/>
  <c r="AQ763"/>
  <c r="AQ762"/>
  <c r="AQ761"/>
  <c r="AQ760"/>
  <c r="AQ759"/>
  <c r="AQ758"/>
  <c r="AQ757"/>
  <c r="AQ756"/>
  <c r="AQ755"/>
  <c r="AQ754"/>
  <c r="AQ753"/>
  <c r="AQ752"/>
  <c r="AQ751"/>
  <c r="AQ750"/>
  <c r="AQ749"/>
  <c r="AQ748"/>
  <c r="AQ747"/>
  <c r="AQ746"/>
  <c r="AQ745"/>
  <c r="AQ744"/>
  <c r="AQ743"/>
  <c r="AQ742"/>
  <c r="AQ741"/>
  <c r="AQ740"/>
  <c r="AQ739"/>
  <c r="AQ738"/>
  <c r="AQ737"/>
  <c r="AQ736"/>
  <c r="AQ735"/>
  <c r="AQ734"/>
  <c r="AQ733"/>
  <c r="AQ732"/>
  <c r="AQ731"/>
  <c r="AQ730"/>
  <c r="AQ729"/>
  <c r="AQ728"/>
  <c r="AQ727"/>
  <c r="AQ726"/>
  <c r="AQ725"/>
  <c r="AQ724"/>
  <c r="AQ723"/>
  <c r="AQ722"/>
  <c r="AQ721"/>
  <c r="AQ720"/>
  <c r="AQ719"/>
  <c r="AQ718"/>
  <c r="AQ717"/>
  <c r="AQ716"/>
  <c r="AQ715"/>
  <c r="AQ714"/>
  <c r="AQ713"/>
  <c r="AQ712"/>
  <c r="AQ711"/>
  <c r="AQ710"/>
  <c r="AQ709"/>
  <c r="AQ708"/>
  <c r="AQ707"/>
  <c r="AQ706"/>
  <c r="AQ705"/>
  <c r="AQ704"/>
  <c r="AQ703"/>
  <c r="AQ702"/>
  <c r="AQ701"/>
  <c r="AQ700"/>
  <c r="AQ699"/>
  <c r="AQ698"/>
  <c r="AQ697"/>
  <c r="AQ696"/>
  <c r="AQ695"/>
  <c r="AQ694"/>
  <c r="AQ693"/>
  <c r="AQ692"/>
  <c r="AQ691"/>
  <c r="AQ690"/>
  <c r="AQ689"/>
  <c r="AQ688"/>
  <c r="AQ687"/>
  <c r="AQ686"/>
  <c r="AQ685"/>
  <c r="AQ684"/>
  <c r="AQ683"/>
  <c r="AQ682"/>
  <c r="AQ681"/>
  <c r="AQ680"/>
  <c r="AQ679"/>
  <c r="AQ678"/>
  <c r="AQ677"/>
  <c r="AQ676"/>
  <c r="AQ675"/>
  <c r="AQ674"/>
  <c r="AQ673"/>
  <c r="AQ672"/>
  <c r="AQ671"/>
  <c r="AQ670"/>
  <c r="AQ669"/>
  <c r="AQ668"/>
  <c r="AQ667"/>
  <c r="AQ666"/>
  <c r="AQ665"/>
  <c r="AQ664"/>
  <c r="AQ663"/>
  <c r="AQ662"/>
  <c r="AQ661"/>
  <c r="AQ660"/>
  <c r="AQ659"/>
  <c r="AQ658"/>
  <c r="AQ657"/>
  <c r="AQ656"/>
  <c r="AQ655"/>
  <c r="AQ654"/>
  <c r="AQ653"/>
  <c r="AQ652"/>
  <c r="AQ651"/>
  <c r="AQ650"/>
  <c r="AQ649"/>
  <c r="AQ648"/>
  <c r="AQ647"/>
  <c r="AQ646"/>
  <c r="AQ645"/>
  <c r="AQ644"/>
  <c r="AQ643"/>
  <c r="AQ642"/>
  <c r="AQ641"/>
  <c r="AQ640"/>
  <c r="AQ639"/>
  <c r="AQ638"/>
  <c r="AQ637"/>
  <c r="AQ636"/>
  <c r="AQ635"/>
  <c r="AQ634"/>
  <c r="AQ633"/>
  <c r="AQ632"/>
  <c r="AQ631"/>
  <c r="AQ630"/>
  <c r="AQ629"/>
  <c r="AQ628"/>
  <c r="AQ627"/>
  <c r="AQ626"/>
  <c r="AQ625"/>
  <c r="AQ624"/>
  <c r="AQ623"/>
  <c r="AQ622"/>
  <c r="AQ621"/>
  <c r="AQ620"/>
  <c r="AQ619"/>
  <c r="AQ618"/>
  <c r="AQ617"/>
  <c r="AQ616"/>
  <c r="AQ615"/>
  <c r="AQ614"/>
  <c r="AQ613"/>
  <c r="AQ612"/>
  <c r="AQ611"/>
  <c r="AQ610"/>
  <c r="AQ609"/>
  <c r="AQ608"/>
  <c r="AQ607"/>
  <c r="AQ606"/>
  <c r="AQ605"/>
  <c r="AQ604"/>
  <c r="AQ603"/>
  <c r="AQ602"/>
  <c r="AQ601"/>
  <c r="AQ600"/>
  <c r="AQ599"/>
  <c r="AQ598"/>
  <c r="AQ597"/>
  <c r="AQ596"/>
  <c r="AQ595"/>
  <c r="AQ594"/>
  <c r="AQ593"/>
  <c r="AQ592"/>
  <c r="AQ591"/>
  <c r="AQ590"/>
  <c r="AQ589"/>
  <c r="AQ588"/>
  <c r="AQ587"/>
  <c r="AQ586"/>
  <c r="AQ585"/>
  <c r="AQ584"/>
  <c r="AQ583"/>
  <c r="AQ582"/>
  <c r="AQ581"/>
  <c r="AQ580"/>
  <c r="AQ579"/>
  <c r="AQ578"/>
  <c r="AQ577"/>
  <c r="AQ576"/>
  <c r="AQ575"/>
  <c r="AQ574"/>
  <c r="AQ573"/>
  <c r="AQ572"/>
  <c r="AQ571"/>
  <c r="AQ570"/>
  <c r="AQ569"/>
  <c r="AQ568"/>
  <c r="AQ567"/>
  <c r="AQ566"/>
  <c r="AQ565"/>
  <c r="AQ564"/>
  <c r="AQ563"/>
  <c r="AQ562"/>
  <c r="AQ561"/>
  <c r="AQ560"/>
  <c r="AQ559"/>
  <c r="AQ558"/>
  <c r="AQ557"/>
  <c r="AQ556"/>
  <c r="AQ555"/>
  <c r="AQ554"/>
  <c r="AQ553"/>
  <c r="AQ552"/>
  <c r="AQ551"/>
  <c r="AQ550"/>
  <c r="AQ549"/>
  <c r="AQ548"/>
  <c r="AQ547"/>
  <c r="AQ546"/>
  <c r="AQ545"/>
  <c r="AQ544"/>
  <c r="AQ543"/>
  <c r="AQ542"/>
  <c r="AQ541"/>
  <c r="AQ540"/>
  <c r="AQ539"/>
  <c r="AQ538"/>
  <c r="AQ537"/>
  <c r="AQ536"/>
  <c r="AQ535"/>
  <c r="AQ534"/>
  <c r="AQ533"/>
  <c r="AQ532"/>
  <c r="AQ531"/>
  <c r="AQ530"/>
  <c r="AQ529"/>
  <c r="AQ528"/>
  <c r="AQ527"/>
  <c r="AQ526"/>
  <c r="AQ525"/>
  <c r="AQ524"/>
  <c r="AQ523"/>
  <c r="AQ522"/>
  <c r="AQ521"/>
  <c r="AQ520"/>
  <c r="AQ519"/>
  <c r="AQ518"/>
  <c r="AQ517"/>
  <c r="AQ516"/>
  <c r="AQ515"/>
  <c r="AQ514"/>
  <c r="AQ513"/>
  <c r="AQ512"/>
  <c r="AQ511"/>
  <c r="AQ510"/>
  <c r="AQ509"/>
  <c r="AQ508"/>
  <c r="AQ507"/>
  <c r="AQ506"/>
  <c r="AQ505"/>
  <c r="AQ504"/>
  <c r="AQ503"/>
  <c r="AQ502"/>
  <c r="AQ501"/>
  <c r="AQ500"/>
  <c r="AQ499"/>
  <c r="AQ498"/>
  <c r="AQ497"/>
  <c r="AQ496"/>
  <c r="AQ495"/>
  <c r="AQ494"/>
  <c r="AQ493"/>
  <c r="AQ492"/>
  <c r="AQ491"/>
  <c r="AQ490"/>
  <c r="AQ489"/>
  <c r="AQ488"/>
  <c r="AQ487"/>
  <c r="AQ486"/>
  <c r="AQ485"/>
  <c r="AQ484"/>
  <c r="AQ483"/>
  <c r="AQ482"/>
  <c r="AQ481"/>
  <c r="AQ480"/>
  <c r="AQ479"/>
  <c r="AQ478"/>
  <c r="AQ477"/>
  <c r="AQ476"/>
  <c r="AQ475"/>
  <c r="AQ474"/>
  <c r="AQ473"/>
  <c r="AQ472"/>
  <c r="AQ471"/>
  <c r="AQ470"/>
  <c r="AQ469"/>
  <c r="AQ468"/>
  <c r="AQ467"/>
  <c r="AQ466"/>
  <c r="AQ465"/>
  <c r="AQ464"/>
  <c r="AQ463"/>
  <c r="AQ462"/>
  <c r="AQ461"/>
  <c r="AQ460"/>
  <c r="AQ459"/>
  <c r="AQ458"/>
  <c r="AQ457"/>
  <c r="AQ456"/>
  <c r="AQ455"/>
  <c r="AQ454"/>
  <c r="AQ453"/>
  <c r="AQ452"/>
  <c r="AQ451"/>
  <c r="AQ450"/>
  <c r="AQ449"/>
  <c r="AQ448"/>
  <c r="AQ447"/>
  <c r="AQ446"/>
  <c r="AQ445"/>
  <c r="AQ444"/>
  <c r="AQ443"/>
  <c r="AQ442"/>
  <c r="AQ441"/>
  <c r="AQ440"/>
  <c r="AQ439"/>
  <c r="AQ438"/>
  <c r="AQ437"/>
  <c r="AQ436"/>
  <c r="AQ435"/>
  <c r="AQ434"/>
  <c r="AQ433"/>
  <c r="AQ432"/>
  <c r="AQ431"/>
  <c r="AQ430"/>
  <c r="AQ429"/>
  <c r="AQ428"/>
  <c r="AQ427"/>
  <c r="AQ426"/>
  <c r="AQ425"/>
  <c r="AQ424"/>
  <c r="AQ423"/>
  <c r="AQ422"/>
  <c r="AQ421"/>
  <c r="AQ420"/>
  <c r="AQ419"/>
  <c r="AQ418"/>
  <c r="AQ417"/>
  <c r="AQ416"/>
  <c r="AQ415"/>
  <c r="AQ414"/>
  <c r="AQ413"/>
  <c r="AQ412"/>
  <c r="AQ411"/>
  <c r="AQ410"/>
  <c r="AQ409"/>
  <c r="AQ408"/>
  <c r="AQ407"/>
  <c r="AQ406"/>
  <c r="AQ405"/>
  <c r="AQ404"/>
  <c r="AQ403"/>
  <c r="AQ402"/>
  <c r="AQ401"/>
  <c r="AQ400"/>
  <c r="AQ399"/>
  <c r="AQ398"/>
  <c r="AQ397"/>
  <c r="AQ396"/>
  <c r="AQ395"/>
  <c r="AQ394"/>
  <c r="AQ393"/>
  <c r="AQ392"/>
  <c r="AQ391"/>
  <c r="AQ390"/>
  <c r="AQ389"/>
  <c r="AQ388"/>
  <c r="AQ387"/>
  <c r="AQ386"/>
  <c r="AQ385"/>
  <c r="AQ384"/>
  <c r="AQ383"/>
  <c r="AQ382"/>
  <c r="AQ381"/>
  <c r="AQ380"/>
  <c r="AQ379"/>
  <c r="AQ378"/>
  <c r="AQ377"/>
  <c r="AQ376"/>
  <c r="AQ375"/>
  <c r="AQ374"/>
  <c r="AQ373"/>
  <c r="AQ372"/>
  <c r="AQ371"/>
  <c r="AQ370"/>
  <c r="AQ369"/>
  <c r="AQ368"/>
  <c r="AQ367"/>
  <c r="AQ366"/>
  <c r="AQ365"/>
  <c r="AQ364"/>
  <c r="AQ363"/>
  <c r="AQ362"/>
  <c r="AQ361"/>
  <c r="AQ360"/>
  <c r="AQ359"/>
  <c r="AQ358"/>
  <c r="AQ357"/>
  <c r="AQ356"/>
  <c r="AQ355"/>
  <c r="AQ354"/>
  <c r="AQ353"/>
  <c r="AQ352"/>
  <c r="AQ351"/>
  <c r="AQ350"/>
  <c r="AQ349"/>
  <c r="AQ348"/>
  <c r="AQ347"/>
  <c r="AQ346"/>
  <c r="AQ345"/>
  <c r="AQ344"/>
  <c r="AQ343"/>
  <c r="AQ342"/>
  <c r="AQ341"/>
  <c r="AQ340"/>
  <c r="AQ339"/>
  <c r="AQ338"/>
  <c r="AQ337"/>
  <c r="AQ336"/>
  <c r="AQ335"/>
  <c r="AQ334"/>
  <c r="AQ333"/>
  <c r="AQ332"/>
  <c r="AQ331"/>
  <c r="AQ330"/>
  <c r="AQ329"/>
  <c r="AQ328"/>
  <c r="AQ327"/>
  <c r="AQ326"/>
  <c r="AQ325"/>
  <c r="AQ324"/>
  <c r="AQ323"/>
  <c r="AQ322"/>
  <c r="AQ321"/>
  <c r="AQ320"/>
  <c r="AQ319"/>
  <c r="AQ318"/>
  <c r="AQ317"/>
  <c r="AQ316"/>
  <c r="AQ315"/>
  <c r="AQ314"/>
  <c r="AQ313"/>
  <c r="AQ312"/>
  <c r="AQ311"/>
  <c r="AQ310"/>
  <c r="AQ309"/>
  <c r="AQ308"/>
  <c r="AQ307"/>
  <c r="AQ306"/>
  <c r="AQ305"/>
  <c r="AQ304"/>
  <c r="AQ303"/>
  <c r="AQ302"/>
  <c r="AQ301"/>
  <c r="AQ300"/>
  <c r="AQ299"/>
  <c r="AQ298"/>
  <c r="AQ297"/>
  <c r="AQ296"/>
  <c r="AQ295"/>
  <c r="AQ294"/>
  <c r="AQ293"/>
  <c r="AQ292"/>
  <c r="AQ291"/>
  <c r="AQ290"/>
  <c r="AQ289"/>
  <c r="AQ288"/>
  <c r="AQ287"/>
  <c r="AQ286"/>
  <c r="AQ285"/>
  <c r="AQ284"/>
  <c r="AQ283"/>
  <c r="AQ282"/>
  <c r="AQ281"/>
  <c r="AQ280"/>
  <c r="AQ279"/>
  <c r="AQ278"/>
  <c r="AQ277"/>
  <c r="AQ276"/>
  <c r="AQ275"/>
  <c r="AQ274"/>
  <c r="AQ273"/>
  <c r="AQ272"/>
  <c r="AQ271"/>
  <c r="AQ270"/>
  <c r="AQ269"/>
  <c r="AQ268"/>
  <c r="AQ267"/>
  <c r="AQ266"/>
  <c r="AQ265"/>
  <c r="AQ264"/>
  <c r="AQ263"/>
  <c r="AQ262"/>
  <c r="AQ261"/>
  <c r="AQ260"/>
  <c r="AQ259"/>
  <c r="AQ258"/>
  <c r="AQ257"/>
  <c r="AQ256"/>
  <c r="AQ255"/>
  <c r="AQ254"/>
  <c r="AQ253"/>
  <c r="AQ252"/>
  <c r="AQ251"/>
  <c r="AQ250"/>
  <c r="AQ249"/>
  <c r="AQ248"/>
  <c r="AQ247"/>
  <c r="AQ246"/>
  <c r="AQ245"/>
  <c r="AQ244"/>
  <c r="AQ243"/>
  <c r="AQ242"/>
  <c r="AQ241"/>
  <c r="AQ240"/>
  <c r="AQ239"/>
  <c r="AQ238"/>
  <c r="AQ237"/>
  <c r="AQ236"/>
  <c r="AQ235"/>
  <c r="AQ234"/>
  <c r="AQ233"/>
  <c r="AQ232"/>
  <c r="AQ231"/>
  <c r="AQ230"/>
  <c r="AQ229"/>
  <c r="AQ228"/>
  <c r="AQ227"/>
  <c r="AQ226"/>
  <c r="AQ225"/>
  <c r="AQ224"/>
  <c r="AQ223"/>
  <c r="AQ222"/>
  <c r="AQ221"/>
  <c r="AQ220"/>
  <c r="AQ219"/>
  <c r="AQ218"/>
  <c r="AQ217"/>
  <c r="AQ216"/>
  <c r="AQ215"/>
  <c r="AQ214"/>
  <c r="AQ213"/>
  <c r="AQ212"/>
  <c r="AQ211"/>
  <c r="AQ210"/>
  <c r="AQ209"/>
  <c r="AQ208"/>
  <c r="AQ207"/>
  <c r="AQ206"/>
  <c r="AQ205"/>
  <c r="AQ204"/>
  <c r="AQ203"/>
  <c r="AQ202"/>
  <c r="AQ201"/>
  <c r="AQ200"/>
  <c r="AQ199"/>
  <c r="AQ198"/>
  <c r="AQ197"/>
  <c r="AQ196"/>
  <c r="AQ195"/>
  <c r="AQ194"/>
  <c r="AQ193"/>
  <c r="AQ192"/>
  <c r="AQ191"/>
  <c r="AQ190"/>
  <c r="AQ189"/>
  <c r="AQ188"/>
  <c r="AQ187"/>
  <c r="AQ186"/>
  <c r="AQ185"/>
  <c r="AQ184"/>
  <c r="AQ183"/>
  <c r="AQ182"/>
  <c r="AQ181"/>
  <c r="AQ180"/>
  <c r="AQ179"/>
  <c r="AQ178"/>
  <c r="AQ177"/>
  <c r="AQ176"/>
  <c r="AQ175"/>
  <c r="AQ174"/>
  <c r="AQ173"/>
  <c r="AQ172"/>
  <c r="AQ171"/>
  <c r="AQ170"/>
  <c r="AQ169"/>
  <c r="AQ168"/>
  <c r="AQ167"/>
  <c r="AQ166"/>
  <c r="AQ165"/>
  <c r="AQ164"/>
  <c r="AQ163"/>
  <c r="AQ162"/>
  <c r="AQ161"/>
  <c r="AQ160"/>
  <c r="AQ159"/>
  <c r="AQ158"/>
  <c r="AQ157"/>
  <c r="AQ156"/>
  <c r="AQ155"/>
  <c r="AQ154"/>
  <c r="AQ153"/>
  <c r="AQ152"/>
  <c r="AQ151"/>
  <c r="AQ150"/>
  <c r="AQ149"/>
  <c r="AQ148"/>
  <c r="AQ147"/>
  <c r="AQ146"/>
  <c r="AQ145"/>
  <c r="AQ144"/>
  <c r="AQ143"/>
  <c r="AQ142"/>
  <c r="AQ141"/>
  <c r="AQ140"/>
  <c r="AQ139"/>
  <c r="AQ138"/>
  <c r="AQ137"/>
  <c r="AQ136"/>
  <c r="AQ135"/>
  <c r="AQ134"/>
  <c r="AQ133"/>
  <c r="AQ132"/>
  <c r="AQ131"/>
  <c r="AQ130"/>
  <c r="AQ129"/>
  <c r="AQ128"/>
  <c r="AQ127"/>
  <c r="AQ126"/>
  <c r="AQ125"/>
  <c r="AQ124"/>
  <c r="AQ123"/>
  <c r="AQ122"/>
  <c r="AQ121"/>
  <c r="AQ120"/>
  <c r="AQ119"/>
  <c r="AQ118"/>
  <c r="AQ117"/>
  <c r="AQ116"/>
  <c r="AQ115"/>
  <c r="AQ114"/>
  <c r="AQ113"/>
  <c r="AQ112"/>
  <c r="AQ111"/>
  <c r="AQ110"/>
  <c r="AQ109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W8"/>
  <c r="AQ2" s="1"/>
  <c r="AO4"/>
  <c r="AO5" s="1"/>
  <c r="AO6" s="1"/>
  <c r="AO7" s="1"/>
  <c r="AO8" s="1"/>
  <c r="AO9" s="1"/>
  <c r="AO10" s="1"/>
  <c r="AO11" s="1"/>
  <c r="AO12" s="1"/>
  <c r="AO13" s="1"/>
  <c r="AO14" s="1"/>
  <c r="AO15" s="1"/>
  <c r="AO16" s="1"/>
  <c r="AO17" s="1"/>
  <c r="AO18" s="1"/>
  <c r="AO19" s="1"/>
  <c r="AO20" s="1"/>
  <c r="AO21" s="1"/>
  <c r="AO22" s="1"/>
  <c r="AO23" s="1"/>
  <c r="AO24" s="1"/>
  <c r="AO25" s="1"/>
  <c r="AO26" s="1"/>
  <c r="AO27" s="1"/>
  <c r="AO28" s="1"/>
  <c r="AO29" s="1"/>
  <c r="AO30" s="1"/>
  <c r="AO31" s="1"/>
  <c r="AO32" s="1"/>
  <c r="AO33" s="1"/>
  <c r="AO34" s="1"/>
  <c r="AO35" s="1"/>
  <c r="AO36" s="1"/>
  <c r="AO37" s="1"/>
  <c r="AO38" s="1"/>
  <c r="AO39" s="1"/>
  <c r="AO40" s="1"/>
  <c r="AO41" s="1"/>
  <c r="AO42" s="1"/>
  <c r="AO43" s="1"/>
  <c r="AO44" s="1"/>
  <c r="AO45" s="1"/>
  <c r="AO46" s="1"/>
  <c r="AO47" s="1"/>
  <c r="AO48" s="1"/>
  <c r="AO49" s="1"/>
  <c r="AO50" s="1"/>
  <c r="AO51" s="1"/>
  <c r="AO52" s="1"/>
  <c r="AO53" s="1"/>
  <c r="AO54" s="1"/>
  <c r="AO55" s="1"/>
  <c r="AO56" s="1"/>
  <c r="AO57" s="1"/>
  <c r="AO58" s="1"/>
  <c r="AO59" s="1"/>
  <c r="AO60" s="1"/>
  <c r="AO61" s="1"/>
  <c r="AO62" s="1"/>
  <c r="AO63" s="1"/>
  <c r="AO64" s="1"/>
  <c r="AO65" s="1"/>
  <c r="AO66" s="1"/>
  <c r="AO67" s="1"/>
  <c r="AO68" s="1"/>
  <c r="AO69" s="1"/>
  <c r="AO70" s="1"/>
  <c r="AO71" s="1"/>
  <c r="AO72" s="1"/>
  <c r="AO73" s="1"/>
  <c r="AO74" s="1"/>
  <c r="AO75" s="1"/>
  <c r="AO76" s="1"/>
  <c r="AO77" s="1"/>
  <c r="AO78" s="1"/>
  <c r="AO79" s="1"/>
  <c r="AO80" s="1"/>
  <c r="AO81" s="1"/>
  <c r="AO82" s="1"/>
  <c r="AO83" s="1"/>
  <c r="AO84" s="1"/>
  <c r="AO85" s="1"/>
  <c r="AO86" s="1"/>
  <c r="AO87" s="1"/>
  <c r="AO88" s="1"/>
  <c r="AO89" s="1"/>
  <c r="AO90" s="1"/>
  <c r="AO91" s="1"/>
  <c r="AO92" s="1"/>
  <c r="AO93" s="1"/>
  <c r="AO94" s="1"/>
  <c r="AO95" s="1"/>
  <c r="AO96" s="1"/>
  <c r="AO97" s="1"/>
  <c r="AO98" s="1"/>
  <c r="AO99" s="1"/>
  <c r="AO100" s="1"/>
  <c r="AO101" s="1"/>
  <c r="AO102" s="1"/>
  <c r="AO103" s="1"/>
  <c r="AO104" s="1"/>
  <c r="AO105" s="1"/>
  <c r="AO106" s="1"/>
  <c r="AO107" s="1"/>
  <c r="AO108" s="1"/>
  <c r="AO109" s="1"/>
  <c r="AO110" s="1"/>
  <c r="AO111" s="1"/>
  <c r="AO112" s="1"/>
  <c r="AO113" s="1"/>
  <c r="AO114" s="1"/>
  <c r="AO115" s="1"/>
  <c r="AO116" s="1"/>
  <c r="AO117" s="1"/>
  <c r="AO118" s="1"/>
  <c r="AO119" s="1"/>
  <c r="AO120" s="1"/>
  <c r="AO121" s="1"/>
  <c r="AO122" s="1"/>
  <c r="AO123" s="1"/>
  <c r="AO124" s="1"/>
  <c r="AO125" s="1"/>
  <c r="AO126" s="1"/>
  <c r="AO127" s="1"/>
  <c r="AO128" s="1"/>
  <c r="AO129" s="1"/>
  <c r="AO130" s="1"/>
  <c r="AO131" s="1"/>
  <c r="AO132" s="1"/>
  <c r="AO133" s="1"/>
  <c r="AO134" s="1"/>
  <c r="AO135" s="1"/>
  <c r="AO136" s="1"/>
  <c r="AO137" s="1"/>
  <c r="AO138" s="1"/>
  <c r="AO139" s="1"/>
  <c r="AO140" s="1"/>
  <c r="AO141" s="1"/>
  <c r="AO142" s="1"/>
  <c r="AO143" s="1"/>
  <c r="AO144" s="1"/>
  <c r="AO145" s="1"/>
  <c r="AO146" s="1"/>
  <c r="AO147" s="1"/>
  <c r="AO148" s="1"/>
  <c r="AO149" s="1"/>
  <c r="AO150" s="1"/>
  <c r="AO151" s="1"/>
  <c r="AO152" s="1"/>
  <c r="AO153" s="1"/>
  <c r="AO154" s="1"/>
  <c r="AO155" s="1"/>
  <c r="AO156" s="1"/>
  <c r="AO157" s="1"/>
  <c r="AO158" s="1"/>
  <c r="AO159" s="1"/>
  <c r="AO160" s="1"/>
  <c r="AO161" s="1"/>
  <c r="AO162" s="1"/>
  <c r="AO163" s="1"/>
  <c r="AO164" s="1"/>
  <c r="AO165" s="1"/>
  <c r="AO166" s="1"/>
  <c r="AO167" s="1"/>
  <c r="AO168" s="1"/>
  <c r="AO169" s="1"/>
  <c r="AO170" s="1"/>
  <c r="AO171" s="1"/>
  <c r="AO172" s="1"/>
  <c r="AO173" s="1"/>
  <c r="AO174" s="1"/>
  <c r="AO175" s="1"/>
  <c r="AO176" s="1"/>
  <c r="AO177" s="1"/>
  <c r="AO178" s="1"/>
  <c r="AO179" s="1"/>
  <c r="AO180" s="1"/>
  <c r="AO181" s="1"/>
  <c r="AO182" s="1"/>
  <c r="AO183" s="1"/>
  <c r="AO184" s="1"/>
  <c r="AO185" s="1"/>
  <c r="AO186" s="1"/>
  <c r="AO187" s="1"/>
  <c r="AO188" s="1"/>
  <c r="AO189" s="1"/>
  <c r="AO190" s="1"/>
  <c r="AO191" s="1"/>
  <c r="AO192" s="1"/>
  <c r="AO193" s="1"/>
  <c r="AO194" s="1"/>
  <c r="AO195" s="1"/>
  <c r="AO196" s="1"/>
  <c r="AO197" s="1"/>
  <c r="AO198" s="1"/>
  <c r="AO199" s="1"/>
  <c r="AO200" s="1"/>
  <c r="AO201" s="1"/>
  <c r="AO202" s="1"/>
  <c r="AO203" s="1"/>
  <c r="AO204" s="1"/>
  <c r="AO205" s="1"/>
  <c r="AO206" s="1"/>
  <c r="AO207" s="1"/>
  <c r="AO208" s="1"/>
  <c r="AO209" s="1"/>
  <c r="AO210" s="1"/>
  <c r="AO211" s="1"/>
  <c r="AO212" s="1"/>
  <c r="AO213" s="1"/>
  <c r="AO214" s="1"/>
  <c r="AO215" s="1"/>
  <c r="AO216" s="1"/>
  <c r="AO217" s="1"/>
  <c r="AO218" s="1"/>
  <c r="AO219" s="1"/>
  <c r="AO220" s="1"/>
  <c r="AO221" s="1"/>
  <c r="AO222" s="1"/>
  <c r="AO223" s="1"/>
  <c r="AO224" s="1"/>
  <c r="AO225" s="1"/>
  <c r="AO226" s="1"/>
  <c r="AO227" s="1"/>
  <c r="AO228" s="1"/>
  <c r="AO229" s="1"/>
  <c r="AO230" s="1"/>
  <c r="AO231" s="1"/>
  <c r="AO232" s="1"/>
  <c r="AO233" s="1"/>
  <c r="AO234" s="1"/>
  <c r="AO235" s="1"/>
  <c r="AO236" s="1"/>
  <c r="AO237" s="1"/>
  <c r="AO238" s="1"/>
  <c r="AO239" s="1"/>
  <c r="AO240" s="1"/>
  <c r="AO241" s="1"/>
  <c r="AO242" s="1"/>
  <c r="AO243" s="1"/>
  <c r="AO244" s="1"/>
  <c r="AO245" s="1"/>
  <c r="AO246" s="1"/>
  <c r="AO247" s="1"/>
  <c r="AO248" s="1"/>
  <c r="AO249" s="1"/>
  <c r="AO250" s="1"/>
  <c r="AO251" s="1"/>
  <c r="AO252" s="1"/>
  <c r="AO253" s="1"/>
  <c r="AO254" s="1"/>
  <c r="AO255" s="1"/>
  <c r="AO256" s="1"/>
  <c r="AO257" s="1"/>
  <c r="AO258" s="1"/>
  <c r="AO259" s="1"/>
  <c r="AO260" s="1"/>
  <c r="AO261" s="1"/>
  <c r="AO262" s="1"/>
  <c r="AO263" s="1"/>
  <c r="AO264" s="1"/>
  <c r="AO265" s="1"/>
  <c r="AO266" s="1"/>
  <c r="AO267" s="1"/>
  <c r="AO268" s="1"/>
  <c r="AO269" s="1"/>
  <c r="AO270" s="1"/>
  <c r="AO271" s="1"/>
  <c r="AO272" s="1"/>
  <c r="AO273" s="1"/>
  <c r="AO274" s="1"/>
  <c r="AO275" s="1"/>
  <c r="AO276" s="1"/>
  <c r="AO277" s="1"/>
  <c r="AO278" s="1"/>
  <c r="AO279" s="1"/>
  <c r="AO280" s="1"/>
  <c r="AO281" s="1"/>
  <c r="AO282" s="1"/>
  <c r="AO283" s="1"/>
  <c r="AO284" s="1"/>
  <c r="AO285" s="1"/>
  <c r="AO286" s="1"/>
  <c r="AO287" s="1"/>
  <c r="AO288" s="1"/>
  <c r="AO289" s="1"/>
  <c r="AO290" s="1"/>
  <c r="AO291" s="1"/>
  <c r="AO292" s="1"/>
  <c r="AO293" s="1"/>
  <c r="AO294" s="1"/>
  <c r="AO295" s="1"/>
  <c r="AO296" s="1"/>
  <c r="AO297" s="1"/>
  <c r="AO298" s="1"/>
  <c r="AO299" s="1"/>
  <c r="AO300" s="1"/>
  <c r="AO301" s="1"/>
  <c r="AO302" s="1"/>
  <c r="AO303" s="1"/>
  <c r="AO304" s="1"/>
  <c r="AO305" s="1"/>
  <c r="AO306" s="1"/>
  <c r="AO307" s="1"/>
  <c r="AO308" s="1"/>
  <c r="AO309" s="1"/>
  <c r="AO310" s="1"/>
  <c r="AO311" s="1"/>
  <c r="AO312" s="1"/>
  <c r="AO313" s="1"/>
  <c r="AO314" s="1"/>
  <c r="AO315" s="1"/>
  <c r="AO316" s="1"/>
  <c r="AO317" s="1"/>
  <c r="AO318" s="1"/>
  <c r="AO319" s="1"/>
  <c r="AO320" s="1"/>
  <c r="AO321" s="1"/>
  <c r="AO322" s="1"/>
  <c r="AO323" s="1"/>
  <c r="AO324" s="1"/>
  <c r="AO325" s="1"/>
  <c r="AO326" s="1"/>
  <c r="AO327" s="1"/>
  <c r="AO328" s="1"/>
  <c r="AO329" s="1"/>
  <c r="AO330" s="1"/>
  <c r="AO331" s="1"/>
  <c r="AO332" s="1"/>
  <c r="AO333" s="1"/>
  <c r="AO334" s="1"/>
  <c r="AO335" s="1"/>
  <c r="AO336" s="1"/>
  <c r="AO337" s="1"/>
  <c r="AO338" s="1"/>
  <c r="AO339" s="1"/>
  <c r="AO340" s="1"/>
  <c r="AO341" s="1"/>
  <c r="AO342" s="1"/>
  <c r="AO343" s="1"/>
  <c r="AO344" s="1"/>
  <c r="AO345" s="1"/>
  <c r="AO346" s="1"/>
  <c r="AO347" s="1"/>
  <c r="AO348" s="1"/>
  <c r="AO349" s="1"/>
  <c r="AO350" s="1"/>
  <c r="AO351" s="1"/>
  <c r="AO352" s="1"/>
  <c r="AO353" s="1"/>
  <c r="AO354" s="1"/>
  <c r="AO355" s="1"/>
  <c r="AO356" s="1"/>
  <c r="AO357" s="1"/>
  <c r="AO358" s="1"/>
  <c r="AO359" s="1"/>
  <c r="AO360" s="1"/>
  <c r="AO361" s="1"/>
  <c r="AO362" s="1"/>
  <c r="AO363" s="1"/>
  <c r="AO364" s="1"/>
  <c r="AO365" s="1"/>
  <c r="AO366" s="1"/>
  <c r="AO367" s="1"/>
  <c r="AO368" s="1"/>
  <c r="AO369" s="1"/>
  <c r="AO370" s="1"/>
  <c r="AO371" s="1"/>
  <c r="AO372" s="1"/>
  <c r="AO373" s="1"/>
  <c r="AO374" s="1"/>
  <c r="AO375" s="1"/>
  <c r="AO376" s="1"/>
  <c r="AO377" s="1"/>
  <c r="AO378" s="1"/>
  <c r="AO379" s="1"/>
  <c r="AO380" s="1"/>
  <c r="AO381" s="1"/>
  <c r="AO382" s="1"/>
  <c r="AO383" s="1"/>
  <c r="AO384" s="1"/>
  <c r="AO385" s="1"/>
  <c r="AO386" s="1"/>
  <c r="AO387" s="1"/>
  <c r="AO388" s="1"/>
  <c r="AO389" s="1"/>
  <c r="AO390" s="1"/>
  <c r="AO391" s="1"/>
  <c r="AO392" s="1"/>
  <c r="AO393" s="1"/>
  <c r="AO394" s="1"/>
  <c r="AO395" s="1"/>
  <c r="AO396" s="1"/>
  <c r="AO397" s="1"/>
  <c r="AO398" s="1"/>
  <c r="AO399" s="1"/>
  <c r="AO400" s="1"/>
  <c r="AO401" s="1"/>
  <c r="AO402" s="1"/>
  <c r="AO403" s="1"/>
  <c r="AO404" s="1"/>
  <c r="AO405" s="1"/>
  <c r="AO406" s="1"/>
  <c r="AO407" s="1"/>
  <c r="AO408" s="1"/>
  <c r="AO409" s="1"/>
  <c r="AO410" s="1"/>
  <c r="AO411" s="1"/>
  <c r="AO412" s="1"/>
  <c r="AO413" s="1"/>
  <c r="AO414" s="1"/>
  <c r="AO415" s="1"/>
  <c r="AO416" s="1"/>
  <c r="AO417" s="1"/>
  <c r="AO418" s="1"/>
  <c r="AO419" s="1"/>
  <c r="AO420" s="1"/>
  <c r="AO421" s="1"/>
  <c r="AO422" s="1"/>
  <c r="AO423" s="1"/>
  <c r="AO424" s="1"/>
  <c r="AO425" s="1"/>
  <c r="AO426" s="1"/>
  <c r="AO427" s="1"/>
  <c r="AO428" s="1"/>
  <c r="AO429" s="1"/>
  <c r="AO430" s="1"/>
  <c r="AO431" s="1"/>
  <c r="AO432" s="1"/>
  <c r="AO433" s="1"/>
  <c r="AO434" s="1"/>
  <c r="AO435" s="1"/>
  <c r="AO436" s="1"/>
  <c r="AO437" s="1"/>
  <c r="AO438" s="1"/>
  <c r="AO439" s="1"/>
  <c r="AO440" s="1"/>
  <c r="AO441" s="1"/>
  <c r="AO442" s="1"/>
  <c r="AO443" s="1"/>
  <c r="AO444" s="1"/>
  <c r="AO445" s="1"/>
  <c r="AO446" s="1"/>
  <c r="AO447" s="1"/>
  <c r="AO448" s="1"/>
  <c r="AO449" s="1"/>
  <c r="AO450" s="1"/>
  <c r="AO451" s="1"/>
  <c r="AO452" s="1"/>
  <c r="AO453" s="1"/>
  <c r="AO454" s="1"/>
  <c r="AO455" s="1"/>
  <c r="AO456" s="1"/>
  <c r="AO457" s="1"/>
  <c r="AO458" s="1"/>
  <c r="AO459" s="1"/>
  <c r="AO460" s="1"/>
  <c r="AO461" s="1"/>
  <c r="AO462" s="1"/>
  <c r="AO463" s="1"/>
  <c r="AO464" s="1"/>
  <c r="AO465" s="1"/>
  <c r="AO466" s="1"/>
  <c r="AO467" s="1"/>
  <c r="AO468" s="1"/>
  <c r="AO469" s="1"/>
  <c r="AO470" s="1"/>
  <c r="AO471" s="1"/>
  <c r="AO472" s="1"/>
  <c r="AO473" s="1"/>
  <c r="AO474" s="1"/>
  <c r="AO475" s="1"/>
  <c r="AO476" s="1"/>
  <c r="AO477" s="1"/>
  <c r="AO478" s="1"/>
  <c r="AO479" s="1"/>
  <c r="AO480" s="1"/>
  <c r="AO481" s="1"/>
  <c r="AO482" s="1"/>
  <c r="AO483" s="1"/>
  <c r="AO484" s="1"/>
  <c r="AO485" s="1"/>
  <c r="AO486" s="1"/>
  <c r="AO487" s="1"/>
  <c r="AO488" s="1"/>
  <c r="AO489" s="1"/>
  <c r="AO490" s="1"/>
  <c r="AO491" s="1"/>
  <c r="AO492" s="1"/>
  <c r="AO493" s="1"/>
  <c r="AO494" s="1"/>
  <c r="AO495" s="1"/>
  <c r="AO496" s="1"/>
  <c r="AO497" s="1"/>
  <c r="AO498" s="1"/>
  <c r="AO499" s="1"/>
  <c r="AO500" s="1"/>
  <c r="AO501" s="1"/>
  <c r="AO502" s="1"/>
  <c r="AO503" s="1"/>
  <c r="AO504" s="1"/>
  <c r="AO505" s="1"/>
  <c r="AO506" s="1"/>
  <c r="AO507" s="1"/>
  <c r="AO508" s="1"/>
  <c r="AO509" s="1"/>
  <c r="AO510" s="1"/>
  <c r="AO511" s="1"/>
  <c r="AO512" s="1"/>
  <c r="AO513" s="1"/>
  <c r="AO514" s="1"/>
  <c r="AO515" s="1"/>
  <c r="AO516" s="1"/>
  <c r="AO517" s="1"/>
  <c r="AO518" s="1"/>
  <c r="AO519" s="1"/>
  <c r="AO520" s="1"/>
  <c r="AO521" s="1"/>
  <c r="AO522" s="1"/>
  <c r="AO523" s="1"/>
  <c r="AO524" s="1"/>
  <c r="AO525" s="1"/>
  <c r="AO526" s="1"/>
  <c r="AO527" s="1"/>
  <c r="AO528" s="1"/>
  <c r="AO529" s="1"/>
  <c r="AO530" s="1"/>
  <c r="AO531" s="1"/>
  <c r="AO532" s="1"/>
  <c r="AO533" s="1"/>
  <c r="AO534" s="1"/>
  <c r="AO535" s="1"/>
  <c r="AO536" s="1"/>
  <c r="AO537" s="1"/>
  <c r="AO538" s="1"/>
  <c r="AO539" s="1"/>
  <c r="AO540" s="1"/>
  <c r="AO541" s="1"/>
  <c r="AO542" s="1"/>
  <c r="AO543" s="1"/>
  <c r="AO544" s="1"/>
  <c r="AO545" s="1"/>
  <c r="AO546" s="1"/>
  <c r="AO547" s="1"/>
  <c r="AO548" s="1"/>
  <c r="AO549" s="1"/>
  <c r="AO550" s="1"/>
  <c r="AO551" s="1"/>
  <c r="AO552" s="1"/>
  <c r="AO553" s="1"/>
  <c r="AO554" s="1"/>
  <c r="AO555" s="1"/>
  <c r="AO556" s="1"/>
  <c r="AO557" s="1"/>
  <c r="AO558" s="1"/>
  <c r="AO559" s="1"/>
  <c r="AO560" s="1"/>
  <c r="AO561" s="1"/>
  <c r="AO562" s="1"/>
  <c r="AO563" s="1"/>
  <c r="AO564" s="1"/>
  <c r="AO565" s="1"/>
  <c r="AO566" s="1"/>
  <c r="AO567" s="1"/>
  <c r="AO568" s="1"/>
  <c r="AO569" s="1"/>
  <c r="AO570" s="1"/>
  <c r="AO571" s="1"/>
  <c r="AO572" s="1"/>
  <c r="AO573" s="1"/>
  <c r="AO574" s="1"/>
  <c r="AO575" s="1"/>
  <c r="AO576" s="1"/>
  <c r="AO577" s="1"/>
  <c r="AO578" s="1"/>
  <c r="AO579" s="1"/>
  <c r="AO580" s="1"/>
  <c r="AO581" s="1"/>
  <c r="AO582" s="1"/>
  <c r="AO583" s="1"/>
  <c r="AO584" s="1"/>
  <c r="AO585" s="1"/>
  <c r="AO586" s="1"/>
  <c r="AO587" s="1"/>
  <c r="AO588" s="1"/>
  <c r="AO589" s="1"/>
  <c r="AO590" s="1"/>
  <c r="AO591" s="1"/>
  <c r="AO592" s="1"/>
  <c r="AO593" s="1"/>
  <c r="AO594" s="1"/>
  <c r="AO595" s="1"/>
  <c r="AO596" s="1"/>
  <c r="AO597" s="1"/>
  <c r="AO598" s="1"/>
  <c r="AO599" s="1"/>
  <c r="AO600" s="1"/>
  <c r="AO601" s="1"/>
  <c r="AO602" s="1"/>
  <c r="AO603" s="1"/>
  <c r="AO604" s="1"/>
  <c r="AO605" s="1"/>
  <c r="AO606" s="1"/>
  <c r="AO607" s="1"/>
  <c r="AO608" s="1"/>
  <c r="AO609" s="1"/>
  <c r="AO610" s="1"/>
  <c r="AO611" s="1"/>
  <c r="AO612" s="1"/>
  <c r="AO613" s="1"/>
  <c r="AO614" s="1"/>
  <c r="AO615" s="1"/>
  <c r="AO616" s="1"/>
  <c r="AO617" s="1"/>
  <c r="AO618" s="1"/>
  <c r="AO619" s="1"/>
  <c r="AO620" s="1"/>
  <c r="AO621" s="1"/>
  <c r="AO622" s="1"/>
  <c r="AO623" s="1"/>
  <c r="AO624" s="1"/>
  <c r="AO625" s="1"/>
  <c r="AO626" s="1"/>
  <c r="AO627" s="1"/>
  <c r="AO628" s="1"/>
  <c r="AO629" s="1"/>
  <c r="AO630" s="1"/>
  <c r="AO631" s="1"/>
  <c r="AO632" s="1"/>
  <c r="AO633" s="1"/>
  <c r="AO634" s="1"/>
  <c r="AO635" s="1"/>
  <c r="AO636" s="1"/>
  <c r="AO637" s="1"/>
  <c r="AO638" s="1"/>
  <c r="AO639" s="1"/>
  <c r="AO640" s="1"/>
  <c r="AO641" s="1"/>
  <c r="AO642" s="1"/>
  <c r="AO643" s="1"/>
  <c r="AO644" s="1"/>
  <c r="AO645" s="1"/>
  <c r="AO646" s="1"/>
  <c r="AO647" s="1"/>
  <c r="AO648" s="1"/>
  <c r="AO649" s="1"/>
  <c r="AO650" s="1"/>
  <c r="AO651" s="1"/>
  <c r="AO652" s="1"/>
  <c r="AO653" s="1"/>
  <c r="AO654" s="1"/>
  <c r="AO655" s="1"/>
  <c r="AO656" s="1"/>
  <c r="AO657" s="1"/>
  <c r="AO658" s="1"/>
  <c r="AO659" s="1"/>
  <c r="AO660" s="1"/>
  <c r="AO661" s="1"/>
  <c r="AO662" s="1"/>
  <c r="AO663" s="1"/>
  <c r="AO664" s="1"/>
  <c r="AO665" s="1"/>
  <c r="AO666" s="1"/>
  <c r="AO667" s="1"/>
  <c r="AO668" s="1"/>
  <c r="AO669" s="1"/>
  <c r="AO670" s="1"/>
  <c r="AO671" s="1"/>
  <c r="AO672" s="1"/>
  <c r="AO673" s="1"/>
  <c r="AO674" s="1"/>
  <c r="AO675" s="1"/>
  <c r="AO676" s="1"/>
  <c r="AO677" s="1"/>
  <c r="AO678" s="1"/>
  <c r="AO679" s="1"/>
  <c r="AO680" s="1"/>
  <c r="AO681" s="1"/>
  <c r="AO682" s="1"/>
  <c r="AO683" s="1"/>
  <c r="AO684" s="1"/>
  <c r="AO685" s="1"/>
  <c r="AO686" s="1"/>
  <c r="AO687" s="1"/>
  <c r="AO688" s="1"/>
  <c r="AO689" s="1"/>
  <c r="AO690" s="1"/>
  <c r="AO691" s="1"/>
  <c r="AO692" s="1"/>
  <c r="AO693" s="1"/>
  <c r="AO694" s="1"/>
  <c r="AO695" s="1"/>
  <c r="AO696" s="1"/>
  <c r="AO697" s="1"/>
  <c r="AO698" s="1"/>
  <c r="AO699" s="1"/>
  <c r="AO700" s="1"/>
  <c r="AO701" s="1"/>
  <c r="AO702" s="1"/>
  <c r="AO703" s="1"/>
  <c r="AO704" s="1"/>
  <c r="AO705" s="1"/>
  <c r="AO706" s="1"/>
  <c r="AO707" s="1"/>
  <c r="AO708" s="1"/>
  <c r="AO709" s="1"/>
  <c r="AO710" s="1"/>
  <c r="AO711" s="1"/>
  <c r="AO712" s="1"/>
  <c r="AO713" s="1"/>
  <c r="AO714" s="1"/>
  <c r="AO715" s="1"/>
  <c r="AO716" s="1"/>
  <c r="AO717" s="1"/>
  <c r="AO718" s="1"/>
  <c r="AO719" s="1"/>
  <c r="AO720" s="1"/>
  <c r="AO721" s="1"/>
  <c r="AO722" s="1"/>
  <c r="AO723" s="1"/>
  <c r="AO724" s="1"/>
  <c r="AO725" s="1"/>
  <c r="AO726" s="1"/>
  <c r="AO727" s="1"/>
  <c r="AO728" s="1"/>
  <c r="AO729" s="1"/>
  <c r="AO730" s="1"/>
  <c r="AO731" s="1"/>
  <c r="AO732" s="1"/>
  <c r="AO733" s="1"/>
  <c r="AO734" s="1"/>
  <c r="AO735" s="1"/>
  <c r="AO736" s="1"/>
  <c r="AO737" s="1"/>
  <c r="AO738" s="1"/>
  <c r="AO739" s="1"/>
  <c r="AO740" s="1"/>
  <c r="AO741" s="1"/>
  <c r="AO742" s="1"/>
  <c r="AO743" s="1"/>
  <c r="AO744" s="1"/>
  <c r="AO745" s="1"/>
  <c r="AO746" s="1"/>
  <c r="AO747" s="1"/>
  <c r="AO748" s="1"/>
  <c r="AO749" s="1"/>
  <c r="AO750" s="1"/>
  <c r="AO751" s="1"/>
  <c r="AO752" s="1"/>
  <c r="AO753" s="1"/>
  <c r="AO754" s="1"/>
  <c r="AO755" s="1"/>
  <c r="AO756" s="1"/>
  <c r="AO757" s="1"/>
  <c r="AO758" s="1"/>
  <c r="AO759" s="1"/>
  <c r="AO760" s="1"/>
  <c r="AO761" s="1"/>
  <c r="AO762" s="1"/>
  <c r="AO763" s="1"/>
  <c r="AO764" s="1"/>
  <c r="AO765" s="1"/>
  <c r="AO766" s="1"/>
  <c r="AO767" s="1"/>
  <c r="AO768" s="1"/>
  <c r="AO769" s="1"/>
  <c r="AO770" s="1"/>
  <c r="AO771" s="1"/>
  <c r="AO772" s="1"/>
  <c r="AO773" s="1"/>
  <c r="AO774" s="1"/>
  <c r="AO775" s="1"/>
  <c r="AO776" s="1"/>
  <c r="AO777" s="1"/>
  <c r="AO778" s="1"/>
  <c r="AO779" s="1"/>
  <c r="AO780" s="1"/>
  <c r="AO781" s="1"/>
  <c r="AO782" s="1"/>
  <c r="AO783" s="1"/>
  <c r="AO784" s="1"/>
  <c r="AO785" s="1"/>
  <c r="AO786" s="1"/>
  <c r="AO787" s="1"/>
  <c r="AO788" s="1"/>
  <c r="AO789" s="1"/>
  <c r="AO790" s="1"/>
  <c r="AO791" s="1"/>
  <c r="AO792" s="1"/>
  <c r="AO793" s="1"/>
  <c r="AO794" s="1"/>
  <c r="AO795" s="1"/>
  <c r="AO796" s="1"/>
  <c r="AO797" s="1"/>
  <c r="AO798" s="1"/>
  <c r="AO799" s="1"/>
  <c r="AO800" s="1"/>
  <c r="AO801" s="1"/>
  <c r="AO802" s="1"/>
  <c r="AO803" s="1"/>
  <c r="AO804" s="1"/>
  <c r="AO805" s="1"/>
  <c r="AO806" s="1"/>
  <c r="AO807" s="1"/>
  <c r="AO808" s="1"/>
  <c r="AO809" s="1"/>
  <c r="AO810" s="1"/>
  <c r="AO811" s="1"/>
  <c r="AO812" s="1"/>
  <c r="AO813" s="1"/>
  <c r="AO814" s="1"/>
  <c r="AO815" s="1"/>
  <c r="AO816" s="1"/>
  <c r="AO817" s="1"/>
  <c r="AO818" s="1"/>
  <c r="AO819" s="1"/>
  <c r="AO820" s="1"/>
  <c r="AO821" s="1"/>
  <c r="AO822" s="1"/>
  <c r="AO823" s="1"/>
  <c r="AO824" s="1"/>
  <c r="AO825" s="1"/>
  <c r="AO826" s="1"/>
  <c r="AO827" s="1"/>
  <c r="AO828" s="1"/>
  <c r="AO829" s="1"/>
  <c r="AO830" s="1"/>
  <c r="AO831" s="1"/>
  <c r="AO832" s="1"/>
  <c r="AO833" s="1"/>
  <c r="AO834" s="1"/>
  <c r="AO835" s="1"/>
  <c r="AO836" s="1"/>
  <c r="AO837" s="1"/>
  <c r="AO838" s="1"/>
  <c r="AO839" s="1"/>
  <c r="AO840" s="1"/>
  <c r="AO841" s="1"/>
  <c r="AO842" s="1"/>
  <c r="AO843" s="1"/>
  <c r="AO844" s="1"/>
  <c r="AO845" s="1"/>
  <c r="AO846" s="1"/>
  <c r="AO847" s="1"/>
  <c r="AO848" s="1"/>
  <c r="AO849" s="1"/>
  <c r="AO850" s="1"/>
  <c r="AO851" s="1"/>
  <c r="AO852" s="1"/>
  <c r="AO853" s="1"/>
  <c r="AO854" s="1"/>
  <c r="AO855" s="1"/>
  <c r="AO856" s="1"/>
  <c r="AO857" s="1"/>
  <c r="AO858" s="1"/>
  <c r="AO859" s="1"/>
  <c r="AO860" s="1"/>
  <c r="AO861" s="1"/>
  <c r="AO862" s="1"/>
  <c r="AO863" s="1"/>
  <c r="AO864" s="1"/>
  <c r="AO865" s="1"/>
  <c r="AO866" s="1"/>
  <c r="AO867" s="1"/>
  <c r="AO868" s="1"/>
  <c r="AO869" s="1"/>
  <c r="AO870" s="1"/>
  <c r="AO871" s="1"/>
  <c r="AO872" s="1"/>
  <c r="AO873" s="1"/>
  <c r="AO874" s="1"/>
  <c r="AO875" s="1"/>
  <c r="AO876" s="1"/>
  <c r="AO877" s="1"/>
  <c r="AO878" s="1"/>
  <c r="AO879" s="1"/>
  <c r="AO880" s="1"/>
  <c r="AO881" s="1"/>
  <c r="AO882" s="1"/>
  <c r="AO883" s="1"/>
  <c r="AO884" s="1"/>
  <c r="AO885" s="1"/>
  <c r="AO886" s="1"/>
  <c r="AO887" s="1"/>
  <c r="AO888" s="1"/>
  <c r="AO889" s="1"/>
  <c r="AO890" s="1"/>
  <c r="AO891" s="1"/>
  <c r="AO892" s="1"/>
  <c r="AO893" s="1"/>
  <c r="AO894" s="1"/>
  <c r="AO895" s="1"/>
  <c r="AO896" s="1"/>
  <c r="AO897" s="1"/>
  <c r="AO898" s="1"/>
  <c r="AO899" s="1"/>
  <c r="AO900" s="1"/>
  <c r="AO901" s="1"/>
  <c r="AO902" s="1"/>
  <c r="AO903" s="1"/>
  <c r="AO904" s="1"/>
  <c r="AO905" s="1"/>
  <c r="AO906" s="1"/>
  <c r="AO907" s="1"/>
  <c r="AO908" s="1"/>
  <c r="AO909" s="1"/>
  <c r="AO910" s="1"/>
  <c r="AO911" s="1"/>
  <c r="AO912" s="1"/>
  <c r="AO913" s="1"/>
  <c r="AO914" s="1"/>
  <c r="AO915" s="1"/>
  <c r="AO916" s="1"/>
  <c r="AO917" s="1"/>
  <c r="AO918" s="1"/>
  <c r="AO919" s="1"/>
  <c r="AO920" s="1"/>
  <c r="AO921" s="1"/>
  <c r="AO922" s="1"/>
  <c r="AO923" s="1"/>
  <c r="AO924" s="1"/>
  <c r="AO925" s="1"/>
  <c r="AO926" s="1"/>
  <c r="AO927" s="1"/>
  <c r="AO928" s="1"/>
  <c r="AO929" s="1"/>
  <c r="AO930" s="1"/>
  <c r="AO931" s="1"/>
  <c r="AO932" s="1"/>
  <c r="AO933" s="1"/>
  <c r="AO934" s="1"/>
  <c r="AO935" s="1"/>
  <c r="AO936" s="1"/>
  <c r="AO937" s="1"/>
  <c r="AO938" s="1"/>
  <c r="AO939" s="1"/>
  <c r="AO940" s="1"/>
  <c r="AO941" s="1"/>
  <c r="AO942" s="1"/>
  <c r="AO943" s="1"/>
  <c r="AO944" s="1"/>
  <c r="AO945" s="1"/>
  <c r="AO946" s="1"/>
  <c r="AO947" s="1"/>
  <c r="AO948" s="1"/>
  <c r="AO949" s="1"/>
  <c r="AO950" s="1"/>
  <c r="AO951" s="1"/>
  <c r="AO952" s="1"/>
  <c r="AO953" s="1"/>
  <c r="AO954" s="1"/>
  <c r="AO955" s="1"/>
  <c r="AO956" s="1"/>
  <c r="AO957" s="1"/>
  <c r="AO958" s="1"/>
  <c r="AO959" s="1"/>
  <c r="AO960" s="1"/>
  <c r="AO961" s="1"/>
  <c r="AO962" s="1"/>
  <c r="AO963" s="1"/>
  <c r="AO964" s="1"/>
  <c r="AO965" s="1"/>
  <c r="AO966" s="1"/>
  <c r="AO967" s="1"/>
  <c r="AO968" s="1"/>
  <c r="AO969" s="1"/>
  <c r="AO970" s="1"/>
  <c r="AO971" s="1"/>
  <c r="AO972" s="1"/>
  <c r="AO973" s="1"/>
  <c r="AO974" s="1"/>
  <c r="AO975" s="1"/>
  <c r="AO976" s="1"/>
  <c r="AO977" s="1"/>
  <c r="AO978" s="1"/>
  <c r="AO979" s="1"/>
  <c r="AO980" s="1"/>
  <c r="AO981" s="1"/>
  <c r="AO982" s="1"/>
  <c r="AO983" s="1"/>
  <c r="AO984" s="1"/>
  <c r="AO985" s="1"/>
  <c r="AO986" s="1"/>
  <c r="AO987" s="1"/>
  <c r="AO988" s="1"/>
  <c r="AO989" s="1"/>
  <c r="AO990" s="1"/>
  <c r="AO991" s="1"/>
  <c r="AO992" s="1"/>
  <c r="AO993" s="1"/>
  <c r="AO994" s="1"/>
  <c r="AO995" s="1"/>
  <c r="AO996" s="1"/>
  <c r="AO997" s="1"/>
  <c r="AO998" s="1"/>
  <c r="AO999" s="1"/>
  <c r="AO1000" s="1"/>
  <c r="AO1001" s="1"/>
  <c r="AO1002" s="1"/>
  <c r="AN1002"/>
  <c r="AN1001"/>
  <c r="AN1000"/>
  <c r="AN999"/>
  <c r="AN998"/>
  <c r="AN997"/>
  <c r="AN996"/>
  <c r="AN995"/>
  <c r="AN994"/>
  <c r="AN993"/>
  <c r="AN992"/>
  <c r="AN991"/>
  <c r="AN990"/>
  <c r="AN989"/>
  <c r="AN988"/>
  <c r="AN987"/>
  <c r="AN986"/>
  <c r="AN985"/>
  <c r="AN984"/>
  <c r="AN983"/>
  <c r="AN982"/>
  <c r="AN981"/>
  <c r="AN980"/>
  <c r="AN979"/>
  <c r="AN978"/>
  <c r="AN977"/>
  <c r="AN976"/>
  <c r="AN975"/>
  <c r="AN974"/>
  <c r="AN973"/>
  <c r="AN972"/>
  <c r="AN971"/>
  <c r="AN970"/>
  <c r="AN969"/>
  <c r="AN968"/>
  <c r="AN967"/>
  <c r="AN966"/>
  <c r="AN965"/>
  <c r="AN964"/>
  <c r="AN963"/>
  <c r="AN962"/>
  <c r="AN961"/>
  <c r="AN960"/>
  <c r="AN959"/>
  <c r="AN958"/>
  <c r="AN957"/>
  <c r="AN956"/>
  <c r="AN955"/>
  <c r="AN954"/>
  <c r="AN953"/>
  <c r="AN952"/>
  <c r="AN951"/>
  <c r="AN950"/>
  <c r="AN949"/>
  <c r="AN948"/>
  <c r="AN947"/>
  <c r="AN946"/>
  <c r="AN945"/>
  <c r="AN944"/>
  <c r="AN943"/>
  <c r="AN942"/>
  <c r="AN941"/>
  <c r="AN940"/>
  <c r="AN939"/>
  <c r="AN938"/>
  <c r="AN937"/>
  <c r="AN936"/>
  <c r="AN935"/>
  <c r="AN934"/>
  <c r="AN933"/>
  <c r="AN932"/>
  <c r="AN931"/>
  <c r="AN930"/>
  <c r="AN929"/>
  <c r="AN928"/>
  <c r="AN927"/>
  <c r="AN926"/>
  <c r="AN925"/>
  <c r="AN924"/>
  <c r="AN923"/>
  <c r="AN922"/>
  <c r="AN921"/>
  <c r="AN920"/>
  <c r="AN919"/>
  <c r="AN918"/>
  <c r="AN917"/>
  <c r="AN916"/>
  <c r="AN915"/>
  <c r="AN914"/>
  <c r="AN913"/>
  <c r="AN912"/>
  <c r="AN911"/>
  <c r="AN910"/>
  <c r="AN909"/>
  <c r="AN908"/>
  <c r="AN907"/>
  <c r="AN906"/>
  <c r="AN905"/>
  <c r="AN904"/>
  <c r="AN903"/>
  <c r="AN902"/>
  <c r="AN901"/>
  <c r="AN900"/>
  <c r="AN899"/>
  <c r="AN898"/>
  <c r="AN897"/>
  <c r="AN896"/>
  <c r="AN895"/>
  <c r="AN894"/>
  <c r="AN893"/>
  <c r="AN892"/>
  <c r="AN891"/>
  <c r="AN890"/>
  <c r="AN889"/>
  <c r="AN888"/>
  <c r="AN887"/>
  <c r="AN886"/>
  <c r="AN885"/>
  <c r="AN884"/>
  <c r="AN883"/>
  <c r="AN882"/>
  <c r="AN881"/>
  <c r="AN880"/>
  <c r="AN879"/>
  <c r="AN878"/>
  <c r="AN877"/>
  <c r="AN876"/>
  <c r="AN875"/>
  <c r="AN874"/>
  <c r="AN873"/>
  <c r="AN872"/>
  <c r="AN871"/>
  <c r="AN870"/>
  <c r="AN869"/>
  <c r="AN868"/>
  <c r="AN867"/>
  <c r="AN866"/>
  <c r="AN865"/>
  <c r="AN864"/>
  <c r="AN863"/>
  <c r="AN862"/>
  <c r="AN861"/>
  <c r="AN860"/>
  <c r="AN859"/>
  <c r="AN858"/>
  <c r="AN857"/>
  <c r="AN856"/>
  <c r="AN855"/>
  <c r="AN854"/>
  <c r="AN853"/>
  <c r="AN852"/>
  <c r="AN851"/>
  <c r="AN850"/>
  <c r="AN849"/>
  <c r="AN848"/>
  <c r="AN847"/>
  <c r="AN846"/>
  <c r="AN845"/>
  <c r="AN844"/>
  <c r="AN843"/>
  <c r="AN842"/>
  <c r="AN841"/>
  <c r="AN840"/>
  <c r="AN839"/>
  <c r="AN838"/>
  <c r="AN837"/>
  <c r="AN836"/>
  <c r="AN835"/>
  <c r="AN834"/>
  <c r="AN833"/>
  <c r="AN832"/>
  <c r="AN831"/>
  <c r="AN830"/>
  <c r="AN829"/>
  <c r="AN828"/>
  <c r="AN827"/>
  <c r="AN826"/>
  <c r="AN825"/>
  <c r="AN824"/>
  <c r="AN823"/>
  <c r="AN822"/>
  <c r="AN821"/>
  <c r="AN820"/>
  <c r="AN819"/>
  <c r="AN818"/>
  <c r="AN817"/>
  <c r="AN816"/>
  <c r="AN815"/>
  <c r="AN814"/>
  <c r="AN813"/>
  <c r="AN812"/>
  <c r="AN811"/>
  <c r="AN810"/>
  <c r="AN809"/>
  <c r="AN808"/>
  <c r="AN807"/>
  <c r="AN806"/>
  <c r="AN805"/>
  <c r="AN804"/>
  <c r="AN803"/>
  <c r="AN802"/>
  <c r="AN801"/>
  <c r="AN800"/>
  <c r="AN799"/>
  <c r="AN798"/>
  <c r="AN797"/>
  <c r="AN796"/>
  <c r="AN795"/>
  <c r="AN794"/>
  <c r="AN793"/>
  <c r="AN792"/>
  <c r="AN791"/>
  <c r="AN790"/>
  <c r="AN789"/>
  <c r="AN788"/>
  <c r="AN787"/>
  <c r="AN786"/>
  <c r="AN785"/>
  <c r="AN784"/>
  <c r="AN783"/>
  <c r="AN782"/>
  <c r="AN781"/>
  <c r="AN780"/>
  <c r="AN779"/>
  <c r="AN778"/>
  <c r="AN777"/>
  <c r="AN776"/>
  <c r="AN775"/>
  <c r="AN774"/>
  <c r="AN773"/>
  <c r="AN772"/>
  <c r="AN771"/>
  <c r="AN770"/>
  <c r="AN769"/>
  <c r="AN768"/>
  <c r="AN767"/>
  <c r="AN766"/>
  <c r="AN765"/>
  <c r="AN764"/>
  <c r="AN763"/>
  <c r="AN762"/>
  <c r="AN761"/>
  <c r="AN760"/>
  <c r="AN759"/>
  <c r="AN758"/>
  <c r="AN757"/>
  <c r="AN756"/>
  <c r="AN755"/>
  <c r="AN754"/>
  <c r="AN753"/>
  <c r="AN752"/>
  <c r="AN751"/>
  <c r="AN750"/>
  <c r="AN749"/>
  <c r="AN748"/>
  <c r="AN747"/>
  <c r="AN746"/>
  <c r="AN745"/>
  <c r="AN744"/>
  <c r="AN743"/>
  <c r="AN742"/>
  <c r="AN741"/>
  <c r="AN740"/>
  <c r="AN739"/>
  <c r="AN738"/>
  <c r="AN737"/>
  <c r="AN736"/>
  <c r="AN735"/>
  <c r="AN734"/>
  <c r="AN733"/>
  <c r="AN732"/>
  <c r="AN731"/>
  <c r="AN730"/>
  <c r="AN729"/>
  <c r="AN728"/>
  <c r="AN727"/>
  <c r="AN726"/>
  <c r="AN725"/>
  <c r="AN724"/>
  <c r="AN723"/>
  <c r="AN722"/>
  <c r="AN721"/>
  <c r="AN720"/>
  <c r="AN719"/>
  <c r="AN718"/>
  <c r="AN717"/>
  <c r="AN716"/>
  <c r="AN715"/>
  <c r="AN714"/>
  <c r="AN713"/>
  <c r="AN712"/>
  <c r="AN711"/>
  <c r="AN710"/>
  <c r="AN709"/>
  <c r="AN708"/>
  <c r="AN707"/>
  <c r="AN706"/>
  <c r="AN705"/>
  <c r="AN704"/>
  <c r="AN703"/>
  <c r="AN702"/>
  <c r="AN701"/>
  <c r="AN700"/>
  <c r="AN699"/>
  <c r="AN698"/>
  <c r="AN697"/>
  <c r="AN696"/>
  <c r="AN695"/>
  <c r="AN694"/>
  <c r="AN693"/>
  <c r="AN692"/>
  <c r="AN691"/>
  <c r="AN690"/>
  <c r="AN689"/>
  <c r="AN688"/>
  <c r="AN687"/>
  <c r="AN686"/>
  <c r="AN685"/>
  <c r="AN684"/>
  <c r="AN683"/>
  <c r="AN682"/>
  <c r="AN681"/>
  <c r="AN680"/>
  <c r="AN679"/>
  <c r="AN678"/>
  <c r="AN677"/>
  <c r="AN676"/>
  <c r="AN675"/>
  <c r="AN674"/>
  <c r="AN673"/>
  <c r="AN672"/>
  <c r="AN671"/>
  <c r="AN670"/>
  <c r="AN669"/>
  <c r="AN668"/>
  <c r="AN667"/>
  <c r="AN666"/>
  <c r="AN665"/>
  <c r="AN664"/>
  <c r="AN663"/>
  <c r="AN662"/>
  <c r="AN661"/>
  <c r="AN660"/>
  <c r="AN659"/>
  <c r="AN658"/>
  <c r="AN657"/>
  <c r="AN656"/>
  <c r="AN655"/>
  <c r="AN654"/>
  <c r="AN653"/>
  <c r="AN652"/>
  <c r="AN651"/>
  <c r="AN650"/>
  <c r="AN649"/>
  <c r="AN648"/>
  <c r="AN647"/>
  <c r="AN646"/>
  <c r="AN645"/>
  <c r="AN644"/>
  <c r="AN643"/>
  <c r="AN642"/>
  <c r="AN641"/>
  <c r="AN640"/>
  <c r="AN639"/>
  <c r="AN638"/>
  <c r="AN637"/>
  <c r="AN636"/>
  <c r="AN635"/>
  <c r="AN634"/>
  <c r="AN633"/>
  <c r="AN632"/>
  <c r="AN631"/>
  <c r="AN630"/>
  <c r="AN629"/>
  <c r="AN628"/>
  <c r="AN627"/>
  <c r="AN626"/>
  <c r="AN625"/>
  <c r="AN624"/>
  <c r="AN623"/>
  <c r="AN622"/>
  <c r="AN621"/>
  <c r="AN620"/>
  <c r="AN619"/>
  <c r="AN618"/>
  <c r="AN617"/>
  <c r="AN616"/>
  <c r="AN615"/>
  <c r="AN614"/>
  <c r="AN613"/>
  <c r="AN612"/>
  <c r="AN611"/>
  <c r="AN610"/>
  <c r="AN609"/>
  <c r="AN608"/>
  <c r="AN607"/>
  <c r="AN606"/>
  <c r="AN605"/>
  <c r="AN604"/>
  <c r="AN603"/>
  <c r="AN602"/>
  <c r="AN601"/>
  <c r="AN600"/>
  <c r="AN599"/>
  <c r="AN598"/>
  <c r="AN597"/>
  <c r="AN596"/>
  <c r="AN595"/>
  <c r="AN594"/>
  <c r="AN593"/>
  <c r="AN592"/>
  <c r="AN591"/>
  <c r="AN590"/>
  <c r="AN589"/>
  <c r="AN588"/>
  <c r="AN587"/>
  <c r="AN586"/>
  <c r="AN585"/>
  <c r="AN584"/>
  <c r="AN583"/>
  <c r="AN582"/>
  <c r="AN581"/>
  <c r="AN580"/>
  <c r="AN579"/>
  <c r="AN578"/>
  <c r="AN577"/>
  <c r="AN576"/>
  <c r="AN575"/>
  <c r="AN574"/>
  <c r="AN573"/>
  <c r="AN572"/>
  <c r="AN571"/>
  <c r="AN570"/>
  <c r="AN569"/>
  <c r="AN568"/>
  <c r="AN567"/>
  <c r="AN566"/>
  <c r="AN565"/>
  <c r="AN564"/>
  <c r="AN563"/>
  <c r="AN562"/>
  <c r="AN561"/>
  <c r="AN560"/>
  <c r="AN559"/>
  <c r="AN558"/>
  <c r="AN557"/>
  <c r="AN556"/>
  <c r="AN555"/>
  <c r="AN554"/>
  <c r="AN553"/>
  <c r="AN552"/>
  <c r="AN551"/>
  <c r="AN550"/>
  <c r="AN549"/>
  <c r="AN548"/>
  <c r="AN547"/>
  <c r="AN546"/>
  <c r="AN545"/>
  <c r="AN544"/>
  <c r="AN543"/>
  <c r="AN542"/>
  <c r="AN541"/>
  <c r="AN540"/>
  <c r="AN539"/>
  <c r="AN538"/>
  <c r="AN537"/>
  <c r="AN536"/>
  <c r="AN535"/>
  <c r="AN534"/>
  <c r="AN533"/>
  <c r="AN532"/>
  <c r="AN531"/>
  <c r="AN530"/>
  <c r="AN529"/>
  <c r="AN528"/>
  <c r="AN527"/>
  <c r="AN526"/>
  <c r="AN525"/>
  <c r="AN524"/>
  <c r="AN523"/>
  <c r="AN522"/>
  <c r="AN521"/>
  <c r="AN520"/>
  <c r="AN519"/>
  <c r="AN518"/>
  <c r="AN517"/>
  <c r="AN516"/>
  <c r="AN515"/>
  <c r="AN514"/>
  <c r="AN513"/>
  <c r="AN512"/>
  <c r="AN511"/>
  <c r="AN510"/>
  <c r="AN509"/>
  <c r="AN508"/>
  <c r="AN507"/>
  <c r="AN506"/>
  <c r="AN505"/>
  <c r="AN504"/>
  <c r="AN503"/>
  <c r="AN502"/>
  <c r="AN501"/>
  <c r="AN500"/>
  <c r="AN499"/>
  <c r="AN498"/>
  <c r="AN497"/>
  <c r="AN496"/>
  <c r="AN495"/>
  <c r="AN494"/>
  <c r="AN493"/>
  <c r="AN492"/>
  <c r="AN491"/>
  <c r="AN490"/>
  <c r="AN489"/>
  <c r="AN488"/>
  <c r="AN487"/>
  <c r="AN486"/>
  <c r="AN485"/>
  <c r="AN484"/>
  <c r="AN483"/>
  <c r="AN482"/>
  <c r="AN481"/>
  <c r="AN480"/>
  <c r="AN479"/>
  <c r="AN478"/>
  <c r="AN477"/>
  <c r="AN476"/>
  <c r="AN475"/>
  <c r="AN474"/>
  <c r="AN473"/>
  <c r="AN472"/>
  <c r="AN471"/>
  <c r="AN470"/>
  <c r="AN469"/>
  <c r="AN468"/>
  <c r="AN467"/>
  <c r="AN466"/>
  <c r="AN465"/>
  <c r="AN464"/>
  <c r="AN463"/>
  <c r="AN462"/>
  <c r="AN461"/>
  <c r="AN460"/>
  <c r="AN459"/>
  <c r="AN458"/>
  <c r="AN457"/>
  <c r="AN456"/>
  <c r="AN455"/>
  <c r="AN454"/>
  <c r="AN453"/>
  <c r="AN452"/>
  <c r="AN451"/>
  <c r="AN450"/>
  <c r="AN449"/>
  <c r="AN448"/>
  <c r="AN447"/>
  <c r="AN446"/>
  <c r="AN445"/>
  <c r="AN444"/>
  <c r="AN443"/>
  <c r="AN442"/>
  <c r="AN441"/>
  <c r="AN440"/>
  <c r="AN439"/>
  <c r="AN438"/>
  <c r="AN437"/>
  <c r="AN436"/>
  <c r="AN435"/>
  <c r="AN434"/>
  <c r="AN433"/>
  <c r="AN432"/>
  <c r="AN431"/>
  <c r="AN430"/>
  <c r="AN429"/>
  <c r="AN428"/>
  <c r="AN427"/>
  <c r="AN426"/>
  <c r="AN425"/>
  <c r="AN424"/>
  <c r="AN423"/>
  <c r="AN422"/>
  <c r="AN421"/>
  <c r="AN420"/>
  <c r="AN419"/>
  <c r="AN418"/>
  <c r="AN417"/>
  <c r="AN416"/>
  <c r="AN415"/>
  <c r="AN414"/>
  <c r="AN413"/>
  <c r="AN412"/>
  <c r="AN411"/>
  <c r="AN410"/>
  <c r="AN409"/>
  <c r="AN408"/>
  <c r="AN407"/>
  <c r="AN406"/>
  <c r="AN405"/>
  <c r="AN404"/>
  <c r="AN403"/>
  <c r="AN402"/>
  <c r="AN401"/>
  <c r="AN400"/>
  <c r="AN399"/>
  <c r="AN398"/>
  <c r="AN397"/>
  <c r="AN396"/>
  <c r="AN395"/>
  <c r="AN394"/>
  <c r="AN393"/>
  <c r="AN392"/>
  <c r="AN391"/>
  <c r="AN390"/>
  <c r="AN389"/>
  <c r="AN388"/>
  <c r="AN387"/>
  <c r="AN386"/>
  <c r="AN385"/>
  <c r="AN384"/>
  <c r="AN383"/>
  <c r="AN382"/>
  <c r="AN381"/>
  <c r="AN380"/>
  <c r="AN379"/>
  <c r="AN378"/>
  <c r="AN377"/>
  <c r="AN376"/>
  <c r="AN375"/>
  <c r="AN374"/>
  <c r="AN373"/>
  <c r="AN372"/>
  <c r="AN371"/>
  <c r="AN370"/>
  <c r="AN369"/>
  <c r="AN368"/>
  <c r="AN367"/>
  <c r="AN366"/>
  <c r="AN365"/>
  <c r="AN364"/>
  <c r="AN363"/>
  <c r="AN362"/>
  <c r="AN361"/>
  <c r="AN360"/>
  <c r="AN359"/>
  <c r="AN358"/>
  <c r="AN357"/>
  <c r="AN356"/>
  <c r="AN355"/>
  <c r="AN354"/>
  <c r="AN353"/>
  <c r="AN352"/>
  <c r="AN351"/>
  <c r="AN350"/>
  <c r="AN349"/>
  <c r="AN348"/>
  <c r="AN347"/>
  <c r="AN346"/>
  <c r="AN345"/>
  <c r="AN344"/>
  <c r="AN343"/>
  <c r="AN342"/>
  <c r="AN341"/>
  <c r="AN340"/>
  <c r="AN339"/>
  <c r="AN338"/>
  <c r="AN337"/>
  <c r="AN336"/>
  <c r="AN335"/>
  <c r="AN334"/>
  <c r="AN333"/>
  <c r="AN332"/>
  <c r="AN331"/>
  <c r="AN330"/>
  <c r="AN329"/>
  <c r="AN328"/>
  <c r="AN327"/>
  <c r="AN326"/>
  <c r="AN325"/>
  <c r="AN324"/>
  <c r="AN323"/>
  <c r="AN322"/>
  <c r="AN321"/>
  <c r="AN320"/>
  <c r="AN319"/>
  <c r="AN318"/>
  <c r="AN317"/>
  <c r="AN316"/>
  <c r="AN315"/>
  <c r="AN314"/>
  <c r="AN313"/>
  <c r="AN312"/>
  <c r="AN311"/>
  <c r="AN310"/>
  <c r="AN309"/>
  <c r="AN308"/>
  <c r="AN307"/>
  <c r="AN306"/>
  <c r="AN305"/>
  <c r="AN304"/>
  <c r="AN303"/>
  <c r="AN302"/>
  <c r="AN301"/>
  <c r="AN300"/>
  <c r="AN299"/>
  <c r="AN298"/>
  <c r="AN297"/>
  <c r="AN296"/>
  <c r="AN295"/>
  <c r="AN294"/>
  <c r="AN293"/>
  <c r="AN292"/>
  <c r="AN291"/>
  <c r="AN290"/>
  <c r="AN289"/>
  <c r="AN288"/>
  <c r="AN287"/>
  <c r="AN286"/>
  <c r="AN285"/>
  <c r="AN284"/>
  <c r="AN283"/>
  <c r="AN282"/>
  <c r="AN281"/>
  <c r="AN280"/>
  <c r="AN279"/>
  <c r="AN278"/>
  <c r="AN277"/>
  <c r="AN276"/>
  <c r="AN275"/>
  <c r="AN274"/>
  <c r="AN273"/>
  <c r="AN272"/>
  <c r="AN271"/>
  <c r="AN270"/>
  <c r="AN269"/>
  <c r="AN268"/>
  <c r="AN267"/>
  <c r="AN266"/>
  <c r="AN265"/>
  <c r="AN264"/>
  <c r="AN263"/>
  <c r="AN262"/>
  <c r="AN261"/>
  <c r="AN260"/>
  <c r="AN259"/>
  <c r="AN258"/>
  <c r="AN257"/>
  <c r="AN256"/>
  <c r="AN255"/>
  <c r="AN254"/>
  <c r="AN253"/>
  <c r="AN252"/>
  <c r="AN251"/>
  <c r="AN250"/>
  <c r="AN249"/>
  <c r="AN248"/>
  <c r="AN247"/>
  <c r="AN246"/>
  <c r="AN245"/>
  <c r="AN244"/>
  <c r="AN243"/>
  <c r="AN242"/>
  <c r="AN241"/>
  <c r="AN240"/>
  <c r="AN239"/>
  <c r="AN238"/>
  <c r="AN237"/>
  <c r="AN236"/>
  <c r="AN235"/>
  <c r="AN234"/>
  <c r="AN233"/>
  <c r="AN232"/>
  <c r="AN231"/>
  <c r="AN230"/>
  <c r="AN229"/>
  <c r="AN228"/>
  <c r="AN227"/>
  <c r="AN226"/>
  <c r="AN225"/>
  <c r="AN224"/>
  <c r="AN223"/>
  <c r="AN222"/>
  <c r="AN221"/>
  <c r="AN220"/>
  <c r="AN219"/>
  <c r="AN218"/>
  <c r="AN217"/>
  <c r="AN216"/>
  <c r="AN215"/>
  <c r="AN214"/>
  <c r="AN213"/>
  <c r="AN212"/>
  <c r="AN211"/>
  <c r="AN210"/>
  <c r="AN209"/>
  <c r="AN208"/>
  <c r="AN207"/>
  <c r="AN206"/>
  <c r="AN205"/>
  <c r="AN204"/>
  <c r="AN203"/>
  <c r="AN202"/>
  <c r="AN201"/>
  <c r="AN200"/>
  <c r="AN199"/>
  <c r="AN198"/>
  <c r="AN197"/>
  <c r="AN196"/>
  <c r="AN195"/>
  <c r="AN194"/>
  <c r="AN193"/>
  <c r="AN192"/>
  <c r="AN191"/>
  <c r="AN190"/>
  <c r="AN189"/>
  <c r="AN188"/>
  <c r="AN187"/>
  <c r="AN186"/>
  <c r="AN185"/>
  <c r="AN184"/>
  <c r="AN183"/>
  <c r="AN182"/>
  <c r="AN181"/>
  <c r="AN180"/>
  <c r="AN179"/>
  <c r="AN178"/>
  <c r="AN177"/>
  <c r="AN176"/>
  <c r="AN175"/>
  <c r="AN174"/>
  <c r="AN173"/>
  <c r="AN172"/>
  <c r="AN171"/>
  <c r="AN170"/>
  <c r="AN169"/>
  <c r="AN168"/>
  <c r="AN167"/>
  <c r="AN166"/>
  <c r="AN165"/>
  <c r="AN164"/>
  <c r="AN163"/>
  <c r="AN162"/>
  <c r="AN161"/>
  <c r="AN160"/>
  <c r="AN159"/>
  <c r="AN158"/>
  <c r="AN157"/>
  <c r="AN156"/>
  <c r="AN155"/>
  <c r="AN154"/>
  <c r="AN153"/>
  <c r="AN152"/>
  <c r="AN151"/>
  <c r="AN150"/>
  <c r="AN149"/>
  <c r="AN148"/>
  <c r="AN147"/>
  <c r="AN146"/>
  <c r="AN145"/>
  <c r="AN144"/>
  <c r="AN143"/>
  <c r="AN142"/>
  <c r="AN141"/>
  <c r="AN140"/>
  <c r="AN139"/>
  <c r="AN138"/>
  <c r="AN137"/>
  <c r="AN136"/>
  <c r="AN135"/>
  <c r="AN134"/>
  <c r="AN133"/>
  <c r="AN132"/>
  <c r="AN131"/>
  <c r="AN130"/>
  <c r="AN129"/>
  <c r="AN128"/>
  <c r="AN127"/>
  <c r="AN126"/>
  <c r="AN125"/>
  <c r="AN124"/>
  <c r="AN123"/>
  <c r="AN122"/>
  <c r="AN121"/>
  <c r="AN120"/>
  <c r="AN119"/>
  <c r="AN118"/>
  <c r="AN117"/>
  <c r="AN116"/>
  <c r="AN115"/>
  <c r="AN114"/>
  <c r="AN113"/>
  <c r="AN112"/>
  <c r="AN111"/>
  <c r="AN110"/>
  <c r="AN109"/>
  <c r="AN108"/>
  <c r="AN107"/>
  <c r="AN106"/>
  <c r="AN105"/>
  <c r="AN104"/>
  <c r="AN103"/>
  <c r="AN102"/>
  <c r="AN101"/>
  <c r="AN100"/>
  <c r="AN99"/>
  <c r="AN98"/>
  <c r="AN97"/>
  <c r="AN96"/>
  <c r="AN95"/>
  <c r="AN94"/>
  <c r="AN93"/>
  <c r="AN92"/>
  <c r="AN91"/>
  <c r="AN90"/>
  <c r="AN89"/>
  <c r="AN88"/>
  <c r="AN87"/>
  <c r="AN86"/>
  <c r="AN85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T8"/>
  <c r="AN2" s="1"/>
  <c r="AL4"/>
  <c r="AL5" s="1"/>
  <c r="AL6" s="1"/>
  <c r="AL7" s="1"/>
  <c r="AL8" s="1"/>
  <c r="AL9" s="1"/>
  <c r="AL10" s="1"/>
  <c r="AL11" s="1"/>
  <c r="AL12" s="1"/>
  <c r="AL13" s="1"/>
  <c r="AL14" s="1"/>
  <c r="AL15" s="1"/>
  <c r="AL16" s="1"/>
  <c r="AL17" s="1"/>
  <c r="AL18" s="1"/>
  <c r="AL19" s="1"/>
  <c r="AL20" s="1"/>
  <c r="AL21" s="1"/>
  <c r="AL22" s="1"/>
  <c r="AL23" s="1"/>
  <c r="AL24" s="1"/>
  <c r="AL25" s="1"/>
  <c r="AL26" s="1"/>
  <c r="AL27" s="1"/>
  <c r="AL28" s="1"/>
  <c r="AL29" s="1"/>
  <c r="AL30" s="1"/>
  <c r="AL31" s="1"/>
  <c r="AL32" s="1"/>
  <c r="AL33" s="1"/>
  <c r="AL34" s="1"/>
  <c r="AL35" s="1"/>
  <c r="AL36" s="1"/>
  <c r="AL37" s="1"/>
  <c r="AL38" s="1"/>
  <c r="AL39" s="1"/>
  <c r="AL40" s="1"/>
  <c r="AL41" s="1"/>
  <c r="AL42" s="1"/>
  <c r="AL43" s="1"/>
  <c r="AL44" s="1"/>
  <c r="AL45" s="1"/>
  <c r="AL46" s="1"/>
  <c r="AL47" s="1"/>
  <c r="AL48" s="1"/>
  <c r="AL49" s="1"/>
  <c r="AL50" s="1"/>
  <c r="AL51" s="1"/>
  <c r="AL52" s="1"/>
  <c r="AL53" s="1"/>
  <c r="AL54" s="1"/>
  <c r="AL55" s="1"/>
  <c r="AL56" s="1"/>
  <c r="AL57" s="1"/>
  <c r="AL58" s="1"/>
  <c r="AL59" s="1"/>
  <c r="AL60" s="1"/>
  <c r="AL61" s="1"/>
  <c r="AL62" s="1"/>
  <c r="AL63" s="1"/>
  <c r="AL64" s="1"/>
  <c r="AL65" s="1"/>
  <c r="AL66" s="1"/>
  <c r="AL67" s="1"/>
  <c r="AL68" s="1"/>
  <c r="AL69" s="1"/>
  <c r="AL70" s="1"/>
  <c r="AL71" s="1"/>
  <c r="AL72" s="1"/>
  <c r="AL73" s="1"/>
  <c r="AL74" s="1"/>
  <c r="AL75" s="1"/>
  <c r="AL76" s="1"/>
  <c r="AL77" s="1"/>
  <c r="AL78" s="1"/>
  <c r="AL79" s="1"/>
  <c r="AL80" s="1"/>
  <c r="AL81" s="1"/>
  <c r="AL82" s="1"/>
  <c r="AL83" s="1"/>
  <c r="AL84" s="1"/>
  <c r="AL85" s="1"/>
  <c r="AL86" s="1"/>
  <c r="AL87" s="1"/>
  <c r="AL88" s="1"/>
  <c r="AL89" s="1"/>
  <c r="AL90" s="1"/>
  <c r="AL91" s="1"/>
  <c r="AL92" s="1"/>
  <c r="AL93" s="1"/>
  <c r="AL94" s="1"/>
  <c r="AL95" s="1"/>
  <c r="AL96" s="1"/>
  <c r="AL97" s="1"/>
  <c r="AL98" s="1"/>
  <c r="AL99" s="1"/>
  <c r="AL100" s="1"/>
  <c r="AL101" s="1"/>
  <c r="AL102" s="1"/>
  <c r="AL103" s="1"/>
  <c r="AL104" s="1"/>
  <c r="AL105" s="1"/>
  <c r="AL106" s="1"/>
  <c r="AL107" s="1"/>
  <c r="AL108" s="1"/>
  <c r="AL109" s="1"/>
  <c r="AL110" s="1"/>
  <c r="AL111" s="1"/>
  <c r="AL112" s="1"/>
  <c r="AL113" s="1"/>
  <c r="AL114" s="1"/>
  <c r="AL115" s="1"/>
  <c r="AL116" s="1"/>
  <c r="AL117" s="1"/>
  <c r="AL118" s="1"/>
  <c r="AL119" s="1"/>
  <c r="AL120" s="1"/>
  <c r="AL121" s="1"/>
  <c r="AL122" s="1"/>
  <c r="AL123" s="1"/>
  <c r="AL124" s="1"/>
  <c r="AL125" s="1"/>
  <c r="AL126" s="1"/>
  <c r="AL127" s="1"/>
  <c r="AL128" s="1"/>
  <c r="AL129" s="1"/>
  <c r="AL130" s="1"/>
  <c r="AL131" s="1"/>
  <c r="AL132" s="1"/>
  <c r="AL133" s="1"/>
  <c r="AL134" s="1"/>
  <c r="AL135" s="1"/>
  <c r="AL136" s="1"/>
  <c r="AL137" s="1"/>
  <c r="AL138" s="1"/>
  <c r="AL139" s="1"/>
  <c r="AL140" s="1"/>
  <c r="AL141" s="1"/>
  <c r="AL142" s="1"/>
  <c r="AL143" s="1"/>
  <c r="AL144" s="1"/>
  <c r="AL145" s="1"/>
  <c r="AL146" s="1"/>
  <c r="AL147" s="1"/>
  <c r="AL148" s="1"/>
  <c r="AL149" s="1"/>
  <c r="AL150" s="1"/>
  <c r="AL151" s="1"/>
  <c r="AL152" s="1"/>
  <c r="AL153" s="1"/>
  <c r="AL154" s="1"/>
  <c r="AL155" s="1"/>
  <c r="AL156" s="1"/>
  <c r="AL157" s="1"/>
  <c r="AL158" s="1"/>
  <c r="AL159" s="1"/>
  <c r="AL160" s="1"/>
  <c r="AL161" s="1"/>
  <c r="AL162" s="1"/>
  <c r="AL163" s="1"/>
  <c r="AL164" s="1"/>
  <c r="AL165" s="1"/>
  <c r="AL166" s="1"/>
  <c r="AL167" s="1"/>
  <c r="AL168" s="1"/>
  <c r="AL169" s="1"/>
  <c r="AL170" s="1"/>
  <c r="AL171" s="1"/>
  <c r="AL172" s="1"/>
  <c r="AL173" s="1"/>
  <c r="AL174" s="1"/>
  <c r="AL175" s="1"/>
  <c r="AL176" s="1"/>
  <c r="AL177" s="1"/>
  <c r="AL178" s="1"/>
  <c r="AL179" s="1"/>
  <c r="AL180" s="1"/>
  <c r="AL181" s="1"/>
  <c r="AL182" s="1"/>
  <c r="AL183" s="1"/>
  <c r="AL184" s="1"/>
  <c r="AL185" s="1"/>
  <c r="AL186" s="1"/>
  <c r="AL187" s="1"/>
  <c r="AL188" s="1"/>
  <c r="AL189" s="1"/>
  <c r="AL190" s="1"/>
  <c r="AL191" s="1"/>
  <c r="AL192" s="1"/>
  <c r="AL193" s="1"/>
  <c r="AL194" s="1"/>
  <c r="AL195" s="1"/>
  <c r="AL196" s="1"/>
  <c r="AL197" s="1"/>
  <c r="AL198" s="1"/>
  <c r="AL199" s="1"/>
  <c r="AL200" s="1"/>
  <c r="AL201" s="1"/>
  <c r="AL202" s="1"/>
  <c r="AL203" s="1"/>
  <c r="AL204" s="1"/>
  <c r="AL205" s="1"/>
  <c r="AL206" s="1"/>
  <c r="AL207" s="1"/>
  <c r="AL208" s="1"/>
  <c r="AL209" s="1"/>
  <c r="AL210" s="1"/>
  <c r="AL211" s="1"/>
  <c r="AL212" s="1"/>
  <c r="AL213" s="1"/>
  <c r="AL214" s="1"/>
  <c r="AL215" s="1"/>
  <c r="AL216" s="1"/>
  <c r="AL217" s="1"/>
  <c r="AL218" s="1"/>
  <c r="AL219" s="1"/>
  <c r="AL220" s="1"/>
  <c r="AL221" s="1"/>
  <c r="AL222" s="1"/>
  <c r="AL223" s="1"/>
  <c r="AL224" s="1"/>
  <c r="AL225" s="1"/>
  <c r="AL226" s="1"/>
  <c r="AL227" s="1"/>
  <c r="AL228" s="1"/>
  <c r="AL229" s="1"/>
  <c r="AL230" s="1"/>
  <c r="AL231" s="1"/>
  <c r="AL232" s="1"/>
  <c r="AL233" s="1"/>
  <c r="AL234" s="1"/>
  <c r="AL235" s="1"/>
  <c r="AL236" s="1"/>
  <c r="AL237" s="1"/>
  <c r="AL238" s="1"/>
  <c r="AL239" s="1"/>
  <c r="AL240" s="1"/>
  <c r="AL241" s="1"/>
  <c r="AL242" s="1"/>
  <c r="AL243" s="1"/>
  <c r="AL244" s="1"/>
  <c r="AL245" s="1"/>
  <c r="AL246" s="1"/>
  <c r="AL247" s="1"/>
  <c r="AL248" s="1"/>
  <c r="AL249" s="1"/>
  <c r="AL250" s="1"/>
  <c r="AL251" s="1"/>
  <c r="AL252" s="1"/>
  <c r="AL253" s="1"/>
  <c r="AL254" s="1"/>
  <c r="AL255" s="1"/>
  <c r="AL256" s="1"/>
  <c r="AL257" s="1"/>
  <c r="AL258" s="1"/>
  <c r="AL259" s="1"/>
  <c r="AL260" s="1"/>
  <c r="AL261" s="1"/>
  <c r="AL262" s="1"/>
  <c r="AL263" s="1"/>
  <c r="AL264" s="1"/>
  <c r="AL265" s="1"/>
  <c r="AL266" s="1"/>
  <c r="AL267" s="1"/>
  <c r="AL268" s="1"/>
  <c r="AL269" s="1"/>
  <c r="AL270" s="1"/>
  <c r="AL271" s="1"/>
  <c r="AL272" s="1"/>
  <c r="AL273" s="1"/>
  <c r="AL274" s="1"/>
  <c r="AL275" s="1"/>
  <c r="AL276" s="1"/>
  <c r="AL277" s="1"/>
  <c r="AL278" s="1"/>
  <c r="AL279" s="1"/>
  <c r="AL280" s="1"/>
  <c r="AL281" s="1"/>
  <c r="AL282" s="1"/>
  <c r="AL283" s="1"/>
  <c r="AL284" s="1"/>
  <c r="AL285" s="1"/>
  <c r="AL286" s="1"/>
  <c r="AL287" s="1"/>
  <c r="AL288" s="1"/>
  <c r="AL289" s="1"/>
  <c r="AL290" s="1"/>
  <c r="AL291" s="1"/>
  <c r="AL292" s="1"/>
  <c r="AL293" s="1"/>
  <c r="AL294" s="1"/>
  <c r="AL295" s="1"/>
  <c r="AL296" s="1"/>
  <c r="AL297" s="1"/>
  <c r="AL298" s="1"/>
  <c r="AL299" s="1"/>
  <c r="AL300" s="1"/>
  <c r="AL301" s="1"/>
  <c r="AL302" s="1"/>
  <c r="AL303" s="1"/>
  <c r="AL304" s="1"/>
  <c r="AL305" s="1"/>
  <c r="AL306" s="1"/>
  <c r="AL307" s="1"/>
  <c r="AL308" s="1"/>
  <c r="AL309" s="1"/>
  <c r="AL310" s="1"/>
  <c r="AL311" s="1"/>
  <c r="AL312" s="1"/>
  <c r="AL313" s="1"/>
  <c r="AL314" s="1"/>
  <c r="AL315" s="1"/>
  <c r="AL316" s="1"/>
  <c r="AL317" s="1"/>
  <c r="AL318" s="1"/>
  <c r="AL319" s="1"/>
  <c r="AL320" s="1"/>
  <c r="AL321" s="1"/>
  <c r="AL322" s="1"/>
  <c r="AL323" s="1"/>
  <c r="AL324" s="1"/>
  <c r="AL325" s="1"/>
  <c r="AL326" s="1"/>
  <c r="AL327" s="1"/>
  <c r="AL328" s="1"/>
  <c r="AL329" s="1"/>
  <c r="AL330" s="1"/>
  <c r="AL331" s="1"/>
  <c r="AL332" s="1"/>
  <c r="AL333" s="1"/>
  <c r="AL334" s="1"/>
  <c r="AL335" s="1"/>
  <c r="AL336" s="1"/>
  <c r="AL337" s="1"/>
  <c r="AL338" s="1"/>
  <c r="AL339" s="1"/>
  <c r="AL340" s="1"/>
  <c r="AL341" s="1"/>
  <c r="AL342" s="1"/>
  <c r="AL343" s="1"/>
  <c r="AL344" s="1"/>
  <c r="AL345" s="1"/>
  <c r="AL346" s="1"/>
  <c r="AL347" s="1"/>
  <c r="AL348" s="1"/>
  <c r="AL349" s="1"/>
  <c r="AL350" s="1"/>
  <c r="AL351" s="1"/>
  <c r="AL352" s="1"/>
  <c r="AL353" s="1"/>
  <c r="AL354" s="1"/>
  <c r="AL355" s="1"/>
  <c r="AL356" s="1"/>
  <c r="AL357" s="1"/>
  <c r="AL358" s="1"/>
  <c r="AL359" s="1"/>
  <c r="AL360" s="1"/>
  <c r="AL361" s="1"/>
  <c r="AL362" s="1"/>
  <c r="AL363" s="1"/>
  <c r="AL364" s="1"/>
  <c r="AL365" s="1"/>
  <c r="AL366" s="1"/>
  <c r="AL367" s="1"/>
  <c r="AL368" s="1"/>
  <c r="AL369" s="1"/>
  <c r="AL370" s="1"/>
  <c r="AL371" s="1"/>
  <c r="AL372" s="1"/>
  <c r="AL373" s="1"/>
  <c r="AL374" s="1"/>
  <c r="AL375" s="1"/>
  <c r="AL376" s="1"/>
  <c r="AL377" s="1"/>
  <c r="AL378" s="1"/>
  <c r="AL379" s="1"/>
  <c r="AL380" s="1"/>
  <c r="AL381" s="1"/>
  <c r="AL382" s="1"/>
  <c r="AL383" s="1"/>
  <c r="AL384" s="1"/>
  <c r="AL385" s="1"/>
  <c r="AL386" s="1"/>
  <c r="AL387" s="1"/>
  <c r="AL388" s="1"/>
  <c r="AL389" s="1"/>
  <c r="AL390" s="1"/>
  <c r="AL391" s="1"/>
  <c r="AL392" s="1"/>
  <c r="AL393" s="1"/>
  <c r="AL394" s="1"/>
  <c r="AL395" s="1"/>
  <c r="AL396" s="1"/>
  <c r="AL397" s="1"/>
  <c r="AL398" s="1"/>
  <c r="AL399" s="1"/>
  <c r="AL400" s="1"/>
  <c r="AL401" s="1"/>
  <c r="AL402" s="1"/>
  <c r="AL403" s="1"/>
  <c r="AL404" s="1"/>
  <c r="AL405" s="1"/>
  <c r="AL406" s="1"/>
  <c r="AL407" s="1"/>
  <c r="AL408" s="1"/>
  <c r="AL409" s="1"/>
  <c r="AL410" s="1"/>
  <c r="AL411" s="1"/>
  <c r="AL412" s="1"/>
  <c r="AL413" s="1"/>
  <c r="AL414" s="1"/>
  <c r="AL415" s="1"/>
  <c r="AL416" s="1"/>
  <c r="AL417" s="1"/>
  <c r="AL418" s="1"/>
  <c r="AL419" s="1"/>
  <c r="AL420" s="1"/>
  <c r="AL421" s="1"/>
  <c r="AL422" s="1"/>
  <c r="AL423" s="1"/>
  <c r="AL424" s="1"/>
  <c r="AL425" s="1"/>
  <c r="AL426" s="1"/>
  <c r="AL427" s="1"/>
  <c r="AL428" s="1"/>
  <c r="AL429" s="1"/>
  <c r="AL430" s="1"/>
  <c r="AL431" s="1"/>
  <c r="AL432" s="1"/>
  <c r="AL433" s="1"/>
  <c r="AL434" s="1"/>
  <c r="AL435" s="1"/>
  <c r="AL436" s="1"/>
  <c r="AL437" s="1"/>
  <c r="AL438" s="1"/>
  <c r="AL439" s="1"/>
  <c r="AL440" s="1"/>
  <c r="AL441" s="1"/>
  <c r="AL442" s="1"/>
  <c r="AL443" s="1"/>
  <c r="AL444" s="1"/>
  <c r="AL445" s="1"/>
  <c r="AL446" s="1"/>
  <c r="AL447" s="1"/>
  <c r="AL448" s="1"/>
  <c r="AL449" s="1"/>
  <c r="AL450" s="1"/>
  <c r="AL451" s="1"/>
  <c r="AL452" s="1"/>
  <c r="AL453" s="1"/>
  <c r="AL454" s="1"/>
  <c r="AL455" s="1"/>
  <c r="AL456" s="1"/>
  <c r="AL457" s="1"/>
  <c r="AL458" s="1"/>
  <c r="AL459" s="1"/>
  <c r="AL460" s="1"/>
  <c r="AL461" s="1"/>
  <c r="AL462" s="1"/>
  <c r="AL463" s="1"/>
  <c r="AL464" s="1"/>
  <c r="AL465" s="1"/>
  <c r="AL466" s="1"/>
  <c r="AL467" s="1"/>
  <c r="AL468" s="1"/>
  <c r="AL469" s="1"/>
  <c r="AL470" s="1"/>
  <c r="AL471" s="1"/>
  <c r="AL472" s="1"/>
  <c r="AL473" s="1"/>
  <c r="AL474" s="1"/>
  <c r="AL475" s="1"/>
  <c r="AL476" s="1"/>
  <c r="AL477" s="1"/>
  <c r="AL478" s="1"/>
  <c r="AL479" s="1"/>
  <c r="AL480" s="1"/>
  <c r="AL481" s="1"/>
  <c r="AL482" s="1"/>
  <c r="AL483" s="1"/>
  <c r="AL484" s="1"/>
  <c r="AL485" s="1"/>
  <c r="AL486" s="1"/>
  <c r="AL487" s="1"/>
  <c r="AL488" s="1"/>
  <c r="AL489" s="1"/>
  <c r="AL490" s="1"/>
  <c r="AL491" s="1"/>
  <c r="AL492" s="1"/>
  <c r="AL493" s="1"/>
  <c r="AL494" s="1"/>
  <c r="AL495" s="1"/>
  <c r="AL496" s="1"/>
  <c r="AL497" s="1"/>
  <c r="AL498" s="1"/>
  <c r="AL499" s="1"/>
  <c r="AL500" s="1"/>
  <c r="AL501" s="1"/>
  <c r="AL502" s="1"/>
  <c r="AK502"/>
  <c r="AK501"/>
  <c r="AK500"/>
  <c r="AK499"/>
  <c r="AK498"/>
  <c r="AK497"/>
  <c r="AK496"/>
  <c r="AK495"/>
  <c r="AK494"/>
  <c r="AK493"/>
  <c r="AK492"/>
  <c r="AK491"/>
  <c r="AK490"/>
  <c r="AK489"/>
  <c r="AK488"/>
  <c r="AK487"/>
  <c r="AK486"/>
  <c r="AK485"/>
  <c r="AK484"/>
  <c r="AK483"/>
  <c r="AK482"/>
  <c r="AK481"/>
  <c r="AK480"/>
  <c r="AK479"/>
  <c r="AK478"/>
  <c r="AK477"/>
  <c r="AK476"/>
  <c r="AK475"/>
  <c r="AK474"/>
  <c r="AK473"/>
  <c r="AK472"/>
  <c r="AK471"/>
  <c r="AK470"/>
  <c r="AK469"/>
  <c r="AK468"/>
  <c r="AK467"/>
  <c r="AK466"/>
  <c r="AK465"/>
  <c r="AK464"/>
  <c r="AK463"/>
  <c r="AK462"/>
  <c r="AK461"/>
  <c r="AK460"/>
  <c r="AK459"/>
  <c r="AK458"/>
  <c r="AK457"/>
  <c r="AK456"/>
  <c r="AK455"/>
  <c r="AK454"/>
  <c r="AK453"/>
  <c r="AK452"/>
  <c r="AK451"/>
  <c r="AK450"/>
  <c r="AK449"/>
  <c r="AK448"/>
  <c r="AK447"/>
  <c r="AK446"/>
  <c r="AK445"/>
  <c r="AK444"/>
  <c r="AK443"/>
  <c r="AK442"/>
  <c r="AK441"/>
  <c r="AK440"/>
  <c r="AK439"/>
  <c r="AK438"/>
  <c r="AK437"/>
  <c r="AK436"/>
  <c r="AK435"/>
  <c r="AK434"/>
  <c r="AK433"/>
  <c r="AK432"/>
  <c r="AK431"/>
  <c r="AK430"/>
  <c r="AK429"/>
  <c r="AK428"/>
  <c r="AK427"/>
  <c r="AK426"/>
  <c r="AK425"/>
  <c r="AK424"/>
  <c r="AK423"/>
  <c r="AK422"/>
  <c r="AK421"/>
  <c r="AK420"/>
  <c r="AK419"/>
  <c r="AK418"/>
  <c r="AK417"/>
  <c r="AK416"/>
  <c r="AK415"/>
  <c r="AK414"/>
  <c r="AK413"/>
  <c r="AK412"/>
  <c r="AK411"/>
  <c r="AK410"/>
  <c r="AK409"/>
  <c r="AK408"/>
  <c r="AK407"/>
  <c r="AK406"/>
  <c r="AK405"/>
  <c r="AK404"/>
  <c r="AK403"/>
  <c r="AK402"/>
  <c r="AK401"/>
  <c r="AK400"/>
  <c r="AK399"/>
  <c r="AK398"/>
  <c r="AK397"/>
  <c r="AK396"/>
  <c r="AK395"/>
  <c r="AK394"/>
  <c r="AK393"/>
  <c r="AK392"/>
  <c r="AK391"/>
  <c r="AK390"/>
  <c r="AK389"/>
  <c r="AK388"/>
  <c r="AK387"/>
  <c r="AK386"/>
  <c r="AK385"/>
  <c r="AK384"/>
  <c r="AK383"/>
  <c r="AK382"/>
  <c r="AK381"/>
  <c r="AK380"/>
  <c r="AK379"/>
  <c r="AK378"/>
  <c r="AK377"/>
  <c r="AK376"/>
  <c r="AK375"/>
  <c r="AK374"/>
  <c r="AK373"/>
  <c r="AK372"/>
  <c r="AK371"/>
  <c r="AK370"/>
  <c r="AK369"/>
  <c r="AK368"/>
  <c r="AK367"/>
  <c r="AK366"/>
  <c r="AK365"/>
  <c r="AK364"/>
  <c r="AK363"/>
  <c r="AK362"/>
  <c r="AK361"/>
  <c r="AK360"/>
  <c r="AK359"/>
  <c r="AK358"/>
  <c r="AK357"/>
  <c r="AK356"/>
  <c r="AK355"/>
  <c r="AK354"/>
  <c r="AK353"/>
  <c r="AK352"/>
  <c r="AK351"/>
  <c r="AK350"/>
  <c r="AK349"/>
  <c r="AK348"/>
  <c r="AK347"/>
  <c r="AK346"/>
  <c r="AK345"/>
  <c r="AK344"/>
  <c r="AK343"/>
  <c r="AK342"/>
  <c r="AK341"/>
  <c r="AK340"/>
  <c r="AK339"/>
  <c r="AK338"/>
  <c r="AK337"/>
  <c r="AK336"/>
  <c r="AK335"/>
  <c r="AK334"/>
  <c r="AK333"/>
  <c r="AK332"/>
  <c r="AK331"/>
  <c r="AK330"/>
  <c r="AK329"/>
  <c r="AK328"/>
  <c r="AK327"/>
  <c r="AK326"/>
  <c r="AK325"/>
  <c r="AK324"/>
  <c r="AK323"/>
  <c r="AK322"/>
  <c r="AK321"/>
  <c r="AK320"/>
  <c r="AK319"/>
  <c r="AK318"/>
  <c r="AK317"/>
  <c r="AK316"/>
  <c r="AK315"/>
  <c r="AK314"/>
  <c r="AK313"/>
  <c r="AK312"/>
  <c r="AK311"/>
  <c r="AK310"/>
  <c r="AK309"/>
  <c r="AK308"/>
  <c r="AK307"/>
  <c r="AK306"/>
  <c r="AK305"/>
  <c r="AK304"/>
  <c r="AK303"/>
  <c r="AK302"/>
  <c r="AK301"/>
  <c r="AK300"/>
  <c r="AK299"/>
  <c r="AK298"/>
  <c r="AK297"/>
  <c r="AK296"/>
  <c r="AK295"/>
  <c r="AK294"/>
  <c r="AK293"/>
  <c r="AK292"/>
  <c r="AK291"/>
  <c r="AK290"/>
  <c r="AK289"/>
  <c r="AK288"/>
  <c r="AK287"/>
  <c r="AK286"/>
  <c r="AK285"/>
  <c r="AK284"/>
  <c r="AK283"/>
  <c r="AK282"/>
  <c r="AK281"/>
  <c r="AK280"/>
  <c r="AK279"/>
  <c r="AK278"/>
  <c r="AK277"/>
  <c r="AK276"/>
  <c r="AK275"/>
  <c r="AK274"/>
  <c r="AK273"/>
  <c r="AK272"/>
  <c r="AK271"/>
  <c r="AK270"/>
  <c r="AK269"/>
  <c r="AK268"/>
  <c r="AK267"/>
  <c r="AK266"/>
  <c r="AK265"/>
  <c r="AK264"/>
  <c r="AK263"/>
  <c r="AK262"/>
  <c r="AK261"/>
  <c r="AK260"/>
  <c r="AK259"/>
  <c r="AK258"/>
  <c r="AK257"/>
  <c r="AK256"/>
  <c r="AK255"/>
  <c r="AK254"/>
  <c r="AK253"/>
  <c r="AK252"/>
  <c r="AK251"/>
  <c r="AK250"/>
  <c r="AK249"/>
  <c r="AK248"/>
  <c r="AK247"/>
  <c r="AK246"/>
  <c r="AK245"/>
  <c r="AK244"/>
  <c r="AK243"/>
  <c r="AK242"/>
  <c r="AK241"/>
  <c r="AK240"/>
  <c r="AK239"/>
  <c r="AK238"/>
  <c r="AK237"/>
  <c r="AK236"/>
  <c r="AK235"/>
  <c r="AK234"/>
  <c r="AK233"/>
  <c r="AK232"/>
  <c r="AK231"/>
  <c r="AK230"/>
  <c r="AK229"/>
  <c r="AK228"/>
  <c r="AK227"/>
  <c r="AK226"/>
  <c r="AK225"/>
  <c r="AK224"/>
  <c r="AK223"/>
  <c r="AK222"/>
  <c r="AK221"/>
  <c r="AK220"/>
  <c r="AK219"/>
  <c r="AK218"/>
  <c r="AK217"/>
  <c r="AK216"/>
  <c r="AK215"/>
  <c r="AK214"/>
  <c r="AK213"/>
  <c r="AK212"/>
  <c r="AK211"/>
  <c r="AK210"/>
  <c r="AK209"/>
  <c r="AK208"/>
  <c r="AK207"/>
  <c r="AK206"/>
  <c r="AK205"/>
  <c r="AK204"/>
  <c r="AK203"/>
  <c r="AK202"/>
  <c r="AK201"/>
  <c r="AK200"/>
  <c r="AK199"/>
  <c r="AK198"/>
  <c r="AK197"/>
  <c r="AK196"/>
  <c r="AK195"/>
  <c r="AK194"/>
  <c r="AK193"/>
  <c r="AK192"/>
  <c r="AK191"/>
  <c r="AK190"/>
  <c r="AK189"/>
  <c r="AK188"/>
  <c r="AK187"/>
  <c r="AK186"/>
  <c r="AK185"/>
  <c r="AK184"/>
  <c r="AK183"/>
  <c r="AK182"/>
  <c r="AK181"/>
  <c r="AK180"/>
  <c r="AK179"/>
  <c r="AK178"/>
  <c r="AK177"/>
  <c r="AK176"/>
  <c r="AK175"/>
  <c r="AK174"/>
  <c r="AK173"/>
  <c r="AK172"/>
  <c r="AK171"/>
  <c r="AK170"/>
  <c r="AK169"/>
  <c r="AK168"/>
  <c r="AK167"/>
  <c r="AK166"/>
  <c r="AK165"/>
  <c r="AK164"/>
  <c r="AK163"/>
  <c r="AK162"/>
  <c r="AK161"/>
  <c r="AK160"/>
  <c r="AK159"/>
  <c r="AK158"/>
  <c r="AK157"/>
  <c r="AK156"/>
  <c r="AK155"/>
  <c r="AK154"/>
  <c r="AK153"/>
  <c r="AK152"/>
  <c r="AK151"/>
  <c r="AK150"/>
  <c r="AK149"/>
  <c r="AK148"/>
  <c r="AK147"/>
  <c r="AK146"/>
  <c r="AK145"/>
  <c r="AK144"/>
  <c r="AK143"/>
  <c r="AK142"/>
  <c r="AK141"/>
  <c r="AK140"/>
  <c r="AK139"/>
  <c r="AK138"/>
  <c r="AK137"/>
  <c r="AK136"/>
  <c r="AK135"/>
  <c r="AK134"/>
  <c r="AK133"/>
  <c r="AK132"/>
  <c r="AK131"/>
  <c r="AK130"/>
  <c r="AK129"/>
  <c r="AK128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3"/>
  <c r="Q8"/>
  <c r="AK2" s="1"/>
  <c r="AI4"/>
  <c r="AI5" s="1"/>
  <c r="AI6" s="1"/>
  <c r="AI7" s="1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I25" s="1"/>
  <c r="AI26" s="1"/>
  <c r="AI27" s="1"/>
  <c r="AI28" s="1"/>
  <c r="AI29" s="1"/>
  <c r="AI30" s="1"/>
  <c r="AI31" s="1"/>
  <c r="AI32" s="1"/>
  <c r="AI33" s="1"/>
  <c r="AI34" s="1"/>
  <c r="AI35" s="1"/>
  <c r="AI36" s="1"/>
  <c r="AI37" s="1"/>
  <c r="AI38" s="1"/>
  <c r="AI39" s="1"/>
  <c r="AI40" s="1"/>
  <c r="AI41" s="1"/>
  <c r="AI42" s="1"/>
  <c r="AI43" s="1"/>
  <c r="AI44" s="1"/>
  <c r="AI45" s="1"/>
  <c r="AI46" s="1"/>
  <c r="AI47" s="1"/>
  <c r="AI48" s="1"/>
  <c r="AI49" s="1"/>
  <c r="AI50" s="1"/>
  <c r="AI51" s="1"/>
  <c r="AI52" s="1"/>
  <c r="AI53" s="1"/>
  <c r="AI54" s="1"/>
  <c r="AI55" s="1"/>
  <c r="AI56" s="1"/>
  <c r="AI57" s="1"/>
  <c r="AI58" s="1"/>
  <c r="AI59" s="1"/>
  <c r="AI60" s="1"/>
  <c r="AI61" s="1"/>
  <c r="AI62" s="1"/>
  <c r="AI63" s="1"/>
  <c r="AI64" s="1"/>
  <c r="AI65" s="1"/>
  <c r="AI66" s="1"/>
  <c r="AI67" s="1"/>
  <c r="AI68" s="1"/>
  <c r="AI69" s="1"/>
  <c r="AI70" s="1"/>
  <c r="AI71" s="1"/>
  <c r="AI72" s="1"/>
  <c r="AI73" s="1"/>
  <c r="AI74" s="1"/>
  <c r="AI75" s="1"/>
  <c r="AI76" s="1"/>
  <c r="AI77" s="1"/>
  <c r="AI78" s="1"/>
  <c r="AI79" s="1"/>
  <c r="AI80" s="1"/>
  <c r="AI81" s="1"/>
  <c r="AI82" s="1"/>
  <c r="AI83" s="1"/>
  <c r="AI84" s="1"/>
  <c r="AI85" s="1"/>
  <c r="AI86" s="1"/>
  <c r="AI87" s="1"/>
  <c r="AI88" s="1"/>
  <c r="AI89" s="1"/>
  <c r="AI90" s="1"/>
  <c r="AI91" s="1"/>
  <c r="AI92" s="1"/>
  <c r="AI93" s="1"/>
  <c r="AI94" s="1"/>
  <c r="AI95" s="1"/>
  <c r="AI96" s="1"/>
  <c r="AI97" s="1"/>
  <c r="AI98" s="1"/>
  <c r="AI99" s="1"/>
  <c r="AI100" s="1"/>
  <c r="AI101" s="1"/>
  <c r="AI102" s="1"/>
  <c r="AI103" s="1"/>
  <c r="AI104" s="1"/>
  <c r="AI105" s="1"/>
  <c r="AI106" s="1"/>
  <c r="AI107" s="1"/>
  <c r="AI108" s="1"/>
  <c r="AI109" s="1"/>
  <c r="AI110" s="1"/>
  <c r="AI111" s="1"/>
  <c r="AI112" s="1"/>
  <c r="AI113" s="1"/>
  <c r="AI114" s="1"/>
  <c r="AI115" s="1"/>
  <c r="AI116" s="1"/>
  <c r="AI117" s="1"/>
  <c r="AI118" s="1"/>
  <c r="AI119" s="1"/>
  <c r="AI120" s="1"/>
  <c r="AI121" s="1"/>
  <c r="AI122" s="1"/>
  <c r="AI123" s="1"/>
  <c r="AI124" s="1"/>
  <c r="AI125" s="1"/>
  <c r="AI126" s="1"/>
  <c r="AI127" s="1"/>
  <c r="AI128" s="1"/>
  <c r="AI129" s="1"/>
  <c r="AI130" s="1"/>
  <c r="AI131" s="1"/>
  <c r="AI132" s="1"/>
  <c r="AI133" s="1"/>
  <c r="AI134" s="1"/>
  <c r="AI135" s="1"/>
  <c r="AI136" s="1"/>
  <c r="AI137" s="1"/>
  <c r="AI138" s="1"/>
  <c r="AI139" s="1"/>
  <c r="AI140" s="1"/>
  <c r="AI141" s="1"/>
  <c r="AI142" s="1"/>
  <c r="AI143" s="1"/>
  <c r="AI144" s="1"/>
  <c r="AI145" s="1"/>
  <c r="AI146" s="1"/>
  <c r="AI147" s="1"/>
  <c r="AI148" s="1"/>
  <c r="AI149" s="1"/>
  <c r="AI150" s="1"/>
  <c r="AI151" s="1"/>
  <c r="AI152" s="1"/>
  <c r="AI153" s="1"/>
  <c r="AI154" s="1"/>
  <c r="AI155" s="1"/>
  <c r="AI156" s="1"/>
  <c r="AI157" s="1"/>
  <c r="AI158" s="1"/>
  <c r="AI159" s="1"/>
  <c r="AI160" s="1"/>
  <c r="AI161" s="1"/>
  <c r="AI162" s="1"/>
  <c r="AI163" s="1"/>
  <c r="AI164" s="1"/>
  <c r="AI165" s="1"/>
  <c r="AI166" s="1"/>
  <c r="AI167" s="1"/>
  <c r="AI168" s="1"/>
  <c r="AI169" s="1"/>
  <c r="AI170" s="1"/>
  <c r="AI171" s="1"/>
  <c r="AI172" s="1"/>
  <c r="AI173" s="1"/>
  <c r="AI174" s="1"/>
  <c r="AI175" s="1"/>
  <c r="AI176" s="1"/>
  <c r="AI177" s="1"/>
  <c r="AI178" s="1"/>
  <c r="AI179" s="1"/>
  <c r="AI180" s="1"/>
  <c r="AI181" s="1"/>
  <c r="AI182" s="1"/>
  <c r="AI183" s="1"/>
  <c r="AI184" s="1"/>
  <c r="AI185" s="1"/>
  <c r="AI186" s="1"/>
  <c r="AI187" s="1"/>
  <c r="AI188" s="1"/>
  <c r="AI189" s="1"/>
  <c r="AI190" s="1"/>
  <c r="AI191" s="1"/>
  <c r="AI192" s="1"/>
  <c r="AI193" s="1"/>
  <c r="AI194" s="1"/>
  <c r="AI195" s="1"/>
  <c r="AI196" s="1"/>
  <c r="AI197" s="1"/>
  <c r="AI198" s="1"/>
  <c r="AI199" s="1"/>
  <c r="AI200" s="1"/>
  <c r="AI201" s="1"/>
  <c r="AI202" s="1"/>
  <c r="AH202"/>
  <c r="AH201"/>
  <c r="AH200"/>
  <c r="AH199"/>
  <c r="AH198"/>
  <c r="AH197"/>
  <c r="AH196"/>
  <c r="AH195"/>
  <c r="AH194"/>
  <c r="AH193"/>
  <c r="AH192"/>
  <c r="AH191"/>
  <c r="AH190"/>
  <c r="AH189"/>
  <c r="AH188"/>
  <c r="AH187"/>
  <c r="AH186"/>
  <c r="AH185"/>
  <c r="AH184"/>
  <c r="AH183"/>
  <c r="AH182"/>
  <c r="AH181"/>
  <c r="AH180"/>
  <c r="AH179"/>
  <c r="AH178"/>
  <c r="AH177"/>
  <c r="AH176"/>
  <c r="AH175"/>
  <c r="AH174"/>
  <c r="AH173"/>
  <c r="AH172"/>
  <c r="AH171"/>
  <c r="AH170"/>
  <c r="AH169"/>
  <c r="AH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AH3"/>
  <c r="AH2"/>
  <c r="AF4"/>
  <c r="AF5" s="1"/>
  <c r="AF6" s="1"/>
  <c r="AF7" s="1"/>
  <c r="AF8" s="1"/>
  <c r="AF9" s="1"/>
  <c r="AF10" s="1"/>
  <c r="AF11" s="1"/>
  <c r="AF12" s="1"/>
  <c r="AF13" s="1"/>
  <c r="AF14" s="1"/>
  <c r="AF15" s="1"/>
  <c r="AF16" s="1"/>
  <c r="AF17" s="1"/>
  <c r="AF18" s="1"/>
  <c r="AF19" s="1"/>
  <c r="AF20" s="1"/>
  <c r="AF21" s="1"/>
  <c r="AF22" s="1"/>
  <c r="AF23" s="1"/>
  <c r="AF24" s="1"/>
  <c r="AF25" s="1"/>
  <c r="AF26" s="1"/>
  <c r="AF27" s="1"/>
  <c r="AF28" s="1"/>
  <c r="AF29" s="1"/>
  <c r="AF30" s="1"/>
  <c r="AF31" s="1"/>
  <c r="AF32" s="1"/>
  <c r="AF33" s="1"/>
  <c r="AF34" s="1"/>
  <c r="AF35" s="1"/>
  <c r="AF36" s="1"/>
  <c r="AF37" s="1"/>
  <c r="AF38" s="1"/>
  <c r="AF39" s="1"/>
  <c r="AF40" s="1"/>
  <c r="AF41" s="1"/>
  <c r="AF42" s="1"/>
  <c r="AF43" s="1"/>
  <c r="AF44" s="1"/>
  <c r="AF45" s="1"/>
  <c r="AF46" s="1"/>
  <c r="AF47" s="1"/>
  <c r="AF48" s="1"/>
  <c r="AF49" s="1"/>
  <c r="AF50" s="1"/>
  <c r="AF51" s="1"/>
  <c r="AF52" s="1"/>
  <c r="AF53" s="1"/>
  <c r="AF54" s="1"/>
  <c r="AF55" s="1"/>
  <c r="AF56" s="1"/>
  <c r="AF57" s="1"/>
  <c r="AF58" s="1"/>
  <c r="AF59" s="1"/>
  <c r="AF60" s="1"/>
  <c r="AF61" s="1"/>
  <c r="AF62" s="1"/>
  <c r="AF63" s="1"/>
  <c r="AF64" s="1"/>
  <c r="AF65" s="1"/>
  <c r="AF66" s="1"/>
  <c r="AF67" s="1"/>
  <c r="AF68" s="1"/>
  <c r="AF69" s="1"/>
  <c r="AF70" s="1"/>
  <c r="AF71" s="1"/>
  <c r="AF72" s="1"/>
  <c r="AF73" s="1"/>
  <c r="AF74" s="1"/>
  <c r="AF75" s="1"/>
  <c r="AF76" s="1"/>
  <c r="AF77" s="1"/>
  <c r="AF78" s="1"/>
  <c r="AF79" s="1"/>
  <c r="AF80" s="1"/>
  <c r="AF81" s="1"/>
  <c r="AF82" s="1"/>
  <c r="AF83" s="1"/>
  <c r="AF84" s="1"/>
  <c r="AF85" s="1"/>
  <c r="AF86" s="1"/>
  <c r="AF87" s="1"/>
  <c r="AF88" s="1"/>
  <c r="AF89" s="1"/>
  <c r="AF90" s="1"/>
  <c r="AF91" s="1"/>
  <c r="AF92" s="1"/>
  <c r="AF93" s="1"/>
  <c r="AF94" s="1"/>
  <c r="AF95" s="1"/>
  <c r="AF96" s="1"/>
  <c r="AF97" s="1"/>
  <c r="AF98" s="1"/>
  <c r="AF99" s="1"/>
  <c r="AF100" s="1"/>
  <c r="AF101" s="1"/>
  <c r="AF102" s="1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E2"/>
  <c r="AC4"/>
  <c r="AC5" s="1"/>
  <c r="AC6" s="1"/>
  <c r="AC7" s="1"/>
  <c r="AC8" s="1"/>
  <c r="AC9" s="1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AC48" s="1"/>
  <c r="AC49" s="1"/>
  <c r="AC50" s="1"/>
  <c r="AC51" s="1"/>
  <c r="AC52" s="1"/>
  <c r="AC53" s="1"/>
  <c r="AC54" s="1"/>
  <c r="AC55" s="1"/>
  <c r="AC56" s="1"/>
  <c r="AC57" s="1"/>
  <c r="AC58" s="1"/>
  <c r="AC59" s="1"/>
  <c r="AC60" s="1"/>
  <c r="AC61" s="1"/>
  <c r="AC62" s="1"/>
  <c r="AC63" s="1"/>
  <c r="AC64" s="1"/>
  <c r="AC65" s="1"/>
  <c r="AC66" s="1"/>
  <c r="AC67" s="1"/>
  <c r="AC68" s="1"/>
  <c r="AC69" s="1"/>
  <c r="AC70" s="1"/>
  <c r="AC71" s="1"/>
  <c r="AC72" s="1"/>
  <c r="AC73" s="1"/>
  <c r="AC74" s="1"/>
  <c r="AC75" s="1"/>
  <c r="AC76" s="1"/>
  <c r="AC77" s="1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AB2"/>
  <c r="W5019"/>
  <c r="W5017"/>
  <c r="W5015"/>
  <c r="W5013"/>
  <c r="W5011"/>
  <c r="W7"/>
  <c r="W6"/>
  <c r="W4"/>
  <c r="W3"/>
  <c r="W5" s="1"/>
  <c r="T1019"/>
  <c r="T1017"/>
  <c r="T1015"/>
  <c r="T1013"/>
  <c r="T1011"/>
  <c r="Q519"/>
  <c r="Q517"/>
  <c r="Q515"/>
  <c r="Q513"/>
  <c r="Q511"/>
  <c r="E62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T7"/>
  <c r="Q7"/>
  <c r="T6"/>
  <c r="Q6"/>
  <c r="T4"/>
  <c r="T5" s="1"/>
  <c r="T3"/>
  <c r="Q4"/>
  <c r="Q3"/>
  <c r="H119" i="4"/>
  <c r="G119"/>
  <c r="F119"/>
  <c r="E119"/>
  <c r="D119"/>
  <c r="H117"/>
  <c r="G117"/>
  <c r="F117"/>
  <c r="E117"/>
  <c r="D117"/>
  <c r="H115"/>
  <c r="G115"/>
  <c r="F115"/>
  <c r="E115"/>
  <c r="D115"/>
  <c r="H113"/>
  <c r="G113"/>
  <c r="F113"/>
  <c r="E113"/>
  <c r="D113"/>
  <c r="H111"/>
  <c r="G111"/>
  <c r="F111"/>
  <c r="E111"/>
  <c r="D111"/>
  <c r="M18"/>
  <c r="J18"/>
  <c r="L18"/>
  <c r="N18" s="1"/>
  <c r="M17"/>
  <c r="J17"/>
  <c r="L17"/>
  <c r="N17" s="1"/>
  <c r="M16"/>
  <c r="J16"/>
  <c r="L16"/>
  <c r="N16" s="1"/>
  <c r="M15"/>
  <c r="J15"/>
  <c r="L15"/>
  <c r="N15" s="1"/>
  <c r="M14"/>
  <c r="J14"/>
  <c r="L14"/>
  <c r="N14" s="1"/>
  <c r="M13"/>
  <c r="J13"/>
  <c r="L13"/>
  <c r="N13" s="1"/>
  <c r="M12"/>
  <c r="J12"/>
  <c r="L12"/>
  <c r="N12" s="1"/>
  <c r="M11"/>
  <c r="J11"/>
  <c r="L11"/>
  <c r="N11" s="1"/>
  <c r="M10"/>
  <c r="J10"/>
  <c r="L10"/>
  <c r="N10" s="1"/>
  <c r="M9"/>
  <c r="J9"/>
  <c r="L9"/>
  <c r="N9" s="1"/>
  <c r="H8"/>
  <c r="G8"/>
  <c r="F8"/>
  <c r="E8"/>
  <c r="D8"/>
  <c r="H7"/>
  <c r="G7"/>
  <c r="F7"/>
  <c r="E7"/>
  <c r="D7"/>
  <c r="H6"/>
  <c r="G6"/>
  <c r="F6"/>
  <c r="E6"/>
  <c r="D6"/>
  <c r="H4"/>
  <c r="H5" s="1"/>
  <c r="H3"/>
  <c r="G4"/>
  <c r="G5" s="1"/>
  <c r="G3"/>
  <c r="F4"/>
  <c r="F3"/>
  <c r="F5"/>
  <c r="E4"/>
  <c r="E3"/>
  <c r="E5"/>
  <c r="D4"/>
  <c r="D5" s="1"/>
  <c r="D3"/>
  <c r="H49" i="1"/>
  <c r="K49"/>
  <c r="N49"/>
  <c r="H48"/>
  <c r="K48"/>
  <c r="H47"/>
  <c r="K47"/>
  <c r="N47"/>
  <c r="H46"/>
  <c r="K46"/>
  <c r="H45"/>
  <c r="K45"/>
  <c r="N45"/>
  <c r="H44"/>
  <c r="K44"/>
  <c r="H43"/>
  <c r="K43"/>
  <c r="N43"/>
  <c r="H42"/>
  <c r="K42"/>
  <c r="H41"/>
  <c r="K41"/>
  <c r="N41"/>
  <c r="H40"/>
  <c r="K40"/>
  <c r="H39"/>
  <c r="K39"/>
  <c r="N39"/>
  <c r="V15" i="20"/>
  <c r="V13"/>
  <c r="R10"/>
  <c r="S16"/>
  <c r="S14"/>
  <c r="X10"/>
  <c r="Y14" s="1"/>
  <c r="Y16"/>
  <c r="E2"/>
  <c r="D2"/>
  <c r="C2"/>
  <c r="B2"/>
  <c r="X15"/>
  <c r="X13"/>
  <c r="Y13" s="1"/>
  <c r="R15"/>
  <c r="S15" s="1"/>
  <c r="T10"/>
  <c r="R13"/>
  <c r="S13" s="1"/>
  <c r="N7" i="1"/>
  <c r="O8"/>
  <c r="Y15" i="20"/>
  <c r="B24" i="1"/>
  <c r="C2" i="4"/>
  <c r="B2"/>
  <c r="V10" i="20"/>
  <c r="B23" i="1"/>
  <c r="N8"/>
  <c r="O7"/>
  <c r="T2" i="5"/>
  <c r="E2" i="4"/>
  <c r="O48" i="1"/>
  <c r="L48"/>
  <c r="O46"/>
  <c r="L46"/>
  <c r="O44"/>
  <c r="L44"/>
  <c r="O42"/>
  <c r="L42"/>
  <c r="O40"/>
  <c r="L40"/>
  <c r="F24"/>
  <c r="F17"/>
  <c r="A1"/>
  <c r="I49"/>
  <c r="I45"/>
  <c r="I41"/>
  <c r="I39"/>
  <c r="W2" i="5"/>
  <c r="F2" i="4"/>
  <c r="I47" i="1"/>
  <c r="I43"/>
  <c r="F18"/>
  <c r="G2" i="4"/>
  <c r="F19" i="1"/>
  <c r="F16"/>
  <c r="H2" i="4"/>
  <c r="F23" i="1"/>
  <c r="Q2" i="5"/>
  <c r="O47" i="1"/>
  <c r="O45"/>
  <c r="O43"/>
  <c r="L41"/>
  <c r="L39"/>
  <c r="O49"/>
  <c r="L49"/>
  <c r="L47"/>
  <c r="L45"/>
  <c r="L43"/>
  <c r="O41"/>
  <c r="O39"/>
  <c r="F15"/>
  <c r="D2" i="4"/>
  <c r="I48" i="1"/>
  <c r="I46"/>
  <c r="I44"/>
  <c r="I42"/>
  <c r="I40"/>
  <c r="U14" i="20"/>
  <c r="U16"/>
  <c r="U17"/>
  <c r="W15"/>
  <c r="W13"/>
  <c r="W14"/>
  <c r="N6" l="1"/>
  <c r="R17"/>
  <c r="C8" i="1"/>
  <c r="B17" s="1"/>
  <c r="B15"/>
  <c r="C7"/>
  <c r="N40"/>
  <c r="N42"/>
  <c r="N44"/>
  <c r="N46"/>
  <c r="N48"/>
  <c r="Q5" i="5"/>
  <c r="B5" i="4"/>
  <c r="X17" i="20"/>
  <c r="X18" s="1"/>
  <c r="X19" s="1"/>
  <c r="C5" i="4"/>
  <c r="R7" i="20"/>
  <c r="H6"/>
  <c r="T18"/>
  <c r="V16"/>
  <c r="V17" s="1"/>
  <c r="S17"/>
  <c r="U18"/>
  <c r="Y17"/>
  <c r="T13"/>
  <c r="U13" s="1"/>
  <c r="Y19"/>
  <c r="W16"/>
  <c r="T15"/>
  <c r="U15" s="1"/>
  <c r="Y18"/>
  <c r="W17"/>
  <c r="B16" i="1" l="1"/>
  <c r="R18" i="20"/>
  <c r="V18"/>
  <c r="B18" i="1"/>
  <c r="B19" s="1"/>
  <c r="E7" s="1"/>
  <c r="T19" i="20"/>
  <c r="X20"/>
  <c r="S18"/>
  <c r="Y20"/>
  <c r="U19"/>
  <c r="W18"/>
  <c r="R19" l="1"/>
  <c r="V19"/>
  <c r="T20"/>
  <c r="X21"/>
  <c r="S19"/>
  <c r="Y21"/>
  <c r="U20"/>
  <c r="W19"/>
  <c r="R20" l="1"/>
  <c r="V20"/>
  <c r="T21"/>
  <c r="X22"/>
  <c r="S20"/>
  <c r="Y22"/>
  <c r="U21"/>
  <c r="W20"/>
  <c r="R21" l="1"/>
  <c r="V21"/>
  <c r="T22"/>
  <c r="X23"/>
  <c r="S21"/>
  <c r="Y23"/>
  <c r="U22"/>
  <c r="W21"/>
  <c r="R22" l="1"/>
  <c r="V22"/>
  <c r="T23"/>
  <c r="X24"/>
  <c r="S22"/>
  <c r="Y24"/>
  <c r="U23"/>
  <c r="W22"/>
  <c r="R23" l="1"/>
  <c r="V23"/>
  <c r="T24"/>
  <c r="X25"/>
  <c r="S23"/>
  <c r="Y25"/>
  <c r="U24"/>
  <c r="W23"/>
  <c r="R24" l="1"/>
  <c r="V24"/>
  <c r="T25"/>
  <c r="X26"/>
  <c r="S24"/>
  <c r="Y26"/>
  <c r="U25"/>
  <c r="W24"/>
  <c r="R25" l="1"/>
  <c r="V25"/>
  <c r="T26"/>
  <c r="X27"/>
  <c r="S25"/>
  <c r="Y27"/>
  <c r="W25"/>
  <c r="U26"/>
  <c r="R26" l="1"/>
  <c r="T27"/>
  <c r="V26"/>
  <c r="X28"/>
  <c r="S26"/>
  <c r="Y28"/>
  <c r="U27"/>
  <c r="W26"/>
  <c r="R27" l="1"/>
  <c r="V27"/>
  <c r="T28"/>
  <c r="X29"/>
  <c r="S27"/>
  <c r="Y29"/>
  <c r="U28"/>
  <c r="W27"/>
  <c r="R28" l="1"/>
  <c r="V28"/>
  <c r="T29"/>
  <c r="X30"/>
  <c r="S28"/>
  <c r="Y30"/>
  <c r="U29"/>
  <c r="W28"/>
  <c r="R29" l="1"/>
  <c r="V29"/>
  <c r="T30"/>
  <c r="X31"/>
  <c r="S29"/>
  <c r="Y31"/>
  <c r="W29"/>
  <c r="U30"/>
  <c r="R30" l="1"/>
  <c r="T31"/>
  <c r="V30"/>
  <c r="X32"/>
  <c r="S30"/>
  <c r="Y32"/>
  <c r="U31"/>
  <c r="W30"/>
  <c r="R31" l="1"/>
  <c r="V31"/>
  <c r="T32"/>
  <c r="X33"/>
  <c r="S31"/>
  <c r="Y33"/>
  <c r="W31"/>
  <c r="U32"/>
  <c r="R32" l="1"/>
  <c r="T33"/>
  <c r="V32"/>
  <c r="X34"/>
  <c r="S32"/>
  <c r="Y34"/>
  <c r="W32"/>
  <c r="U33"/>
  <c r="R33" l="1"/>
  <c r="T34"/>
  <c r="V33"/>
  <c r="X35"/>
  <c r="S33"/>
  <c r="Y35"/>
  <c r="W33"/>
  <c r="U34"/>
  <c r="R34" l="1"/>
  <c r="T35"/>
  <c r="V34"/>
  <c r="X36"/>
  <c r="S34"/>
  <c r="Y36"/>
  <c r="W34"/>
  <c r="U35"/>
  <c r="R35" l="1"/>
  <c r="T36"/>
  <c r="V35"/>
  <c r="X37"/>
  <c r="S35"/>
  <c r="Y37"/>
  <c r="W35"/>
  <c r="U36"/>
  <c r="R36" l="1"/>
  <c r="T37"/>
  <c r="V36"/>
  <c r="X38"/>
  <c r="S36"/>
  <c r="Y38"/>
  <c r="W36"/>
  <c r="U37"/>
  <c r="R37" l="1"/>
  <c r="T38"/>
  <c r="V37"/>
  <c r="X39"/>
  <c r="S37"/>
  <c r="Y39"/>
  <c r="W37"/>
  <c r="U38"/>
  <c r="R38" l="1"/>
  <c r="T39"/>
  <c r="V38"/>
  <c r="X40"/>
  <c r="S38"/>
  <c r="W38"/>
  <c r="U39"/>
  <c r="Y40"/>
  <c r="R39" l="1"/>
  <c r="X41"/>
  <c r="T40"/>
  <c r="V39"/>
  <c r="S39"/>
  <c r="W39"/>
  <c r="U40"/>
  <c r="Y41"/>
  <c r="R40" l="1"/>
  <c r="X42"/>
  <c r="T41"/>
  <c r="V40"/>
  <c r="S40"/>
  <c r="W40"/>
  <c r="U41"/>
  <c r="Y42"/>
  <c r="R41" l="1"/>
  <c r="X43"/>
  <c r="T42"/>
  <c r="V41"/>
  <c r="S41"/>
  <c r="W41"/>
  <c r="U42"/>
  <c r="Y43"/>
  <c r="R42" l="1"/>
  <c r="X44"/>
  <c r="T43"/>
  <c r="V42"/>
  <c r="S42"/>
  <c r="W42"/>
  <c r="U43"/>
  <c r="Y44"/>
  <c r="R43" l="1"/>
  <c r="X45"/>
  <c r="T44"/>
  <c r="V43"/>
  <c r="S43"/>
  <c r="W43"/>
  <c r="U44"/>
  <c r="Y45"/>
  <c r="R44" l="1"/>
  <c r="X46"/>
  <c r="T45"/>
  <c r="V44"/>
  <c r="S44"/>
  <c r="W44"/>
  <c r="U45"/>
  <c r="Y46"/>
  <c r="R45" l="1"/>
  <c r="X47"/>
  <c r="T46"/>
  <c r="V45"/>
  <c r="S45"/>
  <c r="W45"/>
  <c r="U46"/>
  <c r="Y47"/>
  <c r="R46" l="1"/>
  <c r="X48"/>
  <c r="T47"/>
  <c r="V46"/>
  <c r="S46"/>
  <c r="W46"/>
  <c r="U47"/>
  <c r="Y48"/>
  <c r="R47" l="1"/>
  <c r="X49"/>
  <c r="T48"/>
  <c r="V47"/>
  <c r="S47"/>
  <c r="U48"/>
  <c r="Y49"/>
  <c r="W47"/>
  <c r="R48" l="1"/>
  <c r="V48"/>
  <c r="X50"/>
  <c r="T49"/>
  <c r="S48"/>
  <c r="U49"/>
  <c r="Y50"/>
  <c r="W48"/>
  <c r="R49" l="1"/>
  <c r="V49"/>
  <c r="X51"/>
  <c r="T50"/>
  <c r="S49"/>
  <c r="U50"/>
  <c r="Y51"/>
  <c r="W49"/>
  <c r="R50" l="1"/>
  <c r="V50"/>
  <c r="X52"/>
  <c r="T51"/>
  <c r="S50"/>
  <c r="U51"/>
  <c r="Y52"/>
  <c r="W50"/>
  <c r="R51" l="1"/>
  <c r="V51"/>
  <c r="X53"/>
  <c r="T52"/>
  <c r="S51"/>
  <c r="U52"/>
  <c r="Y53"/>
  <c r="W51"/>
  <c r="R52" l="1"/>
  <c r="V52"/>
  <c r="X54"/>
  <c r="T53"/>
  <c r="S52"/>
  <c r="U53"/>
  <c r="Y54"/>
  <c r="W52"/>
  <c r="R53" l="1"/>
  <c r="V53"/>
  <c r="X55"/>
  <c r="T54"/>
  <c r="S53"/>
  <c r="Y55"/>
  <c r="W53"/>
  <c r="U54"/>
  <c r="R54" l="1"/>
  <c r="T55"/>
  <c r="V54"/>
  <c r="X56"/>
  <c r="S54"/>
  <c r="Y56"/>
  <c r="W54"/>
  <c r="U55"/>
  <c r="R55" l="1"/>
  <c r="T56"/>
  <c r="V55"/>
  <c r="X57"/>
  <c r="S55"/>
  <c r="Y57"/>
  <c r="W55"/>
  <c r="U56"/>
  <c r="R56" l="1"/>
  <c r="T57"/>
  <c r="V56"/>
  <c r="X58"/>
  <c r="S56"/>
  <c r="Y58"/>
  <c r="W56"/>
  <c r="U57"/>
  <c r="R57" l="1"/>
  <c r="T58"/>
  <c r="V57"/>
  <c r="X59"/>
  <c r="S57"/>
  <c r="Y59"/>
  <c r="W57"/>
  <c r="U58"/>
  <c r="R58" l="1"/>
  <c r="T59"/>
  <c r="V58"/>
  <c r="X60"/>
  <c r="S58"/>
  <c r="Y60"/>
  <c r="W58"/>
  <c r="U59"/>
  <c r="R59" l="1"/>
  <c r="T60"/>
  <c r="V59"/>
  <c r="X61"/>
  <c r="S59"/>
  <c r="Y61"/>
  <c r="W59"/>
  <c r="U60"/>
  <c r="R60" l="1"/>
  <c r="T61"/>
  <c r="V60"/>
  <c r="X62"/>
  <c r="S60"/>
  <c r="Y62"/>
  <c r="W60"/>
  <c r="U61"/>
  <c r="R61" l="1"/>
  <c r="T62"/>
  <c r="V61"/>
  <c r="X63"/>
  <c r="S61"/>
  <c r="Y63"/>
  <c r="W61"/>
  <c r="U62"/>
  <c r="R62" l="1"/>
  <c r="T63"/>
  <c r="V62"/>
  <c r="X64"/>
  <c r="S62"/>
  <c r="Y64"/>
  <c r="W62"/>
  <c r="U63"/>
  <c r="R63" l="1"/>
  <c r="T64"/>
  <c r="V63"/>
  <c r="X65"/>
  <c r="S63"/>
  <c r="Y65"/>
  <c r="W63"/>
  <c r="U64"/>
  <c r="R64" l="1"/>
  <c r="T65"/>
  <c r="V64"/>
  <c r="X66"/>
  <c r="S64"/>
  <c r="Y66"/>
  <c r="W64"/>
  <c r="U65"/>
  <c r="R65" l="1"/>
  <c r="T66"/>
  <c r="V65"/>
  <c r="X67"/>
  <c r="S65"/>
  <c r="Y67"/>
  <c r="W65"/>
  <c r="U66"/>
  <c r="R66" l="1"/>
  <c r="T67"/>
  <c r="V66"/>
  <c r="X68"/>
  <c r="S66"/>
  <c r="Y68"/>
  <c r="W66"/>
  <c r="U67"/>
  <c r="R67" l="1"/>
  <c r="T68"/>
  <c r="V67"/>
  <c r="X69"/>
  <c r="S67"/>
  <c r="Y69"/>
  <c r="W67"/>
  <c r="U68"/>
  <c r="R68" l="1"/>
  <c r="T69"/>
  <c r="V68"/>
  <c r="X70"/>
  <c r="S68"/>
  <c r="Y70"/>
  <c r="W68"/>
  <c r="U69"/>
  <c r="R69" l="1"/>
  <c r="T70"/>
  <c r="V69"/>
  <c r="X71"/>
  <c r="S69"/>
  <c r="Y71"/>
  <c r="W69"/>
  <c r="U70"/>
  <c r="R70" l="1"/>
  <c r="T71"/>
  <c r="V70"/>
  <c r="X72"/>
  <c r="S70"/>
  <c r="W70"/>
  <c r="U71"/>
  <c r="Y72"/>
  <c r="R71" l="1"/>
  <c r="X73"/>
  <c r="T72"/>
  <c r="V71"/>
  <c r="S71"/>
  <c r="U72"/>
  <c r="Y73"/>
  <c r="W71"/>
  <c r="R72" l="1"/>
  <c r="V72"/>
  <c r="X74"/>
  <c r="T73"/>
  <c r="S72"/>
  <c r="U73"/>
  <c r="Y74"/>
  <c r="W72"/>
  <c r="R73" l="1"/>
  <c r="V73"/>
  <c r="X75"/>
  <c r="T74"/>
  <c r="S73"/>
  <c r="U74"/>
  <c r="Y75"/>
  <c r="W73"/>
  <c r="R74" l="1"/>
  <c r="V74"/>
  <c r="X76"/>
  <c r="T75"/>
  <c r="S74"/>
  <c r="U75"/>
  <c r="Y76"/>
  <c r="W74"/>
  <c r="R75" l="1"/>
  <c r="V75"/>
  <c r="X77"/>
  <c r="T76"/>
  <c r="S75"/>
  <c r="U76"/>
  <c r="Y77"/>
  <c r="W75"/>
  <c r="R76" l="1"/>
  <c r="V76"/>
  <c r="X78"/>
  <c r="T77"/>
  <c r="S76"/>
  <c r="U77"/>
  <c r="Y78"/>
  <c r="W76"/>
  <c r="R77" l="1"/>
  <c r="V77"/>
  <c r="X79"/>
  <c r="T78"/>
  <c r="S77"/>
  <c r="U78"/>
  <c r="Y79"/>
  <c r="W77"/>
  <c r="R78" l="1"/>
  <c r="V78"/>
  <c r="X80"/>
  <c r="T79"/>
  <c r="S78"/>
  <c r="U79"/>
  <c r="Y80"/>
  <c r="W78"/>
  <c r="R79" l="1"/>
  <c r="V79"/>
  <c r="X81"/>
  <c r="T80"/>
  <c r="S79"/>
  <c r="U80"/>
  <c r="Y81"/>
  <c r="W79"/>
  <c r="R80" l="1"/>
  <c r="V80"/>
  <c r="X82"/>
  <c r="T81"/>
  <c r="S80"/>
  <c r="U81"/>
  <c r="Y82"/>
  <c r="W80"/>
  <c r="R81" l="1"/>
  <c r="V81"/>
  <c r="X83"/>
  <c r="T82"/>
  <c r="S81"/>
  <c r="U82"/>
  <c r="Y83"/>
  <c r="W81"/>
  <c r="R82" l="1"/>
  <c r="V82"/>
  <c r="X84"/>
  <c r="T83"/>
  <c r="S82"/>
  <c r="U83"/>
  <c r="Y84"/>
  <c r="W82"/>
  <c r="R83" l="1"/>
  <c r="V83"/>
  <c r="X85"/>
  <c r="T84"/>
  <c r="S83"/>
  <c r="U84"/>
  <c r="Y85"/>
  <c r="W83"/>
  <c r="R84" l="1"/>
  <c r="V84"/>
  <c r="X86"/>
  <c r="T85"/>
  <c r="S84"/>
  <c r="Y86"/>
  <c r="W84"/>
  <c r="U85"/>
  <c r="R85" l="1"/>
  <c r="T86"/>
  <c r="V85"/>
  <c r="X87"/>
  <c r="S85"/>
  <c r="Y87"/>
  <c r="W85"/>
  <c r="U86"/>
  <c r="R86" l="1"/>
  <c r="T87"/>
  <c r="V86"/>
  <c r="X88"/>
  <c r="S86"/>
  <c r="Y88"/>
  <c r="W86"/>
  <c r="U87"/>
  <c r="R87" l="1"/>
  <c r="T88"/>
  <c r="V87"/>
  <c r="X89"/>
  <c r="S87"/>
  <c r="Y89"/>
  <c r="W87"/>
  <c r="U88"/>
  <c r="R88" l="1"/>
  <c r="T89"/>
  <c r="V88"/>
  <c r="X90"/>
  <c r="S88"/>
  <c r="Y90"/>
  <c r="W88"/>
  <c r="U89"/>
  <c r="R89" l="1"/>
  <c r="T90"/>
  <c r="V89"/>
  <c r="X91"/>
  <c r="S89"/>
  <c r="W89"/>
  <c r="U90"/>
  <c r="Y91"/>
  <c r="R90" l="1"/>
  <c r="X92"/>
  <c r="T91"/>
  <c r="V90"/>
  <c r="S90"/>
  <c r="U91"/>
  <c r="Y92"/>
  <c r="W90"/>
  <c r="R91" l="1"/>
  <c r="V91"/>
  <c r="X93"/>
  <c r="T92"/>
  <c r="S91"/>
  <c r="U92"/>
  <c r="Y93"/>
  <c r="W91"/>
  <c r="R92" l="1"/>
  <c r="V92"/>
  <c r="X94"/>
  <c r="T93"/>
  <c r="S92"/>
  <c r="U93"/>
  <c r="Y94"/>
  <c r="W92"/>
  <c r="R93" l="1"/>
  <c r="V93"/>
  <c r="X95"/>
  <c r="T94"/>
  <c r="S93"/>
  <c r="U94"/>
  <c r="Y95"/>
  <c r="W93"/>
  <c r="R94" l="1"/>
  <c r="V94"/>
  <c r="X96"/>
  <c r="T95"/>
  <c r="S94"/>
  <c r="Y96"/>
  <c r="W94"/>
  <c r="U95"/>
  <c r="R95" l="1"/>
  <c r="T96"/>
  <c r="V95"/>
  <c r="X97"/>
  <c r="S95"/>
  <c r="W95"/>
  <c r="U96"/>
  <c r="Y97"/>
  <c r="R96" l="1"/>
  <c r="X98"/>
  <c r="T97"/>
  <c r="V96"/>
  <c r="S96"/>
  <c r="W96"/>
  <c r="U97"/>
  <c r="Y98"/>
  <c r="R97" l="1"/>
  <c r="X99"/>
  <c r="T98"/>
  <c r="V97"/>
  <c r="S97"/>
  <c r="W97"/>
  <c r="U98"/>
  <c r="Y99"/>
  <c r="R98" l="1"/>
  <c r="X100"/>
  <c r="T99"/>
  <c r="V98"/>
  <c r="S98"/>
  <c r="W98"/>
  <c r="U99"/>
  <c r="Y100"/>
  <c r="R99" l="1"/>
  <c r="X101"/>
  <c r="T100"/>
  <c r="V99"/>
  <c r="S99"/>
  <c r="U100"/>
  <c r="Y101"/>
  <c r="W99"/>
  <c r="R100" l="1"/>
  <c r="V100"/>
  <c r="X102"/>
  <c r="T101"/>
  <c r="S100"/>
  <c r="U101"/>
  <c r="Y102"/>
  <c r="W100"/>
  <c r="R101" l="1"/>
  <c r="V101"/>
  <c r="X103"/>
  <c r="T102"/>
  <c r="S101"/>
  <c r="U102"/>
  <c r="Y103"/>
  <c r="W101"/>
  <c r="R102" l="1"/>
  <c r="V102"/>
  <c r="X104"/>
  <c r="T103"/>
  <c r="S102"/>
  <c r="U103"/>
  <c r="Y104"/>
  <c r="W102"/>
  <c r="R103" l="1"/>
  <c r="V103"/>
  <c r="X105"/>
  <c r="T104"/>
  <c r="S103"/>
  <c r="U104"/>
  <c r="Y105"/>
  <c r="W103"/>
  <c r="R104" l="1"/>
  <c r="V104"/>
  <c r="X106"/>
  <c r="T105"/>
  <c r="S104"/>
  <c r="U105"/>
  <c r="Y106"/>
  <c r="W104"/>
  <c r="R105" l="1"/>
  <c r="V105"/>
  <c r="X107"/>
  <c r="T106"/>
  <c r="S105"/>
  <c r="U106"/>
  <c r="Y107"/>
  <c r="W105"/>
  <c r="R106" l="1"/>
  <c r="V106"/>
  <c r="X108"/>
  <c r="T107"/>
  <c r="S106"/>
  <c r="U107"/>
  <c r="Y108"/>
  <c r="W106"/>
  <c r="R107" l="1"/>
  <c r="V107"/>
  <c r="X109"/>
  <c r="T108"/>
  <c r="S107"/>
  <c r="U108"/>
  <c r="Y109"/>
  <c r="W107"/>
  <c r="R108" l="1"/>
  <c r="V108"/>
  <c r="X110"/>
  <c r="T109"/>
  <c r="S108"/>
  <c r="U109"/>
  <c r="Y110"/>
  <c r="W108"/>
  <c r="R109" l="1"/>
  <c r="V109"/>
  <c r="X111"/>
  <c r="T110"/>
  <c r="S109"/>
  <c r="Y111"/>
  <c r="W109"/>
  <c r="U110"/>
  <c r="R110" l="1"/>
  <c r="T111"/>
  <c r="V110"/>
  <c r="X112"/>
  <c r="S110"/>
  <c r="Y112"/>
  <c r="W110"/>
  <c r="U111"/>
  <c r="R111" l="1"/>
  <c r="T112"/>
  <c r="V111"/>
  <c r="X113"/>
  <c r="S111"/>
  <c r="Y113"/>
  <c r="W111"/>
  <c r="U112"/>
  <c r="R112" l="1"/>
  <c r="T113"/>
  <c r="V112"/>
  <c r="X114"/>
  <c r="S112"/>
  <c r="W112"/>
  <c r="U113"/>
  <c r="Y114"/>
  <c r="R113" l="1"/>
  <c r="X115"/>
  <c r="T114"/>
  <c r="V113"/>
  <c r="S113"/>
  <c r="W113"/>
  <c r="U114"/>
  <c r="Y115"/>
  <c r="R114" l="1"/>
  <c r="T115"/>
  <c r="V114"/>
  <c r="S114"/>
  <c r="W114"/>
  <c r="U115"/>
  <c r="R115" l="1"/>
  <c r="V115"/>
  <c r="S115"/>
  <c r="W115"/>
</calcChain>
</file>

<file path=xl/sharedStrings.xml><?xml version="1.0" encoding="utf-8"?>
<sst xmlns="http://schemas.openxmlformats.org/spreadsheetml/2006/main" count="264" uniqueCount="79">
  <si>
    <t>James W. Richardson</t>
  </si>
  <si>
    <t>Input Data</t>
  </si>
  <si>
    <t>Variable Cost</t>
  </si>
  <si>
    <t>Fixed Costs</t>
  </si>
  <si>
    <t>PDF for Q</t>
  </si>
  <si>
    <t>Mean</t>
  </si>
  <si>
    <t>Std Dev</t>
  </si>
  <si>
    <t>PDF for P</t>
  </si>
  <si>
    <t>Model</t>
  </si>
  <si>
    <t>Stochastic Variables</t>
  </si>
  <si>
    <t>Q</t>
  </si>
  <si>
    <t>P</t>
  </si>
  <si>
    <t>Production</t>
  </si>
  <si>
    <t>Receipts</t>
  </si>
  <si>
    <t>Profit</t>
  </si>
  <si>
    <t>Scenario 1</t>
  </si>
  <si>
    <t>StDev</t>
  </si>
  <si>
    <t>CV</t>
  </si>
  <si>
    <t>Min</t>
  </si>
  <si>
    <t>Max</t>
  </si>
  <si>
    <t>Iteration</t>
  </si>
  <si>
    <t>Key Output Variable</t>
  </si>
  <si>
    <t>Equations for the Model in Column C</t>
  </si>
  <si>
    <t>Equations for the Stochastic Variables</t>
  </si>
  <si>
    <t>TR = P * Q</t>
  </si>
  <si>
    <t>VC = 0.90 * Q</t>
  </si>
  <si>
    <t>PR = TR - VC - 100</t>
  </si>
  <si>
    <t>observed for the model.</t>
  </si>
  <si>
    <t>Verify the Equations in Profit by Simulationg the values by Iteration</t>
  </si>
  <si>
    <t/>
  </si>
  <si>
    <t>Series 1</t>
  </si>
  <si>
    <t>CDFProb.</t>
  </si>
  <si>
    <t>Simetar Simulation Results for 500 Iterations.  3:58:29 PM 7/3/00 (4.23sec)</t>
  </si>
  <si>
    <t>This is an excerpt of the SimData results generated by a 500 iteration simulation of PROFIT.</t>
  </si>
  <si>
    <t>VC</t>
  </si>
  <si>
    <t>Here the first 30 iterations are pasted in place and then the equations of the model are calculated by hand to the right.</t>
  </si>
  <si>
    <t>Notice that the calculations above are done by hand (using Excel Commands) using the random</t>
  </si>
  <si>
    <t xml:space="preserve">random P and Qs.  Also notice that the value calculated for PR in each iteration is the same as </t>
  </si>
  <si>
    <t>Chapter 3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</si>
  <si>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</si>
  <si>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</si>
  <si>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</si>
  <si>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</si>
  <si>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</si>
  <si>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</si>
  <si>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</si>
  <si>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</si>
  <si>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</si>
  <si>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</si>
  <si>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</si>
  <si>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 xml:space="preserve">VC </t>
  </si>
  <si>
    <t>FC</t>
  </si>
  <si>
    <t>TC</t>
  </si>
  <si>
    <t>Rec</t>
  </si>
  <si>
    <t xml:space="preserve">Vaidate the equations in the model </t>
  </si>
  <si>
    <t>Simetar Simulation Results for 25 Iterations.  5:22:02 AM 3/29/2005 (0.87 sec.).  © 2005.</t>
  </si>
  <si>
    <t>Model!B19</t>
  </si>
  <si>
    <t>Simetar Simulation Results for 50 Iterations.  5:22:44 AM 3/29/2005 (1.02 sec.).  © 2005.</t>
  </si>
  <si>
    <t>Simetar Simulation Results for 75 Iterations.  5:23:28 AM 3/29/2005 (1.19 sec.).  © 2005.</t>
  </si>
  <si>
    <t>Simetar Simulation Results for 100 Iterations.  5:24:17 AM 3/29/2005 (1.33 sec.).  © 2005.</t>
  </si>
  <si>
    <t>Simetar Simulation Results for 200 Iterations.  5:24:47 AM 3/29/2005 (1.95 sec.).  © 2005.</t>
  </si>
  <si>
    <t>Simetar Simulation Results for 500 Iterations.  5:25:14 AM 3/29/2005 (3.86 sec.).  © 2005.</t>
  </si>
  <si>
    <t>Simetar Simulation Results for 1000 Iterations.  5:25:54 AM 3/29/2005 (7.13 sec.).  © 2005.</t>
  </si>
  <si>
    <t>Simetar Simulation Results for 5000 Iterations.  5:26:57 AM 3/29/2005 (34.07 sec.).  © 2005.</t>
  </si>
  <si>
    <t>Simetar Simulation Results for 100 Iterations.  10:49:56 PM 12/21/2005 (13.42 sec.).  © 2005.</t>
  </si>
  <si>
    <t>Scenario Table</t>
  </si>
  <si>
    <t>Scenario Value</t>
  </si>
  <si>
    <t>Simetar Simulation Results for 4 Scenarios, 500 Iterations.  9:23:55 PM 2/1/2006 (1 min. 2.69 sec.).  © 2006.</t>
  </si>
  <si>
    <t>PDF Approximations</t>
  </si>
  <si>
    <t>Start</t>
  </si>
  <si>
    <t>End</t>
  </si>
  <si>
    <t>Band Width</t>
  </si>
  <si>
    <t>Kernel</t>
  </si>
  <si>
    <t>Confidence Level</t>
  </si>
  <si>
    <t>Lower Quantile</t>
  </si>
  <si>
    <t>Average</t>
  </si>
  <si>
    <t>Upper Quantile</t>
  </si>
  <si>
    <t>Gaussian</t>
  </si>
  <si>
    <t>© 2011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</si>
</sst>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%"/>
  </numFmts>
  <fonts count="19">
    <font>
      <sz val="9"/>
      <name val="Arial"/>
    </font>
    <font>
      <b/>
      <sz val="9"/>
      <name val="Arial"/>
      <family val="2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9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0" fillId="0" borderId="5" xfId="0" applyFill="1" applyBorder="1"/>
    <xf numFmtId="0" fontId="1" fillId="0" borderId="3" xfId="0" applyFont="1" applyFill="1" applyBorder="1"/>
    <xf numFmtId="165" fontId="0" fillId="0" borderId="6" xfId="0" applyNumberFormat="1" applyFill="1" applyBorder="1"/>
    <xf numFmtId="0" fontId="0" fillId="0" borderId="7" xfId="0" applyFill="1" applyBorder="1"/>
    <xf numFmtId="0" fontId="0" fillId="0" borderId="4" xfId="0" applyFill="1" applyBorder="1"/>
    <xf numFmtId="0" fontId="1" fillId="0" borderId="5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0" fillId="0" borderId="11" xfId="0" applyFill="1" applyBorder="1"/>
    <xf numFmtId="0" fontId="0" fillId="0" borderId="12" xfId="0" applyFill="1" applyBorder="1"/>
    <xf numFmtId="165" fontId="0" fillId="0" borderId="3" xfId="0" applyNumberFormat="1" applyFill="1" applyBorder="1"/>
    <xf numFmtId="165" fontId="0" fillId="0" borderId="5" xfId="0" applyNumberFormat="1" applyFill="1" applyBorder="1"/>
    <xf numFmtId="165" fontId="0" fillId="0" borderId="12" xfId="0" applyNumberFormat="1" applyFill="1" applyBorder="1"/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1" fillId="0" borderId="8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10" xfId="0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7040179242318675"/>
          <c:y val="3.81179273377010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932688498162495E-2"/>
          <c:y val="0.24395473496128647"/>
          <c:w val="0.86036312963646056"/>
          <c:h val="0.48409767718880287"/>
        </c:manualLayout>
      </c:layout>
      <c:scatterChart>
        <c:scatterStyle val="smoothMarker"/>
        <c:ser>
          <c:idx val="0"/>
          <c:order val="0"/>
          <c:tx>
            <c:strRef>
              <c:f>SimDataScen!$H$6</c:f>
              <c:strCache>
                <c:ptCount val="1"/>
                <c:pt idx="0">
                  <c:v>Profit: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SimDataScen!$H$7:$H$506</c:f>
              <c:numCache>
                <c:formatCode>General</c:formatCode>
                <c:ptCount val="500"/>
                <c:pt idx="0">
                  <c:v>63.580362380286331</c:v>
                </c:pt>
                <c:pt idx="1">
                  <c:v>94.258033145381859</c:v>
                </c:pt>
                <c:pt idx="2">
                  <c:v>94.908160635638296</c:v>
                </c:pt>
                <c:pt idx="3">
                  <c:v>101.41868532801837</c:v>
                </c:pt>
                <c:pt idx="4">
                  <c:v>101.96607163048088</c:v>
                </c:pt>
                <c:pt idx="5">
                  <c:v>103.06396741280439</c:v>
                </c:pt>
                <c:pt idx="6">
                  <c:v>103.28683611361984</c:v>
                </c:pt>
                <c:pt idx="7">
                  <c:v>106.6871539502487</c:v>
                </c:pt>
                <c:pt idx="8">
                  <c:v>112.42572399201978</c:v>
                </c:pt>
                <c:pt idx="9">
                  <c:v>116.37642136721377</c:v>
                </c:pt>
                <c:pt idx="10">
                  <c:v>119.88751397428052</c:v>
                </c:pt>
                <c:pt idx="11">
                  <c:v>124.48503415340403</c:v>
                </c:pt>
                <c:pt idx="12">
                  <c:v>125.65588608852377</c:v>
                </c:pt>
                <c:pt idx="13">
                  <c:v>128.5185534982777</c:v>
                </c:pt>
                <c:pt idx="14">
                  <c:v>130.43238919668511</c:v>
                </c:pt>
                <c:pt idx="15">
                  <c:v>131.44495042485886</c:v>
                </c:pt>
                <c:pt idx="16">
                  <c:v>132.27942523369452</c:v>
                </c:pt>
                <c:pt idx="17">
                  <c:v>133.58155145059237</c:v>
                </c:pt>
                <c:pt idx="18">
                  <c:v>145.4923047624477</c:v>
                </c:pt>
                <c:pt idx="19">
                  <c:v>145.68607491721389</c:v>
                </c:pt>
                <c:pt idx="20">
                  <c:v>145.84848089022017</c:v>
                </c:pt>
                <c:pt idx="21">
                  <c:v>146.08083037062056</c:v>
                </c:pt>
                <c:pt idx="22">
                  <c:v>146.74651169477988</c:v>
                </c:pt>
                <c:pt idx="23">
                  <c:v>148.60417248386963</c:v>
                </c:pt>
                <c:pt idx="24">
                  <c:v>148.95738066149573</c:v>
                </c:pt>
                <c:pt idx="25">
                  <c:v>149.99434606880311</c:v>
                </c:pt>
                <c:pt idx="26">
                  <c:v>150.72149536718968</c:v>
                </c:pt>
                <c:pt idx="27">
                  <c:v>154.16740335514771</c:v>
                </c:pt>
                <c:pt idx="28">
                  <c:v>155.20330567660986</c:v>
                </c:pt>
                <c:pt idx="29">
                  <c:v>155.88834788410892</c:v>
                </c:pt>
                <c:pt idx="30">
                  <c:v>159.46184748088919</c:v>
                </c:pt>
                <c:pt idx="31">
                  <c:v>159.58214096708619</c:v>
                </c:pt>
                <c:pt idx="32">
                  <c:v>159.99168740936619</c:v>
                </c:pt>
                <c:pt idx="33">
                  <c:v>161.18559081765181</c:v>
                </c:pt>
                <c:pt idx="34">
                  <c:v>163.99715965367764</c:v>
                </c:pt>
                <c:pt idx="35">
                  <c:v>164.62735676531082</c:v>
                </c:pt>
                <c:pt idx="36">
                  <c:v>165.0733405457878</c:v>
                </c:pt>
                <c:pt idx="37">
                  <c:v>165.17889817972167</c:v>
                </c:pt>
                <c:pt idx="38">
                  <c:v>165.75719683365048</c:v>
                </c:pt>
                <c:pt idx="39">
                  <c:v>165.80300665264733</c:v>
                </c:pt>
                <c:pt idx="40">
                  <c:v>167.00457289333241</c:v>
                </c:pt>
                <c:pt idx="41">
                  <c:v>167.03635844608363</c:v>
                </c:pt>
                <c:pt idx="42">
                  <c:v>168.42898161325783</c:v>
                </c:pt>
                <c:pt idx="43">
                  <c:v>168.88679858294404</c:v>
                </c:pt>
                <c:pt idx="44">
                  <c:v>169.49708021755916</c:v>
                </c:pt>
                <c:pt idx="45">
                  <c:v>172.26536791719047</c:v>
                </c:pt>
                <c:pt idx="46">
                  <c:v>174.1419378211454</c:v>
                </c:pt>
                <c:pt idx="47">
                  <c:v>174.17829158286767</c:v>
                </c:pt>
                <c:pt idx="48">
                  <c:v>174.56911310448947</c:v>
                </c:pt>
                <c:pt idx="49">
                  <c:v>174.86149310104943</c:v>
                </c:pt>
                <c:pt idx="50">
                  <c:v>175.11680455180772</c:v>
                </c:pt>
                <c:pt idx="51">
                  <c:v>175.20100695018732</c:v>
                </c:pt>
                <c:pt idx="52">
                  <c:v>176.85907028233274</c:v>
                </c:pt>
                <c:pt idx="53">
                  <c:v>178.20615650744611</c:v>
                </c:pt>
                <c:pt idx="54">
                  <c:v>180.44899757573569</c:v>
                </c:pt>
                <c:pt idx="55">
                  <c:v>180.81883320074019</c:v>
                </c:pt>
                <c:pt idx="56">
                  <c:v>181.35882514813491</c:v>
                </c:pt>
                <c:pt idx="57">
                  <c:v>181.6343355527608</c:v>
                </c:pt>
                <c:pt idx="58">
                  <c:v>183.9365598369825</c:v>
                </c:pt>
                <c:pt idx="59">
                  <c:v>185.22575768142542</c:v>
                </c:pt>
                <c:pt idx="60">
                  <c:v>185.30562211710395</c:v>
                </c:pt>
                <c:pt idx="61">
                  <c:v>185.50230210378339</c:v>
                </c:pt>
                <c:pt idx="62">
                  <c:v>185.60691819781886</c:v>
                </c:pt>
                <c:pt idx="63">
                  <c:v>185.64894939143295</c:v>
                </c:pt>
                <c:pt idx="64">
                  <c:v>185.67255760366436</c:v>
                </c:pt>
                <c:pt idx="65">
                  <c:v>185.67603087044716</c:v>
                </c:pt>
                <c:pt idx="66">
                  <c:v>186.12774139001525</c:v>
                </c:pt>
                <c:pt idx="67">
                  <c:v>189.70014720373206</c:v>
                </c:pt>
                <c:pt idx="68">
                  <c:v>189.75201379432474</c:v>
                </c:pt>
                <c:pt idx="69">
                  <c:v>191.09957420274043</c:v>
                </c:pt>
                <c:pt idx="70">
                  <c:v>191.36123387961032</c:v>
                </c:pt>
                <c:pt idx="71">
                  <c:v>192.42619046281644</c:v>
                </c:pt>
                <c:pt idx="72">
                  <c:v>192.60259154965988</c:v>
                </c:pt>
                <c:pt idx="73">
                  <c:v>192.66493489174928</c:v>
                </c:pt>
                <c:pt idx="74">
                  <c:v>193.24733753907043</c:v>
                </c:pt>
                <c:pt idx="75">
                  <c:v>195.19991888929383</c:v>
                </c:pt>
                <c:pt idx="76">
                  <c:v>195.61248749601856</c:v>
                </c:pt>
                <c:pt idx="77">
                  <c:v>195.91265154794726</c:v>
                </c:pt>
                <c:pt idx="78">
                  <c:v>196.19473662657069</c:v>
                </c:pt>
                <c:pt idx="79">
                  <c:v>196.90255639670244</c:v>
                </c:pt>
                <c:pt idx="80">
                  <c:v>197.1588747858238</c:v>
                </c:pt>
                <c:pt idx="81">
                  <c:v>197.28928119186901</c:v>
                </c:pt>
                <c:pt idx="82">
                  <c:v>197.47479322488775</c:v>
                </c:pt>
                <c:pt idx="83">
                  <c:v>198.30804454700817</c:v>
                </c:pt>
                <c:pt idx="84">
                  <c:v>198.6679780621773</c:v>
                </c:pt>
                <c:pt idx="85">
                  <c:v>198.79850771814409</c:v>
                </c:pt>
                <c:pt idx="86">
                  <c:v>199.57144552392597</c:v>
                </c:pt>
                <c:pt idx="87">
                  <c:v>200.00524409314633</c:v>
                </c:pt>
                <c:pt idx="88">
                  <c:v>201.73785772483583</c:v>
                </c:pt>
                <c:pt idx="89">
                  <c:v>203.18904968410681</c:v>
                </c:pt>
                <c:pt idx="90">
                  <c:v>203.6343884100917</c:v>
                </c:pt>
                <c:pt idx="91">
                  <c:v>205.68746222074046</c:v>
                </c:pt>
                <c:pt idx="92">
                  <c:v>206.09748553585342</c:v>
                </c:pt>
                <c:pt idx="93">
                  <c:v>206.28731162556042</c:v>
                </c:pt>
                <c:pt idx="94">
                  <c:v>206.70752193603829</c:v>
                </c:pt>
                <c:pt idx="95">
                  <c:v>207.51037059722412</c:v>
                </c:pt>
                <c:pt idx="96">
                  <c:v>208.35870508089783</c:v>
                </c:pt>
                <c:pt idx="97">
                  <c:v>208.7192531556671</c:v>
                </c:pt>
                <c:pt idx="98">
                  <c:v>209.63695283001886</c:v>
                </c:pt>
                <c:pt idx="99">
                  <c:v>210.36337574196648</c:v>
                </c:pt>
                <c:pt idx="100">
                  <c:v>211.24316709322665</c:v>
                </c:pt>
                <c:pt idx="101">
                  <c:v>212.04353054994795</c:v>
                </c:pt>
                <c:pt idx="102">
                  <c:v>212.66259940989676</c:v>
                </c:pt>
                <c:pt idx="103">
                  <c:v>212.73994318730746</c:v>
                </c:pt>
                <c:pt idx="104">
                  <c:v>214.33501459042986</c:v>
                </c:pt>
                <c:pt idx="105">
                  <c:v>214.40962682380564</c:v>
                </c:pt>
                <c:pt idx="106">
                  <c:v>214.91088130379424</c:v>
                </c:pt>
                <c:pt idx="107">
                  <c:v>215.53291884794365</c:v>
                </c:pt>
                <c:pt idx="108">
                  <c:v>215.58204327922658</c:v>
                </c:pt>
                <c:pt idx="109">
                  <c:v>215.62020526941112</c:v>
                </c:pt>
                <c:pt idx="110">
                  <c:v>216.70693632970261</c:v>
                </c:pt>
                <c:pt idx="111">
                  <c:v>216.80043344547815</c:v>
                </c:pt>
                <c:pt idx="112">
                  <c:v>217.18746493067891</c:v>
                </c:pt>
                <c:pt idx="113">
                  <c:v>217.36357819752425</c:v>
                </c:pt>
                <c:pt idx="114">
                  <c:v>217.58197263584964</c:v>
                </c:pt>
                <c:pt idx="115">
                  <c:v>217.70376240885324</c:v>
                </c:pt>
                <c:pt idx="116">
                  <c:v>217.99407633733563</c:v>
                </c:pt>
                <c:pt idx="117">
                  <c:v>218.25934709297351</c:v>
                </c:pt>
                <c:pt idx="118">
                  <c:v>218.36215454502292</c:v>
                </c:pt>
                <c:pt idx="119">
                  <c:v>218.38827856705984</c:v>
                </c:pt>
                <c:pt idx="120">
                  <c:v>221.16064499162229</c:v>
                </c:pt>
                <c:pt idx="121">
                  <c:v>222.23872226966142</c:v>
                </c:pt>
                <c:pt idx="122">
                  <c:v>222.52595783563973</c:v>
                </c:pt>
                <c:pt idx="123">
                  <c:v>222.64384154851962</c:v>
                </c:pt>
                <c:pt idx="124">
                  <c:v>223.47700003290555</c:v>
                </c:pt>
                <c:pt idx="125">
                  <c:v>223.86641293361134</c:v>
                </c:pt>
                <c:pt idx="126">
                  <c:v>223.94447082587351</c:v>
                </c:pt>
                <c:pt idx="127">
                  <c:v>224.71888469024393</c:v>
                </c:pt>
                <c:pt idx="128">
                  <c:v>225.31751086020756</c:v>
                </c:pt>
                <c:pt idx="129">
                  <c:v>225.5860746476263</c:v>
                </c:pt>
                <c:pt idx="130">
                  <c:v>225.8590002462567</c:v>
                </c:pt>
                <c:pt idx="131">
                  <c:v>226.20615560520275</c:v>
                </c:pt>
                <c:pt idx="132">
                  <c:v>228.01311434301789</c:v>
                </c:pt>
                <c:pt idx="133">
                  <c:v>228.2465780821241</c:v>
                </c:pt>
                <c:pt idx="134">
                  <c:v>228.24682165414347</c:v>
                </c:pt>
                <c:pt idx="135">
                  <c:v>228.62721822614793</c:v>
                </c:pt>
                <c:pt idx="136">
                  <c:v>229.29347056212913</c:v>
                </c:pt>
                <c:pt idx="137">
                  <c:v>229.36484924874978</c:v>
                </c:pt>
                <c:pt idx="138">
                  <c:v>230.19286006616434</c:v>
                </c:pt>
                <c:pt idx="139">
                  <c:v>231.01204533695957</c:v>
                </c:pt>
                <c:pt idx="140">
                  <c:v>231.17351727947803</c:v>
                </c:pt>
                <c:pt idx="141">
                  <c:v>231.17806649767101</c:v>
                </c:pt>
                <c:pt idx="142">
                  <c:v>232.55532778766724</c:v>
                </c:pt>
                <c:pt idx="143">
                  <c:v>233.18795515457774</c:v>
                </c:pt>
                <c:pt idx="144">
                  <c:v>233.39022404940619</c:v>
                </c:pt>
                <c:pt idx="145">
                  <c:v>233.55703126226308</c:v>
                </c:pt>
                <c:pt idx="146">
                  <c:v>233.63363753995847</c:v>
                </c:pt>
                <c:pt idx="147">
                  <c:v>233.64767563007678</c:v>
                </c:pt>
                <c:pt idx="148">
                  <c:v>235.25080151007856</c:v>
                </c:pt>
                <c:pt idx="149">
                  <c:v>235.3860237324408</c:v>
                </c:pt>
                <c:pt idx="150">
                  <c:v>236.05411447654936</c:v>
                </c:pt>
                <c:pt idx="151">
                  <c:v>236.19305783291114</c:v>
                </c:pt>
                <c:pt idx="152">
                  <c:v>236.57511444848166</c:v>
                </c:pt>
                <c:pt idx="153">
                  <c:v>236.60387111516485</c:v>
                </c:pt>
                <c:pt idx="154">
                  <c:v>236.66059009880672</c:v>
                </c:pt>
                <c:pt idx="155">
                  <c:v>237.12193658624898</c:v>
                </c:pt>
                <c:pt idx="156">
                  <c:v>237.81045834332511</c:v>
                </c:pt>
                <c:pt idx="157">
                  <c:v>237.93811685827404</c:v>
                </c:pt>
                <c:pt idx="158">
                  <c:v>238.01674431324312</c:v>
                </c:pt>
                <c:pt idx="159">
                  <c:v>238.11340656270605</c:v>
                </c:pt>
                <c:pt idx="160">
                  <c:v>238.43449251592213</c:v>
                </c:pt>
                <c:pt idx="161">
                  <c:v>238.76626783140216</c:v>
                </c:pt>
                <c:pt idx="162">
                  <c:v>240.74976158483358</c:v>
                </c:pt>
                <c:pt idx="163">
                  <c:v>241.24088478929818</c:v>
                </c:pt>
                <c:pt idx="164">
                  <c:v>241.48598634813919</c:v>
                </c:pt>
                <c:pt idx="165">
                  <c:v>242.70118703851981</c:v>
                </c:pt>
                <c:pt idx="166">
                  <c:v>244.07653785541987</c:v>
                </c:pt>
                <c:pt idx="167">
                  <c:v>245.06841193218733</c:v>
                </c:pt>
                <c:pt idx="168">
                  <c:v>246.82380470460717</c:v>
                </c:pt>
                <c:pt idx="169">
                  <c:v>246.833131747371</c:v>
                </c:pt>
                <c:pt idx="170">
                  <c:v>246.94645869524877</c:v>
                </c:pt>
                <c:pt idx="171">
                  <c:v>246.98313616397107</c:v>
                </c:pt>
                <c:pt idx="172">
                  <c:v>247.0331673691702</c:v>
                </c:pt>
                <c:pt idx="173">
                  <c:v>247.67374681772159</c:v>
                </c:pt>
                <c:pt idx="174">
                  <c:v>248.96893405609239</c:v>
                </c:pt>
                <c:pt idx="175">
                  <c:v>249.37115314099788</c:v>
                </c:pt>
                <c:pt idx="176">
                  <c:v>249.45814754666026</c:v>
                </c:pt>
                <c:pt idx="177">
                  <c:v>250.47580539078896</c:v>
                </c:pt>
                <c:pt idx="178">
                  <c:v>250.47846639077736</c:v>
                </c:pt>
                <c:pt idx="179">
                  <c:v>251.75148756139362</c:v>
                </c:pt>
                <c:pt idx="180">
                  <c:v>252.04453310944001</c:v>
                </c:pt>
                <c:pt idx="181">
                  <c:v>252.66652040421027</c:v>
                </c:pt>
                <c:pt idx="182">
                  <c:v>252.70611397249843</c:v>
                </c:pt>
                <c:pt idx="183">
                  <c:v>253.30709144528532</c:v>
                </c:pt>
                <c:pt idx="184">
                  <c:v>253.71203466886544</c:v>
                </c:pt>
                <c:pt idx="185">
                  <c:v>253.94854691431232</c:v>
                </c:pt>
                <c:pt idx="186">
                  <c:v>253.96603208552585</c:v>
                </c:pt>
                <c:pt idx="187">
                  <c:v>253.99463623178764</c:v>
                </c:pt>
                <c:pt idx="188">
                  <c:v>254.3089166723862</c:v>
                </c:pt>
                <c:pt idx="189">
                  <c:v>255.51122806263538</c:v>
                </c:pt>
                <c:pt idx="190">
                  <c:v>256.07582232582467</c:v>
                </c:pt>
                <c:pt idx="191">
                  <c:v>256.37043911905289</c:v>
                </c:pt>
                <c:pt idx="192">
                  <c:v>256.8280313955658</c:v>
                </c:pt>
                <c:pt idx="193">
                  <c:v>258.67202895248096</c:v>
                </c:pt>
                <c:pt idx="194">
                  <c:v>258.93967445725207</c:v>
                </c:pt>
                <c:pt idx="195">
                  <c:v>259.326259901301</c:v>
                </c:pt>
                <c:pt idx="196">
                  <c:v>259.90571686812763</c:v>
                </c:pt>
                <c:pt idx="197">
                  <c:v>260.09153418865867</c:v>
                </c:pt>
                <c:pt idx="198">
                  <c:v>260.27543535580617</c:v>
                </c:pt>
                <c:pt idx="199">
                  <c:v>260.78455459697079</c:v>
                </c:pt>
                <c:pt idx="200">
                  <c:v>261.80935024433091</c:v>
                </c:pt>
                <c:pt idx="201">
                  <c:v>261.94179670914929</c:v>
                </c:pt>
                <c:pt idx="202">
                  <c:v>262.02451470179915</c:v>
                </c:pt>
                <c:pt idx="203">
                  <c:v>262.39388647551215</c:v>
                </c:pt>
                <c:pt idx="204">
                  <c:v>262.7928074022675</c:v>
                </c:pt>
                <c:pt idx="205">
                  <c:v>262.9556452263144</c:v>
                </c:pt>
                <c:pt idx="206">
                  <c:v>263.47142792970533</c:v>
                </c:pt>
                <c:pt idx="207">
                  <c:v>263.5065014991859</c:v>
                </c:pt>
                <c:pt idx="208">
                  <c:v>263.84070746396935</c:v>
                </c:pt>
                <c:pt idx="209">
                  <c:v>264.01735386200528</c:v>
                </c:pt>
                <c:pt idx="210">
                  <c:v>264.15065838037873</c:v>
                </c:pt>
                <c:pt idx="211">
                  <c:v>264.51424546600538</c:v>
                </c:pt>
                <c:pt idx="212">
                  <c:v>265.0180223682766</c:v>
                </c:pt>
                <c:pt idx="213">
                  <c:v>265.39271768040328</c:v>
                </c:pt>
                <c:pt idx="214">
                  <c:v>265.52273581138849</c:v>
                </c:pt>
                <c:pt idx="215">
                  <c:v>265.66253456928467</c:v>
                </c:pt>
                <c:pt idx="216">
                  <c:v>266.66924722342532</c:v>
                </c:pt>
                <c:pt idx="217">
                  <c:v>266.87827959551981</c:v>
                </c:pt>
                <c:pt idx="218">
                  <c:v>266.91885815630019</c:v>
                </c:pt>
                <c:pt idx="219">
                  <c:v>267.19290006129216</c:v>
                </c:pt>
                <c:pt idx="220">
                  <c:v>267.22932900144065</c:v>
                </c:pt>
                <c:pt idx="221">
                  <c:v>267.33363123198143</c:v>
                </c:pt>
                <c:pt idx="222">
                  <c:v>268.22366093840134</c:v>
                </c:pt>
                <c:pt idx="223">
                  <c:v>268.45109578711197</c:v>
                </c:pt>
                <c:pt idx="224">
                  <c:v>268.52735886163077</c:v>
                </c:pt>
                <c:pt idx="225">
                  <c:v>268.96717204347999</c:v>
                </c:pt>
                <c:pt idx="226">
                  <c:v>268.98721053350744</c:v>
                </c:pt>
                <c:pt idx="227">
                  <c:v>269.42299272613792</c:v>
                </c:pt>
                <c:pt idx="228">
                  <c:v>269.43856343732762</c:v>
                </c:pt>
                <c:pt idx="229">
                  <c:v>270.52781584019601</c:v>
                </c:pt>
                <c:pt idx="230">
                  <c:v>270.75788987163014</c:v>
                </c:pt>
                <c:pt idx="231">
                  <c:v>271.08413093828324</c:v>
                </c:pt>
                <c:pt idx="232">
                  <c:v>271.62004062946352</c:v>
                </c:pt>
                <c:pt idx="233">
                  <c:v>272.00551342321586</c:v>
                </c:pt>
                <c:pt idx="234">
                  <c:v>272.81029899114753</c:v>
                </c:pt>
                <c:pt idx="235">
                  <c:v>273.47915061563219</c:v>
                </c:pt>
                <c:pt idx="236">
                  <c:v>274.20503774989487</c:v>
                </c:pt>
                <c:pt idx="237">
                  <c:v>274.84655888048735</c:v>
                </c:pt>
                <c:pt idx="238">
                  <c:v>275.73613838529963</c:v>
                </c:pt>
                <c:pt idx="239">
                  <c:v>276.8677368202159</c:v>
                </c:pt>
                <c:pt idx="240">
                  <c:v>277.05056149016866</c:v>
                </c:pt>
                <c:pt idx="241">
                  <c:v>277.35756389848291</c:v>
                </c:pt>
                <c:pt idx="242">
                  <c:v>277.95604356949127</c:v>
                </c:pt>
                <c:pt idx="243">
                  <c:v>278.82664964692469</c:v>
                </c:pt>
                <c:pt idx="244">
                  <c:v>278.83644079736081</c:v>
                </c:pt>
                <c:pt idx="245">
                  <c:v>279.39905580046712</c:v>
                </c:pt>
                <c:pt idx="246">
                  <c:v>280.70123856098115</c:v>
                </c:pt>
                <c:pt idx="247">
                  <c:v>280.87377839771619</c:v>
                </c:pt>
                <c:pt idx="248">
                  <c:v>282.26690577569116</c:v>
                </c:pt>
                <c:pt idx="249">
                  <c:v>282.52686329123929</c:v>
                </c:pt>
                <c:pt idx="250">
                  <c:v>283.28422438707508</c:v>
                </c:pt>
                <c:pt idx="251">
                  <c:v>283.38374758302098</c:v>
                </c:pt>
                <c:pt idx="252">
                  <c:v>283.87690900838896</c:v>
                </c:pt>
                <c:pt idx="253">
                  <c:v>284.36873209531132</c:v>
                </c:pt>
                <c:pt idx="254">
                  <c:v>284.91418539693757</c:v>
                </c:pt>
                <c:pt idx="255">
                  <c:v>285.02413120058156</c:v>
                </c:pt>
                <c:pt idx="256">
                  <c:v>285.51906255039637</c:v>
                </c:pt>
                <c:pt idx="257">
                  <c:v>285.90910865485137</c:v>
                </c:pt>
                <c:pt idx="258">
                  <c:v>286.4078396879919</c:v>
                </c:pt>
                <c:pt idx="259">
                  <c:v>286.58949863848693</c:v>
                </c:pt>
                <c:pt idx="260">
                  <c:v>287.08966423806027</c:v>
                </c:pt>
                <c:pt idx="261">
                  <c:v>287.47531144821119</c:v>
                </c:pt>
                <c:pt idx="262">
                  <c:v>287.90392718613288</c:v>
                </c:pt>
                <c:pt idx="263">
                  <c:v>288.12655796105366</c:v>
                </c:pt>
                <c:pt idx="264">
                  <c:v>289.50766094231494</c:v>
                </c:pt>
                <c:pt idx="265">
                  <c:v>290.21080757148519</c:v>
                </c:pt>
                <c:pt idx="266">
                  <c:v>291.12391757665591</c:v>
                </c:pt>
                <c:pt idx="267">
                  <c:v>292.23665380068957</c:v>
                </c:pt>
                <c:pt idx="268">
                  <c:v>292.35081777342532</c:v>
                </c:pt>
                <c:pt idx="269">
                  <c:v>292.41616950520159</c:v>
                </c:pt>
                <c:pt idx="270">
                  <c:v>293.9051595339846</c:v>
                </c:pt>
                <c:pt idx="271">
                  <c:v>294.77744465119883</c:v>
                </c:pt>
                <c:pt idx="272">
                  <c:v>295.21302905978655</c:v>
                </c:pt>
                <c:pt idx="273">
                  <c:v>295.58350369024652</c:v>
                </c:pt>
                <c:pt idx="274">
                  <c:v>296.18245373224516</c:v>
                </c:pt>
                <c:pt idx="275">
                  <c:v>296.94488636902167</c:v>
                </c:pt>
                <c:pt idx="276">
                  <c:v>297.30039024648653</c:v>
                </c:pt>
                <c:pt idx="277">
                  <c:v>298.07620493655361</c:v>
                </c:pt>
                <c:pt idx="278">
                  <c:v>298.48126402971491</c:v>
                </c:pt>
                <c:pt idx="279">
                  <c:v>298.52026823193813</c:v>
                </c:pt>
                <c:pt idx="280">
                  <c:v>298.62819189400739</c:v>
                </c:pt>
                <c:pt idx="281">
                  <c:v>299.0695935765774</c:v>
                </c:pt>
                <c:pt idx="282">
                  <c:v>299.87908586780168</c:v>
                </c:pt>
                <c:pt idx="283">
                  <c:v>300.43249043136228</c:v>
                </c:pt>
                <c:pt idx="284">
                  <c:v>301.09742934099722</c:v>
                </c:pt>
                <c:pt idx="285">
                  <c:v>301.17787461061482</c:v>
                </c:pt>
                <c:pt idx="286">
                  <c:v>301.96383802919706</c:v>
                </c:pt>
                <c:pt idx="287">
                  <c:v>302.05598470101086</c:v>
                </c:pt>
                <c:pt idx="288">
                  <c:v>302.1366196217906</c:v>
                </c:pt>
                <c:pt idx="289">
                  <c:v>302.79246243641944</c:v>
                </c:pt>
                <c:pt idx="290">
                  <c:v>302.80109570501804</c:v>
                </c:pt>
                <c:pt idx="291">
                  <c:v>302.94554511913589</c:v>
                </c:pt>
                <c:pt idx="292">
                  <c:v>303.20602170295456</c:v>
                </c:pt>
                <c:pt idx="293">
                  <c:v>303.59008337216687</c:v>
                </c:pt>
                <c:pt idx="294">
                  <c:v>304.11412923402997</c:v>
                </c:pt>
                <c:pt idx="295">
                  <c:v>304.22928482826529</c:v>
                </c:pt>
                <c:pt idx="296">
                  <c:v>304.58223010800151</c:v>
                </c:pt>
                <c:pt idx="297">
                  <c:v>305.01643378076136</c:v>
                </c:pt>
                <c:pt idx="298">
                  <c:v>305.22351998664959</c:v>
                </c:pt>
                <c:pt idx="299">
                  <c:v>305.40279818666079</c:v>
                </c:pt>
                <c:pt idx="300">
                  <c:v>305.57707062241769</c:v>
                </c:pt>
                <c:pt idx="301">
                  <c:v>306.09953117965739</c:v>
                </c:pt>
                <c:pt idx="302">
                  <c:v>306.22950231153254</c:v>
                </c:pt>
                <c:pt idx="303">
                  <c:v>306.97126895629714</c:v>
                </c:pt>
                <c:pt idx="304">
                  <c:v>307.00026120714068</c:v>
                </c:pt>
                <c:pt idx="305">
                  <c:v>307.33583062453056</c:v>
                </c:pt>
                <c:pt idx="306">
                  <c:v>307.44716617027041</c:v>
                </c:pt>
                <c:pt idx="307">
                  <c:v>308.1640754588891</c:v>
                </c:pt>
                <c:pt idx="308">
                  <c:v>309.06373668173939</c:v>
                </c:pt>
                <c:pt idx="309">
                  <c:v>309.10386897097203</c:v>
                </c:pt>
                <c:pt idx="310">
                  <c:v>309.74105145560708</c:v>
                </c:pt>
                <c:pt idx="311">
                  <c:v>310.20086138536692</c:v>
                </c:pt>
                <c:pt idx="312">
                  <c:v>311.10734584251759</c:v>
                </c:pt>
                <c:pt idx="313">
                  <c:v>311.23943997335817</c:v>
                </c:pt>
                <c:pt idx="314">
                  <c:v>311.75004563637242</c:v>
                </c:pt>
                <c:pt idx="315">
                  <c:v>311.9464572497269</c:v>
                </c:pt>
                <c:pt idx="316">
                  <c:v>312.61507984851039</c:v>
                </c:pt>
                <c:pt idx="317">
                  <c:v>312.73926493635793</c:v>
                </c:pt>
                <c:pt idx="318">
                  <c:v>312.75359302219488</c:v>
                </c:pt>
                <c:pt idx="319">
                  <c:v>313.03838272980488</c:v>
                </c:pt>
                <c:pt idx="320">
                  <c:v>313.19022332438908</c:v>
                </c:pt>
                <c:pt idx="321">
                  <c:v>313.75254418380524</c:v>
                </c:pt>
                <c:pt idx="322">
                  <c:v>314.03376719522021</c:v>
                </c:pt>
                <c:pt idx="323">
                  <c:v>314.28245031641154</c:v>
                </c:pt>
                <c:pt idx="324">
                  <c:v>314.71812455581454</c:v>
                </c:pt>
                <c:pt idx="325">
                  <c:v>314.81811680849023</c:v>
                </c:pt>
                <c:pt idx="326">
                  <c:v>315.72958078405458</c:v>
                </c:pt>
                <c:pt idx="327">
                  <c:v>315.89009953797802</c:v>
                </c:pt>
                <c:pt idx="328">
                  <c:v>316.40921715549473</c:v>
                </c:pt>
                <c:pt idx="329">
                  <c:v>317.15969023660494</c:v>
                </c:pt>
                <c:pt idx="330">
                  <c:v>317.82522094746497</c:v>
                </c:pt>
                <c:pt idx="331">
                  <c:v>318.0375155132254</c:v>
                </c:pt>
                <c:pt idx="332">
                  <c:v>318.80676100616881</c:v>
                </c:pt>
                <c:pt idx="333">
                  <c:v>319.81057730873135</c:v>
                </c:pt>
                <c:pt idx="334">
                  <c:v>319.87509194847394</c:v>
                </c:pt>
                <c:pt idx="335">
                  <c:v>319.91905246539523</c:v>
                </c:pt>
                <c:pt idx="336">
                  <c:v>320.28995849668581</c:v>
                </c:pt>
                <c:pt idx="337">
                  <c:v>320.62761254664952</c:v>
                </c:pt>
                <c:pt idx="338">
                  <c:v>320.64178025508238</c:v>
                </c:pt>
                <c:pt idx="339">
                  <c:v>320.82374048809243</c:v>
                </c:pt>
                <c:pt idx="340">
                  <c:v>321.19442605654075</c:v>
                </c:pt>
                <c:pt idx="341">
                  <c:v>321.51003024590273</c:v>
                </c:pt>
                <c:pt idx="342">
                  <c:v>321.77576939228902</c:v>
                </c:pt>
                <c:pt idx="343">
                  <c:v>322.16903476535941</c:v>
                </c:pt>
                <c:pt idx="344">
                  <c:v>323.54390418723756</c:v>
                </c:pt>
                <c:pt idx="345">
                  <c:v>324.64431402403079</c:v>
                </c:pt>
                <c:pt idx="346">
                  <c:v>324.88196219136137</c:v>
                </c:pt>
                <c:pt idx="347">
                  <c:v>325.03998914066597</c:v>
                </c:pt>
                <c:pt idx="348">
                  <c:v>325.29010419852943</c:v>
                </c:pt>
                <c:pt idx="349">
                  <c:v>326.1922236019858</c:v>
                </c:pt>
                <c:pt idx="350">
                  <c:v>327.62695695141656</c:v>
                </c:pt>
                <c:pt idx="351">
                  <c:v>329.10441286832554</c:v>
                </c:pt>
                <c:pt idx="352">
                  <c:v>329.1499835732443</c:v>
                </c:pt>
                <c:pt idx="353">
                  <c:v>329.21300653161245</c:v>
                </c:pt>
                <c:pt idx="354">
                  <c:v>329.28454590266273</c:v>
                </c:pt>
                <c:pt idx="355">
                  <c:v>330.09120984862199</c:v>
                </c:pt>
                <c:pt idx="356">
                  <c:v>330.12745854459348</c:v>
                </c:pt>
                <c:pt idx="357">
                  <c:v>330.15332671057848</c:v>
                </c:pt>
                <c:pt idx="358">
                  <c:v>331.64232754002717</c:v>
                </c:pt>
                <c:pt idx="359">
                  <c:v>332.02756307491376</c:v>
                </c:pt>
                <c:pt idx="360">
                  <c:v>333.44340878437015</c:v>
                </c:pt>
                <c:pt idx="361">
                  <c:v>333.66457569359511</c:v>
                </c:pt>
                <c:pt idx="362">
                  <c:v>333.98493517406757</c:v>
                </c:pt>
                <c:pt idx="363">
                  <c:v>334.4284567374973</c:v>
                </c:pt>
                <c:pt idx="364">
                  <c:v>334.82662150311751</c:v>
                </c:pt>
                <c:pt idx="365">
                  <c:v>334.99682226941769</c:v>
                </c:pt>
                <c:pt idx="366">
                  <c:v>335.38927085938604</c:v>
                </c:pt>
                <c:pt idx="367">
                  <c:v>335.92534121983698</c:v>
                </c:pt>
                <c:pt idx="368">
                  <c:v>336.91574839233283</c:v>
                </c:pt>
                <c:pt idx="369">
                  <c:v>337.25005052298314</c:v>
                </c:pt>
                <c:pt idx="370">
                  <c:v>337.35073480467423</c:v>
                </c:pt>
                <c:pt idx="371">
                  <c:v>339.46400406213024</c:v>
                </c:pt>
                <c:pt idx="372">
                  <c:v>339.9048732334839</c:v>
                </c:pt>
                <c:pt idx="373">
                  <c:v>345.04012585336727</c:v>
                </c:pt>
                <c:pt idx="374">
                  <c:v>345.70304514988459</c:v>
                </c:pt>
                <c:pt idx="375">
                  <c:v>346.7456949606663</c:v>
                </c:pt>
                <c:pt idx="376">
                  <c:v>349.13519666666372</c:v>
                </c:pt>
                <c:pt idx="377">
                  <c:v>349.76040785781464</c:v>
                </c:pt>
                <c:pt idx="378">
                  <c:v>350.0628187046043</c:v>
                </c:pt>
                <c:pt idx="379">
                  <c:v>350.80454263822071</c:v>
                </c:pt>
                <c:pt idx="380">
                  <c:v>351.37420856912445</c:v>
                </c:pt>
                <c:pt idx="381">
                  <c:v>352.98378000241689</c:v>
                </c:pt>
                <c:pt idx="382">
                  <c:v>353.23862493391306</c:v>
                </c:pt>
                <c:pt idx="383">
                  <c:v>354.61186183812475</c:v>
                </c:pt>
                <c:pt idx="384">
                  <c:v>355.88150561674553</c:v>
                </c:pt>
                <c:pt idx="385">
                  <c:v>355.9298266395823</c:v>
                </c:pt>
                <c:pt idx="386">
                  <c:v>359.30769925413267</c:v>
                </c:pt>
                <c:pt idx="387">
                  <c:v>359.98360019758974</c:v>
                </c:pt>
                <c:pt idx="388">
                  <c:v>360.05912810331949</c:v>
                </c:pt>
                <c:pt idx="389">
                  <c:v>360.41140092453327</c:v>
                </c:pt>
                <c:pt idx="390">
                  <c:v>361.75621004463375</c:v>
                </c:pt>
                <c:pt idx="391">
                  <c:v>363.6184409102159</c:v>
                </c:pt>
                <c:pt idx="392">
                  <c:v>364.16713771612882</c:v>
                </c:pt>
                <c:pt idx="393">
                  <c:v>365.1995573116298</c:v>
                </c:pt>
                <c:pt idx="394">
                  <c:v>365.80582562748339</c:v>
                </c:pt>
                <c:pt idx="395">
                  <c:v>366.77199363614812</c:v>
                </c:pt>
                <c:pt idx="396">
                  <c:v>369.18916886231813</c:v>
                </c:pt>
                <c:pt idx="397">
                  <c:v>369.62888743140934</c:v>
                </c:pt>
                <c:pt idx="398">
                  <c:v>370.44797585580176</c:v>
                </c:pt>
                <c:pt idx="399">
                  <c:v>371.04248225559058</c:v>
                </c:pt>
                <c:pt idx="400">
                  <c:v>371.90359028603268</c:v>
                </c:pt>
                <c:pt idx="401">
                  <c:v>372.39593793256626</c:v>
                </c:pt>
                <c:pt idx="402">
                  <c:v>372.90057347196779</c:v>
                </c:pt>
                <c:pt idx="403">
                  <c:v>374.23170793080271</c:v>
                </c:pt>
                <c:pt idx="404">
                  <c:v>374.40866759553836</c:v>
                </c:pt>
                <c:pt idx="405">
                  <c:v>374.63095994070079</c:v>
                </c:pt>
                <c:pt idx="406">
                  <c:v>375.95863327520561</c:v>
                </c:pt>
                <c:pt idx="407">
                  <c:v>376.02219089070724</c:v>
                </c:pt>
                <c:pt idx="408">
                  <c:v>376.33436894115562</c:v>
                </c:pt>
                <c:pt idx="409">
                  <c:v>378.23224650896293</c:v>
                </c:pt>
                <c:pt idx="410">
                  <c:v>379.16936014938051</c:v>
                </c:pt>
                <c:pt idx="411">
                  <c:v>381.13188372869229</c:v>
                </c:pt>
                <c:pt idx="412">
                  <c:v>381.27370576706147</c:v>
                </c:pt>
                <c:pt idx="413">
                  <c:v>382.10291564809199</c:v>
                </c:pt>
                <c:pt idx="414">
                  <c:v>382.10863285311103</c:v>
                </c:pt>
                <c:pt idx="415">
                  <c:v>382.76555169798053</c:v>
                </c:pt>
                <c:pt idx="416">
                  <c:v>384.9431200418054</c:v>
                </c:pt>
                <c:pt idx="417">
                  <c:v>385.25502966622906</c:v>
                </c:pt>
                <c:pt idx="418">
                  <c:v>386.67636453443879</c:v>
                </c:pt>
                <c:pt idx="419">
                  <c:v>387.52783283166832</c:v>
                </c:pt>
                <c:pt idx="420">
                  <c:v>390.20539021063308</c:v>
                </c:pt>
                <c:pt idx="421">
                  <c:v>392.6909554635717</c:v>
                </c:pt>
                <c:pt idx="422">
                  <c:v>392.72838882901391</c:v>
                </c:pt>
                <c:pt idx="423">
                  <c:v>392.79103418549562</c:v>
                </c:pt>
                <c:pt idx="424">
                  <c:v>393.42325077547025</c:v>
                </c:pt>
                <c:pt idx="425">
                  <c:v>393.82433914604815</c:v>
                </c:pt>
                <c:pt idx="426">
                  <c:v>394.82361171193907</c:v>
                </c:pt>
                <c:pt idx="427">
                  <c:v>395.28807873543462</c:v>
                </c:pt>
                <c:pt idx="428">
                  <c:v>395.63099429190231</c:v>
                </c:pt>
                <c:pt idx="429">
                  <c:v>396.45408690695194</c:v>
                </c:pt>
                <c:pt idx="430">
                  <c:v>396.94487626044372</c:v>
                </c:pt>
                <c:pt idx="431">
                  <c:v>398.19210961239366</c:v>
                </c:pt>
                <c:pt idx="432">
                  <c:v>398.27789894724538</c:v>
                </c:pt>
                <c:pt idx="433">
                  <c:v>400.03175068354494</c:v>
                </c:pt>
                <c:pt idx="434">
                  <c:v>400.8759177796432</c:v>
                </c:pt>
                <c:pt idx="435">
                  <c:v>402.46209941137721</c:v>
                </c:pt>
                <c:pt idx="436">
                  <c:v>403.31711636181234</c:v>
                </c:pt>
                <c:pt idx="437">
                  <c:v>408.24926917943901</c:v>
                </c:pt>
                <c:pt idx="438">
                  <c:v>408.29173454052392</c:v>
                </c:pt>
                <c:pt idx="439">
                  <c:v>411.04861330973915</c:v>
                </c:pt>
                <c:pt idx="440">
                  <c:v>411.12366086048246</c:v>
                </c:pt>
                <c:pt idx="441">
                  <c:v>412.01425389408587</c:v>
                </c:pt>
                <c:pt idx="442">
                  <c:v>412.03172767501201</c:v>
                </c:pt>
                <c:pt idx="443">
                  <c:v>412.13827365043153</c:v>
                </c:pt>
                <c:pt idx="444">
                  <c:v>412.19598596887238</c:v>
                </c:pt>
                <c:pt idx="445">
                  <c:v>413.77377177369772</c:v>
                </c:pt>
                <c:pt idx="446">
                  <c:v>417.45236372972738</c:v>
                </c:pt>
                <c:pt idx="447">
                  <c:v>417.47691178113092</c:v>
                </c:pt>
                <c:pt idx="448">
                  <c:v>417.79304796006761</c:v>
                </c:pt>
                <c:pt idx="449">
                  <c:v>419.4665396015327</c:v>
                </c:pt>
                <c:pt idx="450">
                  <c:v>419.65549612543015</c:v>
                </c:pt>
                <c:pt idx="451">
                  <c:v>420.51225561041093</c:v>
                </c:pt>
                <c:pt idx="452">
                  <c:v>423.7951645493041</c:v>
                </c:pt>
                <c:pt idx="453">
                  <c:v>423.84113484303543</c:v>
                </c:pt>
                <c:pt idx="454">
                  <c:v>424.90681335057394</c:v>
                </c:pt>
                <c:pt idx="455">
                  <c:v>426.96479761540905</c:v>
                </c:pt>
                <c:pt idx="456">
                  <c:v>427.25952583243799</c:v>
                </c:pt>
                <c:pt idx="457">
                  <c:v>427.45522238612182</c:v>
                </c:pt>
                <c:pt idx="458">
                  <c:v>427.5783070833092</c:v>
                </c:pt>
                <c:pt idx="459">
                  <c:v>430.74916188891643</c:v>
                </c:pt>
                <c:pt idx="460">
                  <c:v>433.66594299253325</c:v>
                </c:pt>
                <c:pt idx="461">
                  <c:v>436.26342392651611</c:v>
                </c:pt>
                <c:pt idx="462">
                  <c:v>438.14513983642269</c:v>
                </c:pt>
                <c:pt idx="463">
                  <c:v>439.57086109363001</c:v>
                </c:pt>
                <c:pt idx="464">
                  <c:v>439.71388217477698</c:v>
                </c:pt>
                <c:pt idx="465">
                  <c:v>442.07446537624145</c:v>
                </c:pt>
                <c:pt idx="466">
                  <c:v>442.3359325831558</c:v>
                </c:pt>
                <c:pt idx="467">
                  <c:v>444.57291128890398</c:v>
                </c:pt>
                <c:pt idx="468">
                  <c:v>445.39934415757648</c:v>
                </c:pt>
                <c:pt idx="469">
                  <c:v>449.64271680875692</c:v>
                </c:pt>
                <c:pt idx="470">
                  <c:v>450.66010528478876</c:v>
                </c:pt>
                <c:pt idx="471">
                  <c:v>450.91926079042383</c:v>
                </c:pt>
                <c:pt idx="472">
                  <c:v>451.34756981638674</c:v>
                </c:pt>
                <c:pt idx="473">
                  <c:v>451.88659231449287</c:v>
                </c:pt>
                <c:pt idx="474">
                  <c:v>452.47941982956206</c:v>
                </c:pt>
                <c:pt idx="475">
                  <c:v>454.48941782825233</c:v>
                </c:pt>
                <c:pt idx="476">
                  <c:v>455.00661260860602</c:v>
                </c:pt>
                <c:pt idx="477">
                  <c:v>458.66346164316951</c:v>
                </c:pt>
                <c:pt idx="478">
                  <c:v>460.7957935863634</c:v>
                </c:pt>
                <c:pt idx="479">
                  <c:v>464.39215779153307</c:v>
                </c:pt>
                <c:pt idx="480">
                  <c:v>466.26021677997556</c:v>
                </c:pt>
                <c:pt idx="481">
                  <c:v>468.12437348857986</c:v>
                </c:pt>
                <c:pt idx="482">
                  <c:v>469.64702780711622</c:v>
                </c:pt>
                <c:pt idx="483">
                  <c:v>473.7937150749583</c:v>
                </c:pt>
                <c:pt idx="484">
                  <c:v>482.09605504415242</c:v>
                </c:pt>
                <c:pt idx="485">
                  <c:v>482.1427629879189</c:v>
                </c:pt>
                <c:pt idx="486">
                  <c:v>483.37921968257058</c:v>
                </c:pt>
                <c:pt idx="487">
                  <c:v>486.29816127691356</c:v>
                </c:pt>
                <c:pt idx="488">
                  <c:v>488.7915024443331</c:v>
                </c:pt>
                <c:pt idx="489">
                  <c:v>491.48662557886638</c:v>
                </c:pt>
                <c:pt idx="490">
                  <c:v>492.57190130259431</c:v>
                </c:pt>
                <c:pt idx="491">
                  <c:v>493.03810485762807</c:v>
                </c:pt>
                <c:pt idx="492">
                  <c:v>497.39297975877082</c:v>
                </c:pt>
                <c:pt idx="493">
                  <c:v>497.81488552520068</c:v>
                </c:pt>
                <c:pt idx="494">
                  <c:v>501.3181090360319</c:v>
                </c:pt>
                <c:pt idx="495">
                  <c:v>513.65577447821056</c:v>
                </c:pt>
                <c:pt idx="496">
                  <c:v>525.31571906933686</c:v>
                </c:pt>
                <c:pt idx="497">
                  <c:v>528.32200519078776</c:v>
                </c:pt>
                <c:pt idx="498">
                  <c:v>551.28642814846546</c:v>
                </c:pt>
                <c:pt idx="499">
                  <c:v>579.67663613214268</c:v>
                </c:pt>
              </c:numCache>
            </c:numRef>
          </c:xVal>
          <c:yVal>
            <c:numRef>
              <c:f>SimDataScen!$I$7:$I$506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SimDataScen!$J$6</c:f>
              <c:strCache>
                <c:ptCount val="1"/>
                <c:pt idx="0">
                  <c:v>Profit: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SimDataScen!$J$7:$J$506</c:f>
              <c:numCache>
                <c:formatCode>General</c:formatCode>
                <c:ptCount val="500"/>
                <c:pt idx="0">
                  <c:v>-9.4505833824257195</c:v>
                </c:pt>
                <c:pt idx="1">
                  <c:v>12.277570086761216</c:v>
                </c:pt>
                <c:pt idx="2">
                  <c:v>20.238653084197466</c:v>
                </c:pt>
                <c:pt idx="3">
                  <c:v>21.699055030756043</c:v>
                </c:pt>
                <c:pt idx="4">
                  <c:v>29.955244950195237</c:v>
                </c:pt>
                <c:pt idx="5">
                  <c:v>32.11990978704987</c:v>
                </c:pt>
                <c:pt idx="6">
                  <c:v>33.316522074749003</c:v>
                </c:pt>
                <c:pt idx="7">
                  <c:v>34.478554827182322</c:v>
                </c:pt>
                <c:pt idx="8">
                  <c:v>42.520069623604215</c:v>
                </c:pt>
                <c:pt idx="9">
                  <c:v>45.751700146469162</c:v>
                </c:pt>
                <c:pt idx="10">
                  <c:v>51.502492630768472</c:v>
                </c:pt>
                <c:pt idx="11">
                  <c:v>51.911665343744907</c:v>
                </c:pt>
                <c:pt idx="12">
                  <c:v>53.77605119868268</c:v>
                </c:pt>
                <c:pt idx="13">
                  <c:v>53.776965377911623</c:v>
                </c:pt>
                <c:pt idx="14">
                  <c:v>55.717704669659703</c:v>
                </c:pt>
                <c:pt idx="15">
                  <c:v>57.165666100538459</c:v>
                </c:pt>
                <c:pt idx="16">
                  <c:v>57.89203625259448</c:v>
                </c:pt>
                <c:pt idx="17">
                  <c:v>61.501027543618051</c:v>
                </c:pt>
                <c:pt idx="18">
                  <c:v>69.594839408067486</c:v>
                </c:pt>
                <c:pt idx="19">
                  <c:v>71.514584604038603</c:v>
                </c:pt>
                <c:pt idx="20">
                  <c:v>72.354698099244501</c:v>
                </c:pt>
                <c:pt idx="21">
                  <c:v>73.099433742924674</c:v>
                </c:pt>
                <c:pt idx="22">
                  <c:v>73.120265338079832</c:v>
                </c:pt>
                <c:pt idx="23">
                  <c:v>73.570143720869154</c:v>
                </c:pt>
                <c:pt idx="24">
                  <c:v>75.788893627390877</c:v>
                </c:pt>
                <c:pt idx="25">
                  <c:v>75.912137188944158</c:v>
                </c:pt>
                <c:pt idx="26">
                  <c:v>76.76496104398413</c:v>
                </c:pt>
                <c:pt idx="27">
                  <c:v>80.229752734783077</c:v>
                </c:pt>
                <c:pt idx="28">
                  <c:v>81.481530611692918</c:v>
                </c:pt>
                <c:pt idx="29">
                  <c:v>82.175907589700827</c:v>
                </c:pt>
                <c:pt idx="30">
                  <c:v>82.335424658716519</c:v>
                </c:pt>
                <c:pt idx="31">
                  <c:v>82.846429499009304</c:v>
                </c:pt>
                <c:pt idx="32">
                  <c:v>83.505380138763371</c:v>
                </c:pt>
                <c:pt idx="33">
                  <c:v>84.286130898112546</c:v>
                </c:pt>
                <c:pt idx="34">
                  <c:v>86.364228049483756</c:v>
                </c:pt>
                <c:pt idx="35">
                  <c:v>88.517840644663195</c:v>
                </c:pt>
                <c:pt idx="36">
                  <c:v>88.521063807768584</c:v>
                </c:pt>
                <c:pt idx="37">
                  <c:v>88.945315766867239</c:v>
                </c:pt>
                <c:pt idx="38">
                  <c:v>89.581378997080691</c:v>
                </c:pt>
                <c:pt idx="39">
                  <c:v>89.588742239439469</c:v>
                </c:pt>
                <c:pt idx="40">
                  <c:v>90.080100169347247</c:v>
                </c:pt>
                <c:pt idx="41">
                  <c:v>90.221846059410026</c:v>
                </c:pt>
                <c:pt idx="42">
                  <c:v>90.670195232611064</c:v>
                </c:pt>
                <c:pt idx="43">
                  <c:v>91.280614510707963</c:v>
                </c:pt>
                <c:pt idx="44">
                  <c:v>92.98461837379368</c:v>
                </c:pt>
                <c:pt idx="45">
                  <c:v>94.795642643846733</c:v>
                </c:pt>
                <c:pt idx="46">
                  <c:v>96.10769378311646</c:v>
                </c:pt>
                <c:pt idx="47">
                  <c:v>96.187457184840753</c:v>
                </c:pt>
                <c:pt idx="48">
                  <c:v>97.417255516519845</c:v>
                </c:pt>
                <c:pt idx="49">
                  <c:v>101.13639130413743</c:v>
                </c:pt>
                <c:pt idx="50">
                  <c:v>101.65785098852079</c:v>
                </c:pt>
                <c:pt idx="51">
                  <c:v>102.79755198436725</c:v>
                </c:pt>
                <c:pt idx="52">
                  <c:v>102.88719714551534</c:v>
                </c:pt>
                <c:pt idx="53">
                  <c:v>103.10152322090225</c:v>
                </c:pt>
                <c:pt idx="54">
                  <c:v>103.189102552395</c:v>
                </c:pt>
                <c:pt idx="55">
                  <c:v>103.26111558655886</c:v>
                </c:pt>
                <c:pt idx="56">
                  <c:v>104.21595795891452</c:v>
                </c:pt>
                <c:pt idx="57">
                  <c:v>104.82241206153205</c:v>
                </c:pt>
                <c:pt idx="58">
                  <c:v>105.10403023480777</c:v>
                </c:pt>
                <c:pt idx="59">
                  <c:v>105.2563726708829</c:v>
                </c:pt>
                <c:pt idx="60">
                  <c:v>106.38191084128688</c:v>
                </c:pt>
                <c:pt idx="61">
                  <c:v>107.06493835116731</c:v>
                </c:pt>
                <c:pt idx="62">
                  <c:v>107.49836317209672</c:v>
                </c:pt>
                <c:pt idx="63">
                  <c:v>109.94889526904807</c:v>
                </c:pt>
                <c:pt idx="64">
                  <c:v>110.7295574953198</c:v>
                </c:pt>
                <c:pt idx="65">
                  <c:v>111.16946240724553</c:v>
                </c:pt>
                <c:pt idx="66">
                  <c:v>111.89562413712282</c:v>
                </c:pt>
                <c:pt idx="67">
                  <c:v>112.96078475040756</c:v>
                </c:pt>
                <c:pt idx="68">
                  <c:v>114.50125498135698</c:v>
                </c:pt>
                <c:pt idx="69">
                  <c:v>115.23012320472515</c:v>
                </c:pt>
                <c:pt idx="70">
                  <c:v>116.56978818510927</c:v>
                </c:pt>
                <c:pt idx="71">
                  <c:v>116.91475705632226</c:v>
                </c:pt>
                <c:pt idx="72">
                  <c:v>117.2361122223183</c:v>
                </c:pt>
                <c:pt idx="73">
                  <c:v>117.50423083246903</c:v>
                </c:pt>
                <c:pt idx="74">
                  <c:v>117.80554297795763</c:v>
                </c:pt>
                <c:pt idx="75">
                  <c:v>118.07095756528804</c:v>
                </c:pt>
                <c:pt idx="76">
                  <c:v>119.26897738633009</c:v>
                </c:pt>
                <c:pt idx="77">
                  <c:v>119.37160724585024</c:v>
                </c:pt>
                <c:pt idx="78">
                  <c:v>120.57450523564489</c:v>
                </c:pt>
                <c:pt idx="79">
                  <c:v>120.68544165276965</c:v>
                </c:pt>
                <c:pt idx="80">
                  <c:v>120.94205663640535</c:v>
                </c:pt>
                <c:pt idx="81">
                  <c:v>122.08120602591993</c:v>
                </c:pt>
                <c:pt idx="82">
                  <c:v>122.25021768948513</c:v>
                </c:pt>
                <c:pt idx="83">
                  <c:v>122.37572742080179</c:v>
                </c:pt>
                <c:pt idx="84">
                  <c:v>122.56491002207264</c:v>
                </c:pt>
                <c:pt idx="85">
                  <c:v>122.57282468506654</c:v>
                </c:pt>
                <c:pt idx="86">
                  <c:v>122.77970684351207</c:v>
                </c:pt>
                <c:pt idx="87">
                  <c:v>122.80478343690748</c:v>
                </c:pt>
                <c:pt idx="88">
                  <c:v>124.01020496616155</c:v>
                </c:pt>
                <c:pt idx="89">
                  <c:v>124.44100051404567</c:v>
                </c:pt>
                <c:pt idx="90">
                  <c:v>125.51149738665947</c:v>
                </c:pt>
                <c:pt idx="91">
                  <c:v>127.6636211124568</c:v>
                </c:pt>
                <c:pt idx="92">
                  <c:v>128.31624653474773</c:v>
                </c:pt>
                <c:pt idx="93">
                  <c:v>128.31903422974042</c:v>
                </c:pt>
                <c:pt idx="94">
                  <c:v>128.90100610650862</c:v>
                </c:pt>
                <c:pt idx="95">
                  <c:v>130.49971702740407</c:v>
                </c:pt>
                <c:pt idx="96">
                  <c:v>131.56880721191268</c:v>
                </c:pt>
                <c:pt idx="97">
                  <c:v>132.09095143147687</c:v>
                </c:pt>
                <c:pt idx="98">
                  <c:v>132.32941741130634</c:v>
                </c:pt>
                <c:pt idx="99">
                  <c:v>133.69961414819619</c:v>
                </c:pt>
                <c:pt idx="100">
                  <c:v>134.326398108565</c:v>
                </c:pt>
                <c:pt idx="101">
                  <c:v>134.69695949402774</c:v>
                </c:pt>
                <c:pt idx="102">
                  <c:v>135.19501688425288</c:v>
                </c:pt>
                <c:pt idx="103">
                  <c:v>135.58646218946853</c:v>
                </c:pt>
                <c:pt idx="104">
                  <c:v>135.86531644642804</c:v>
                </c:pt>
                <c:pt idx="105">
                  <c:v>136.71063128172176</c:v>
                </c:pt>
                <c:pt idx="106">
                  <c:v>137.10218624849523</c:v>
                </c:pt>
                <c:pt idx="107">
                  <c:v>137.62968005559691</c:v>
                </c:pt>
                <c:pt idx="108">
                  <c:v>138.64242426782835</c:v>
                </c:pt>
                <c:pt idx="109">
                  <c:v>139.16769290789995</c:v>
                </c:pt>
                <c:pt idx="110">
                  <c:v>139.53761681673822</c:v>
                </c:pt>
                <c:pt idx="111">
                  <c:v>140.34047406759262</c:v>
                </c:pt>
                <c:pt idx="112">
                  <c:v>140.90988551302075</c:v>
                </c:pt>
                <c:pt idx="113">
                  <c:v>140.97286320535085</c:v>
                </c:pt>
                <c:pt idx="114">
                  <c:v>141.73424942682254</c:v>
                </c:pt>
                <c:pt idx="115">
                  <c:v>141.75380023342967</c:v>
                </c:pt>
                <c:pt idx="116">
                  <c:v>141.82263133070455</c:v>
                </c:pt>
                <c:pt idx="117">
                  <c:v>142.31965069680825</c:v>
                </c:pt>
                <c:pt idx="118">
                  <c:v>143.32442773231287</c:v>
                </c:pt>
                <c:pt idx="119">
                  <c:v>144.18278649598869</c:v>
                </c:pt>
                <c:pt idx="120">
                  <c:v>144.81055464241624</c:v>
                </c:pt>
                <c:pt idx="121">
                  <c:v>145.18828438431547</c:v>
                </c:pt>
                <c:pt idx="122">
                  <c:v>145.32595249005811</c:v>
                </c:pt>
                <c:pt idx="123">
                  <c:v>145.59045966065082</c:v>
                </c:pt>
                <c:pt idx="124">
                  <c:v>145.79821051030783</c:v>
                </c:pt>
                <c:pt idx="125">
                  <c:v>146.15147447288223</c:v>
                </c:pt>
                <c:pt idx="126">
                  <c:v>146.81871276986436</c:v>
                </c:pt>
                <c:pt idx="127">
                  <c:v>146.93875673403852</c:v>
                </c:pt>
                <c:pt idx="128">
                  <c:v>147.59421704633945</c:v>
                </c:pt>
                <c:pt idx="129">
                  <c:v>147.92118953703979</c:v>
                </c:pt>
                <c:pt idx="130">
                  <c:v>148.25799589518158</c:v>
                </c:pt>
                <c:pt idx="131">
                  <c:v>149.11841921586125</c:v>
                </c:pt>
                <c:pt idx="132">
                  <c:v>149.58558022388826</c:v>
                </c:pt>
                <c:pt idx="133">
                  <c:v>149.60517482857296</c:v>
                </c:pt>
                <c:pt idx="134">
                  <c:v>149.78470939357675</c:v>
                </c:pt>
                <c:pt idx="135">
                  <c:v>149.9783854867228</c:v>
                </c:pt>
                <c:pt idx="136">
                  <c:v>150.5972481491479</c:v>
                </c:pt>
                <c:pt idx="137">
                  <c:v>150.69597597061295</c:v>
                </c:pt>
                <c:pt idx="138">
                  <c:v>150.81408832497715</c:v>
                </c:pt>
                <c:pt idx="139">
                  <c:v>151.30037811990348</c:v>
                </c:pt>
                <c:pt idx="140">
                  <c:v>152.58862817172059</c:v>
                </c:pt>
                <c:pt idx="141">
                  <c:v>152.64154276736042</c:v>
                </c:pt>
                <c:pt idx="142">
                  <c:v>152.83613274003795</c:v>
                </c:pt>
                <c:pt idx="143">
                  <c:v>153.32440949625834</c:v>
                </c:pt>
                <c:pt idx="144">
                  <c:v>154.34463692217304</c:v>
                </c:pt>
                <c:pt idx="145">
                  <c:v>154.62767167171882</c:v>
                </c:pt>
                <c:pt idx="146">
                  <c:v>155.49103361212084</c:v>
                </c:pt>
                <c:pt idx="147">
                  <c:v>155.59951635409476</c:v>
                </c:pt>
                <c:pt idx="148">
                  <c:v>157.0798702087875</c:v>
                </c:pt>
                <c:pt idx="149">
                  <c:v>157.50323486397286</c:v>
                </c:pt>
                <c:pt idx="150">
                  <c:v>157.50675019204232</c:v>
                </c:pt>
                <c:pt idx="151">
                  <c:v>157.54914968717961</c:v>
                </c:pt>
                <c:pt idx="152">
                  <c:v>157.68910534210738</c:v>
                </c:pt>
                <c:pt idx="153">
                  <c:v>158.31310962589384</c:v>
                </c:pt>
                <c:pt idx="154">
                  <c:v>159.19146493260868</c:v>
                </c:pt>
                <c:pt idx="155">
                  <c:v>160.08678283033868</c:v>
                </c:pt>
                <c:pt idx="156">
                  <c:v>160.2269251287963</c:v>
                </c:pt>
                <c:pt idx="157">
                  <c:v>160.26974448613259</c:v>
                </c:pt>
                <c:pt idx="158">
                  <c:v>160.51666071867157</c:v>
                </c:pt>
                <c:pt idx="159">
                  <c:v>161.24078562815362</c:v>
                </c:pt>
                <c:pt idx="160">
                  <c:v>161.31772161285153</c:v>
                </c:pt>
                <c:pt idx="161">
                  <c:v>161.7291991492564</c:v>
                </c:pt>
                <c:pt idx="162">
                  <c:v>161.83124164402903</c:v>
                </c:pt>
                <c:pt idx="163">
                  <c:v>162.00039175325082</c:v>
                </c:pt>
                <c:pt idx="164">
                  <c:v>162.06469952383867</c:v>
                </c:pt>
                <c:pt idx="165">
                  <c:v>166.34139387421595</c:v>
                </c:pt>
                <c:pt idx="166">
                  <c:v>166.36830188396209</c:v>
                </c:pt>
                <c:pt idx="167">
                  <c:v>166.61562059873211</c:v>
                </c:pt>
                <c:pt idx="168">
                  <c:v>166.74368275725706</c:v>
                </c:pt>
                <c:pt idx="169">
                  <c:v>167.48702890626785</c:v>
                </c:pt>
                <c:pt idx="170">
                  <c:v>167.6562112755305</c:v>
                </c:pt>
                <c:pt idx="171">
                  <c:v>168.47137810227383</c:v>
                </c:pt>
                <c:pt idx="172">
                  <c:v>169.06196317458</c:v>
                </c:pt>
                <c:pt idx="173">
                  <c:v>169.57313473350004</c:v>
                </c:pt>
                <c:pt idx="174">
                  <c:v>170.05720127084379</c:v>
                </c:pt>
                <c:pt idx="175">
                  <c:v>170.28250143006596</c:v>
                </c:pt>
                <c:pt idx="176">
                  <c:v>170.59182866852279</c:v>
                </c:pt>
                <c:pt idx="177">
                  <c:v>170.63924774249179</c:v>
                </c:pt>
                <c:pt idx="178">
                  <c:v>171.02544139359358</c:v>
                </c:pt>
                <c:pt idx="179">
                  <c:v>171.06392668804159</c:v>
                </c:pt>
                <c:pt idx="180">
                  <c:v>171.50463754277351</c:v>
                </c:pt>
                <c:pt idx="181">
                  <c:v>172.28324483557952</c:v>
                </c:pt>
                <c:pt idx="182">
                  <c:v>172.83143452145612</c:v>
                </c:pt>
                <c:pt idx="183">
                  <c:v>173.19558717474024</c:v>
                </c:pt>
                <c:pt idx="184">
                  <c:v>174.39609937776396</c:v>
                </c:pt>
                <c:pt idx="185">
                  <c:v>174.59425146353163</c:v>
                </c:pt>
                <c:pt idx="186">
                  <c:v>175.7718438758908</c:v>
                </c:pt>
                <c:pt idx="187">
                  <c:v>177.77964004063068</c:v>
                </c:pt>
                <c:pt idx="188">
                  <c:v>177.9012242923437</c:v>
                </c:pt>
                <c:pt idx="189">
                  <c:v>178.28818457241178</c:v>
                </c:pt>
                <c:pt idx="190">
                  <c:v>178.35409017242307</c:v>
                </c:pt>
                <c:pt idx="191">
                  <c:v>178.95846278574936</c:v>
                </c:pt>
                <c:pt idx="192">
                  <c:v>180.10522742076995</c:v>
                </c:pt>
                <c:pt idx="193">
                  <c:v>180.3128772678167</c:v>
                </c:pt>
                <c:pt idx="194">
                  <c:v>180.58614677788211</c:v>
                </c:pt>
                <c:pt idx="195">
                  <c:v>180.76443124644004</c:v>
                </c:pt>
                <c:pt idx="196">
                  <c:v>180.90610630676588</c:v>
                </c:pt>
                <c:pt idx="197">
                  <c:v>181.50435954515774</c:v>
                </c:pt>
                <c:pt idx="198">
                  <c:v>181.57266160131786</c:v>
                </c:pt>
                <c:pt idx="199">
                  <c:v>181.62065018545695</c:v>
                </c:pt>
                <c:pt idx="200">
                  <c:v>182.50537211729977</c:v>
                </c:pt>
                <c:pt idx="201">
                  <c:v>182.74253183106447</c:v>
                </c:pt>
                <c:pt idx="202">
                  <c:v>183.00549462525788</c:v>
                </c:pt>
                <c:pt idx="203">
                  <c:v>183.38912690272605</c:v>
                </c:pt>
                <c:pt idx="204">
                  <c:v>183.77333155668339</c:v>
                </c:pt>
                <c:pt idx="205">
                  <c:v>184.08334679451877</c:v>
                </c:pt>
                <c:pt idx="206">
                  <c:v>184.78425581974275</c:v>
                </c:pt>
                <c:pt idx="207">
                  <c:v>185.39471992870818</c:v>
                </c:pt>
                <c:pt idx="208">
                  <c:v>185.43422550532611</c:v>
                </c:pt>
                <c:pt idx="209">
                  <c:v>185.47281958037323</c:v>
                </c:pt>
                <c:pt idx="210">
                  <c:v>185.52403901799522</c:v>
                </c:pt>
                <c:pt idx="211">
                  <c:v>185.72426298892043</c:v>
                </c:pt>
                <c:pt idx="212">
                  <c:v>186.27083149788251</c:v>
                </c:pt>
                <c:pt idx="213">
                  <c:v>186.92561429134292</c:v>
                </c:pt>
                <c:pt idx="214">
                  <c:v>187.20020263475951</c:v>
                </c:pt>
                <c:pt idx="215">
                  <c:v>187.24922417441513</c:v>
                </c:pt>
                <c:pt idx="216">
                  <c:v>187.27142583898552</c:v>
                </c:pt>
                <c:pt idx="217">
                  <c:v>187.78893383242797</c:v>
                </c:pt>
                <c:pt idx="218">
                  <c:v>188.36860090666977</c:v>
                </c:pt>
                <c:pt idx="219">
                  <c:v>188.51734788145615</c:v>
                </c:pt>
                <c:pt idx="220">
                  <c:v>188.52440645692428</c:v>
                </c:pt>
                <c:pt idx="221">
                  <c:v>189.32614186037745</c:v>
                </c:pt>
                <c:pt idx="222">
                  <c:v>189.85640204127736</c:v>
                </c:pt>
                <c:pt idx="223">
                  <c:v>190.55927960114224</c:v>
                </c:pt>
                <c:pt idx="224">
                  <c:v>191.46197538432739</c:v>
                </c:pt>
                <c:pt idx="225">
                  <c:v>191.56787179037292</c:v>
                </c:pt>
                <c:pt idx="226">
                  <c:v>191.76018285844071</c:v>
                </c:pt>
                <c:pt idx="227">
                  <c:v>192.46821869732651</c:v>
                </c:pt>
                <c:pt idx="228">
                  <c:v>192.52436830226429</c:v>
                </c:pt>
                <c:pt idx="229">
                  <c:v>192.89861846813005</c:v>
                </c:pt>
                <c:pt idx="230">
                  <c:v>193.36123543383016</c:v>
                </c:pt>
                <c:pt idx="231">
                  <c:v>193.9269879684087</c:v>
                </c:pt>
                <c:pt idx="232">
                  <c:v>194.90609779906802</c:v>
                </c:pt>
                <c:pt idx="233">
                  <c:v>195.06454859194702</c:v>
                </c:pt>
                <c:pt idx="234">
                  <c:v>195.13201172514368</c:v>
                </c:pt>
                <c:pt idx="235">
                  <c:v>195.51236519305763</c:v>
                </c:pt>
                <c:pt idx="236">
                  <c:v>196.65740074120072</c:v>
                </c:pt>
                <c:pt idx="237">
                  <c:v>196.8878651204958</c:v>
                </c:pt>
                <c:pt idx="238">
                  <c:v>197.48478051272747</c:v>
                </c:pt>
                <c:pt idx="239">
                  <c:v>197.84843665724156</c:v>
                </c:pt>
                <c:pt idx="240">
                  <c:v>197.93688830798919</c:v>
                </c:pt>
                <c:pt idx="241">
                  <c:v>198.2116987622905</c:v>
                </c:pt>
                <c:pt idx="242">
                  <c:v>198.2934665047311</c:v>
                </c:pt>
                <c:pt idx="243">
                  <c:v>198.45098273254075</c:v>
                </c:pt>
                <c:pt idx="244">
                  <c:v>198.53856813591278</c:v>
                </c:pt>
                <c:pt idx="245">
                  <c:v>199.47599155941271</c:v>
                </c:pt>
                <c:pt idx="246">
                  <c:v>199.97426850009964</c:v>
                </c:pt>
                <c:pt idx="247">
                  <c:v>200.81626950341843</c:v>
                </c:pt>
                <c:pt idx="248">
                  <c:v>201.29550920148824</c:v>
                </c:pt>
                <c:pt idx="249">
                  <c:v>201.80562989970034</c:v>
                </c:pt>
                <c:pt idx="250">
                  <c:v>201.88138038995913</c:v>
                </c:pt>
                <c:pt idx="251">
                  <c:v>201.99055609503881</c:v>
                </c:pt>
                <c:pt idx="252">
                  <c:v>202.20261574650334</c:v>
                </c:pt>
                <c:pt idx="253">
                  <c:v>202.49118622840734</c:v>
                </c:pt>
                <c:pt idx="254">
                  <c:v>203.6004595565704</c:v>
                </c:pt>
                <c:pt idx="255">
                  <c:v>204.01270018235084</c:v>
                </c:pt>
                <c:pt idx="256">
                  <c:v>204.02751057078729</c:v>
                </c:pt>
                <c:pt idx="257">
                  <c:v>204.67875962774025</c:v>
                </c:pt>
                <c:pt idx="258">
                  <c:v>204.83858181070008</c:v>
                </c:pt>
                <c:pt idx="259">
                  <c:v>206.14092038801357</c:v>
                </c:pt>
                <c:pt idx="260">
                  <c:v>207.12785598518354</c:v>
                </c:pt>
                <c:pt idx="261">
                  <c:v>207.53076930558342</c:v>
                </c:pt>
                <c:pt idx="262">
                  <c:v>208.6915856148745</c:v>
                </c:pt>
                <c:pt idx="263">
                  <c:v>208.80777472959915</c:v>
                </c:pt>
                <c:pt idx="264">
                  <c:v>208.88761830766254</c:v>
                </c:pt>
                <c:pt idx="265">
                  <c:v>209.87715391806341</c:v>
                </c:pt>
                <c:pt idx="266">
                  <c:v>210.36620529346524</c:v>
                </c:pt>
                <c:pt idx="267">
                  <c:v>210.39235472282911</c:v>
                </c:pt>
                <c:pt idx="268">
                  <c:v>210.47338206765505</c:v>
                </c:pt>
                <c:pt idx="269">
                  <c:v>210.60428386540548</c:v>
                </c:pt>
                <c:pt idx="270">
                  <c:v>211.35791554947576</c:v>
                </c:pt>
                <c:pt idx="271">
                  <c:v>213.44702340108762</c:v>
                </c:pt>
                <c:pt idx="272">
                  <c:v>213.65807573230694</c:v>
                </c:pt>
                <c:pt idx="273">
                  <c:v>213.86799166545154</c:v>
                </c:pt>
                <c:pt idx="274">
                  <c:v>213.98281571525078</c:v>
                </c:pt>
                <c:pt idx="275">
                  <c:v>214.34171571691729</c:v>
                </c:pt>
                <c:pt idx="276">
                  <c:v>216.09016709870878</c:v>
                </c:pt>
                <c:pt idx="277">
                  <c:v>216.66176520818954</c:v>
                </c:pt>
                <c:pt idx="278">
                  <c:v>217.64266217454971</c:v>
                </c:pt>
                <c:pt idx="279">
                  <c:v>217.73145141377051</c:v>
                </c:pt>
                <c:pt idx="280">
                  <c:v>218.27747423845685</c:v>
                </c:pt>
                <c:pt idx="281">
                  <c:v>218.51606761068635</c:v>
                </c:pt>
                <c:pt idx="282">
                  <c:v>218.59113908395386</c:v>
                </c:pt>
                <c:pt idx="283">
                  <c:v>219.063794592016</c:v>
                </c:pt>
                <c:pt idx="284">
                  <c:v>219.21094126822152</c:v>
                </c:pt>
                <c:pt idx="285">
                  <c:v>220.13399630032052</c:v>
                </c:pt>
                <c:pt idx="286">
                  <c:v>220.3262990757479</c:v>
                </c:pt>
                <c:pt idx="287">
                  <c:v>220.80959144212176</c:v>
                </c:pt>
                <c:pt idx="288">
                  <c:v>221.13671818224373</c:v>
                </c:pt>
                <c:pt idx="289">
                  <c:v>221.6050121945492</c:v>
                </c:pt>
                <c:pt idx="290">
                  <c:v>221.89820236192531</c:v>
                </c:pt>
                <c:pt idx="291">
                  <c:v>222.09877021450401</c:v>
                </c:pt>
                <c:pt idx="292">
                  <c:v>222.13089092224425</c:v>
                </c:pt>
                <c:pt idx="293">
                  <c:v>222.28143818102319</c:v>
                </c:pt>
                <c:pt idx="294">
                  <c:v>222.81531185039188</c:v>
                </c:pt>
                <c:pt idx="295">
                  <c:v>222.85313386891085</c:v>
                </c:pt>
                <c:pt idx="296">
                  <c:v>222.98481698116888</c:v>
                </c:pt>
                <c:pt idx="297">
                  <c:v>223.25068095965429</c:v>
                </c:pt>
                <c:pt idx="298">
                  <c:v>224.56498084977017</c:v>
                </c:pt>
                <c:pt idx="299">
                  <c:v>224.68613161465862</c:v>
                </c:pt>
                <c:pt idx="300">
                  <c:v>225.05646885163057</c:v>
                </c:pt>
                <c:pt idx="301">
                  <c:v>225.36675143388095</c:v>
                </c:pt>
                <c:pt idx="302">
                  <c:v>225.71837887271573</c:v>
                </c:pt>
                <c:pt idx="303">
                  <c:v>226.01492106070538</c:v>
                </c:pt>
                <c:pt idx="304">
                  <c:v>226.49094899290449</c:v>
                </c:pt>
                <c:pt idx="305">
                  <c:v>226.88757730699547</c:v>
                </c:pt>
                <c:pt idx="306">
                  <c:v>227.02072941557128</c:v>
                </c:pt>
                <c:pt idx="307">
                  <c:v>227.50001563692584</c:v>
                </c:pt>
                <c:pt idx="308">
                  <c:v>227.8228964192559</c:v>
                </c:pt>
                <c:pt idx="309">
                  <c:v>228.00385892093686</c:v>
                </c:pt>
                <c:pt idx="310">
                  <c:v>228.50673849959122</c:v>
                </c:pt>
                <c:pt idx="311">
                  <c:v>228.67448388230292</c:v>
                </c:pt>
                <c:pt idx="312">
                  <c:v>229.34935044393035</c:v>
                </c:pt>
                <c:pt idx="313">
                  <c:v>229.54019725094435</c:v>
                </c:pt>
                <c:pt idx="314">
                  <c:v>230.37177195922834</c:v>
                </c:pt>
                <c:pt idx="315">
                  <c:v>230.85352148977037</c:v>
                </c:pt>
                <c:pt idx="316">
                  <c:v>231.00212182036142</c:v>
                </c:pt>
                <c:pt idx="317">
                  <c:v>231.18263176369936</c:v>
                </c:pt>
                <c:pt idx="318">
                  <c:v>231.97771776481591</c:v>
                </c:pt>
                <c:pt idx="319">
                  <c:v>232.050986008481</c:v>
                </c:pt>
                <c:pt idx="320">
                  <c:v>232.0853384121427</c:v>
                </c:pt>
                <c:pt idx="321">
                  <c:v>232.38188057052321</c:v>
                </c:pt>
                <c:pt idx="322">
                  <c:v>232.60534271559675</c:v>
                </c:pt>
                <c:pt idx="323">
                  <c:v>233.36141178911163</c:v>
                </c:pt>
                <c:pt idx="324">
                  <c:v>233.50716842317337</c:v>
                </c:pt>
                <c:pt idx="325">
                  <c:v>233.71563117687521</c:v>
                </c:pt>
                <c:pt idx="326">
                  <c:v>233.75064313202316</c:v>
                </c:pt>
                <c:pt idx="327">
                  <c:v>234.55847032397207</c:v>
                </c:pt>
                <c:pt idx="328">
                  <c:v>234.59900338282876</c:v>
                </c:pt>
                <c:pt idx="329">
                  <c:v>235.26646690291426</c:v>
                </c:pt>
                <c:pt idx="330">
                  <c:v>235.66065966763421</c:v>
                </c:pt>
                <c:pt idx="331">
                  <c:v>236.17590998346159</c:v>
                </c:pt>
                <c:pt idx="332">
                  <c:v>237.31159752073791</c:v>
                </c:pt>
                <c:pt idx="333">
                  <c:v>237.41651324568727</c:v>
                </c:pt>
                <c:pt idx="334">
                  <c:v>237.78631593616473</c:v>
                </c:pt>
                <c:pt idx="335">
                  <c:v>238.67598103925155</c:v>
                </c:pt>
                <c:pt idx="336">
                  <c:v>239.27002646614034</c:v>
                </c:pt>
                <c:pt idx="337">
                  <c:v>239.58416141566221</c:v>
                </c:pt>
                <c:pt idx="338">
                  <c:v>240.16656923021623</c:v>
                </c:pt>
                <c:pt idx="339">
                  <c:v>240.40893178039101</c:v>
                </c:pt>
                <c:pt idx="340">
                  <c:v>241.01900457893743</c:v>
                </c:pt>
                <c:pt idx="341">
                  <c:v>241.21347111353469</c:v>
                </c:pt>
                <c:pt idx="342">
                  <c:v>241.23161234629842</c:v>
                </c:pt>
                <c:pt idx="343">
                  <c:v>242.46374163498513</c:v>
                </c:pt>
                <c:pt idx="344">
                  <c:v>242.85313111095866</c:v>
                </c:pt>
                <c:pt idx="345">
                  <c:v>243.45068715987068</c:v>
                </c:pt>
                <c:pt idx="346">
                  <c:v>243.98516950893463</c:v>
                </c:pt>
                <c:pt idx="347">
                  <c:v>245.10855807669964</c:v>
                </c:pt>
                <c:pt idx="348">
                  <c:v>245.16552668669408</c:v>
                </c:pt>
                <c:pt idx="349">
                  <c:v>245.70134351072136</c:v>
                </c:pt>
                <c:pt idx="350">
                  <c:v>245.74785247679011</c:v>
                </c:pt>
                <c:pt idx="351">
                  <c:v>245.82906736685086</c:v>
                </c:pt>
                <c:pt idx="352">
                  <c:v>245.84394029594841</c:v>
                </c:pt>
                <c:pt idx="353">
                  <c:v>246.62487829132357</c:v>
                </c:pt>
                <c:pt idx="354">
                  <c:v>247.4367229167184</c:v>
                </c:pt>
                <c:pt idx="355">
                  <c:v>248.47384499304917</c:v>
                </c:pt>
                <c:pt idx="356">
                  <c:v>249.21242519782032</c:v>
                </c:pt>
                <c:pt idx="357">
                  <c:v>249.57569676817229</c:v>
                </c:pt>
                <c:pt idx="358">
                  <c:v>249.74262679027254</c:v>
                </c:pt>
                <c:pt idx="359">
                  <c:v>251.58913054806817</c:v>
                </c:pt>
                <c:pt idx="360">
                  <c:v>252.11800633030282</c:v>
                </c:pt>
                <c:pt idx="361">
                  <c:v>252.148315185841</c:v>
                </c:pt>
                <c:pt idx="362">
                  <c:v>252.69944072081893</c:v>
                </c:pt>
                <c:pt idx="363">
                  <c:v>253.20242077035789</c:v>
                </c:pt>
                <c:pt idx="364">
                  <c:v>253.41448162651312</c:v>
                </c:pt>
                <c:pt idx="365">
                  <c:v>254.07889294845131</c:v>
                </c:pt>
                <c:pt idx="366">
                  <c:v>254.44205037819614</c:v>
                </c:pt>
                <c:pt idx="367">
                  <c:v>254.79137693974329</c:v>
                </c:pt>
                <c:pt idx="368">
                  <c:v>255.07306376394763</c:v>
                </c:pt>
                <c:pt idx="369">
                  <c:v>255.69889133409623</c:v>
                </c:pt>
                <c:pt idx="370">
                  <c:v>256.88905949479346</c:v>
                </c:pt>
                <c:pt idx="371">
                  <c:v>257.49736945469112</c:v>
                </c:pt>
                <c:pt idx="372">
                  <c:v>258.23208820940539</c:v>
                </c:pt>
                <c:pt idx="373">
                  <c:v>260.30805636784083</c:v>
                </c:pt>
                <c:pt idx="374">
                  <c:v>261.864320399554</c:v>
                </c:pt>
                <c:pt idx="375">
                  <c:v>263.13356316939365</c:v>
                </c:pt>
                <c:pt idx="376">
                  <c:v>267.06030585307894</c:v>
                </c:pt>
                <c:pt idx="377">
                  <c:v>267.32886339318486</c:v>
                </c:pt>
                <c:pt idx="378">
                  <c:v>267.90478220171451</c:v>
                </c:pt>
                <c:pt idx="379">
                  <c:v>268.98824548487261</c:v>
                </c:pt>
                <c:pt idx="380">
                  <c:v>271.21395916383523</c:v>
                </c:pt>
                <c:pt idx="381">
                  <c:v>271.45191970746203</c:v>
                </c:pt>
                <c:pt idx="382">
                  <c:v>271.85096894362158</c:v>
                </c:pt>
                <c:pt idx="383">
                  <c:v>273.42633333125377</c:v>
                </c:pt>
                <c:pt idx="384">
                  <c:v>273.42766283971025</c:v>
                </c:pt>
                <c:pt idx="385">
                  <c:v>274.56260468937154</c:v>
                </c:pt>
                <c:pt idx="386">
                  <c:v>276.46348814098064</c:v>
                </c:pt>
                <c:pt idx="387">
                  <c:v>278.8345788324483</c:v>
                </c:pt>
                <c:pt idx="388">
                  <c:v>278.88745059249578</c:v>
                </c:pt>
                <c:pt idx="389">
                  <c:v>279.09594917240469</c:v>
                </c:pt>
                <c:pt idx="390">
                  <c:v>279.96073077963911</c:v>
                </c:pt>
                <c:pt idx="391">
                  <c:v>280.32584563481299</c:v>
                </c:pt>
                <c:pt idx="392">
                  <c:v>280.33078416693621</c:v>
                </c:pt>
                <c:pt idx="393">
                  <c:v>280.56653785187154</c:v>
                </c:pt>
                <c:pt idx="394">
                  <c:v>281.38679317692663</c:v>
                </c:pt>
                <c:pt idx="395">
                  <c:v>282.05709016766423</c:v>
                </c:pt>
                <c:pt idx="396">
                  <c:v>282.38990315669287</c:v>
                </c:pt>
                <c:pt idx="397">
                  <c:v>284.64705992534238</c:v>
                </c:pt>
                <c:pt idx="398">
                  <c:v>285.39060900645165</c:v>
                </c:pt>
                <c:pt idx="399">
                  <c:v>288.79131026655517</c:v>
                </c:pt>
                <c:pt idx="400">
                  <c:v>289.01053113607981</c:v>
                </c:pt>
                <c:pt idx="401">
                  <c:v>289.32993381532447</c:v>
                </c:pt>
                <c:pt idx="402">
                  <c:v>289.42794685790636</c:v>
                </c:pt>
                <c:pt idx="403">
                  <c:v>291.41099552473503</c:v>
                </c:pt>
                <c:pt idx="404">
                  <c:v>291.45583371603891</c:v>
                </c:pt>
                <c:pt idx="405">
                  <c:v>292.52293946963965</c:v>
                </c:pt>
                <c:pt idx="406">
                  <c:v>292.90259446212451</c:v>
                </c:pt>
                <c:pt idx="407">
                  <c:v>295.58258852347598</c:v>
                </c:pt>
                <c:pt idx="408">
                  <c:v>296.21269699358561</c:v>
                </c:pt>
                <c:pt idx="409">
                  <c:v>296.26276977264092</c:v>
                </c:pt>
                <c:pt idx="410">
                  <c:v>297.42798435620512</c:v>
                </c:pt>
                <c:pt idx="411">
                  <c:v>297.46650266564558</c:v>
                </c:pt>
                <c:pt idx="412">
                  <c:v>299.89094427818338</c:v>
                </c:pt>
                <c:pt idx="413">
                  <c:v>300.2146027138092</c:v>
                </c:pt>
                <c:pt idx="414">
                  <c:v>300.48492389283393</c:v>
                </c:pt>
                <c:pt idx="415">
                  <c:v>300.9756051248915</c:v>
                </c:pt>
                <c:pt idx="416">
                  <c:v>302.2682292398157</c:v>
                </c:pt>
                <c:pt idx="417">
                  <c:v>302.54350501158581</c:v>
                </c:pt>
                <c:pt idx="418">
                  <c:v>303.30888074593963</c:v>
                </c:pt>
                <c:pt idx="419">
                  <c:v>303.79553955974973</c:v>
                </c:pt>
                <c:pt idx="420">
                  <c:v>303.89058131415106</c:v>
                </c:pt>
                <c:pt idx="421">
                  <c:v>306.7438409795692</c:v>
                </c:pt>
                <c:pt idx="422">
                  <c:v>309.19706317229003</c:v>
                </c:pt>
                <c:pt idx="423">
                  <c:v>309.41706058782358</c:v>
                </c:pt>
                <c:pt idx="424">
                  <c:v>310.03727860429547</c:v>
                </c:pt>
                <c:pt idx="425">
                  <c:v>310.17992925434442</c:v>
                </c:pt>
                <c:pt idx="426">
                  <c:v>310.42265513801868</c:v>
                </c:pt>
                <c:pt idx="427">
                  <c:v>311.20764016303622</c:v>
                </c:pt>
                <c:pt idx="428">
                  <c:v>312.90789307534402</c:v>
                </c:pt>
                <c:pt idx="429">
                  <c:v>313.22839550569148</c:v>
                </c:pt>
                <c:pt idx="430">
                  <c:v>313.63991973214598</c:v>
                </c:pt>
                <c:pt idx="431">
                  <c:v>313.96483318654214</c:v>
                </c:pt>
                <c:pt idx="432">
                  <c:v>314.78783872892404</c:v>
                </c:pt>
                <c:pt idx="433">
                  <c:v>317.25271083415845</c:v>
                </c:pt>
                <c:pt idx="434">
                  <c:v>317.77037936386944</c:v>
                </c:pt>
                <c:pt idx="435">
                  <c:v>318.25633250506331</c:v>
                </c:pt>
                <c:pt idx="436">
                  <c:v>319.45374449143816</c:v>
                </c:pt>
                <c:pt idx="437">
                  <c:v>320.44033582053572</c:v>
                </c:pt>
                <c:pt idx="438">
                  <c:v>324.28243698672929</c:v>
                </c:pt>
                <c:pt idx="439">
                  <c:v>325.33825693046839</c:v>
                </c:pt>
                <c:pt idx="440">
                  <c:v>326.05045804687614</c:v>
                </c:pt>
                <c:pt idx="441">
                  <c:v>326.09642403632995</c:v>
                </c:pt>
                <c:pt idx="442">
                  <c:v>326.43781085165932</c:v>
                </c:pt>
                <c:pt idx="443">
                  <c:v>326.84397938495715</c:v>
                </c:pt>
                <c:pt idx="444">
                  <c:v>329.242654340125</c:v>
                </c:pt>
                <c:pt idx="445">
                  <c:v>330.90706229107764</c:v>
                </c:pt>
                <c:pt idx="446">
                  <c:v>331.67445193513765</c:v>
                </c:pt>
                <c:pt idx="447">
                  <c:v>332.5310187621119</c:v>
                </c:pt>
                <c:pt idx="448">
                  <c:v>335.90406706133211</c:v>
                </c:pt>
                <c:pt idx="449">
                  <c:v>337.31112403945292</c:v>
                </c:pt>
                <c:pt idx="450">
                  <c:v>337.74074580009881</c:v>
                </c:pt>
                <c:pt idx="451">
                  <c:v>338.77543553894662</c:v>
                </c:pt>
                <c:pt idx="452">
                  <c:v>338.850423225432</c:v>
                </c:pt>
                <c:pt idx="453">
                  <c:v>339.25823464147811</c:v>
                </c:pt>
                <c:pt idx="454">
                  <c:v>340.84391863602428</c:v>
                </c:pt>
                <c:pt idx="455">
                  <c:v>341.12105057485837</c:v>
                </c:pt>
                <c:pt idx="456">
                  <c:v>342.67756246016614</c:v>
                </c:pt>
                <c:pt idx="457">
                  <c:v>345.74007230539576</c:v>
                </c:pt>
                <c:pt idx="458">
                  <c:v>348.51813937375152</c:v>
                </c:pt>
                <c:pt idx="459">
                  <c:v>348.81365618635454</c:v>
                </c:pt>
                <c:pt idx="460">
                  <c:v>349.08231135980373</c:v>
                </c:pt>
                <c:pt idx="461">
                  <c:v>349.30423885084889</c:v>
                </c:pt>
                <c:pt idx="462">
                  <c:v>352.78166557426204</c:v>
                </c:pt>
                <c:pt idx="463">
                  <c:v>352.95201258835664</c:v>
                </c:pt>
                <c:pt idx="464">
                  <c:v>353.88341405031952</c:v>
                </c:pt>
                <c:pt idx="465">
                  <c:v>354.09167211699292</c:v>
                </c:pt>
                <c:pt idx="466">
                  <c:v>354.57641371778811</c:v>
                </c:pt>
                <c:pt idx="467">
                  <c:v>355.60710278156961</c:v>
                </c:pt>
                <c:pt idx="468">
                  <c:v>356.83501630980072</c:v>
                </c:pt>
                <c:pt idx="469">
                  <c:v>360.72138543740078</c:v>
                </c:pt>
                <c:pt idx="470">
                  <c:v>363.19880308452531</c:v>
                </c:pt>
                <c:pt idx="471">
                  <c:v>363.98871116474106</c:v>
                </c:pt>
                <c:pt idx="472">
                  <c:v>364.81907103679356</c:v>
                </c:pt>
                <c:pt idx="473">
                  <c:v>366.66337027641276</c:v>
                </c:pt>
                <c:pt idx="474">
                  <c:v>368.0889474502543</c:v>
                </c:pt>
                <c:pt idx="475">
                  <c:v>370.06583094690336</c:v>
                </c:pt>
                <c:pt idx="476">
                  <c:v>370.47065476019077</c:v>
                </c:pt>
                <c:pt idx="477">
                  <c:v>372.29706115014153</c:v>
                </c:pt>
                <c:pt idx="478">
                  <c:v>373.9456827057495</c:v>
                </c:pt>
                <c:pt idx="479">
                  <c:v>380.61817036693026</c:v>
                </c:pt>
                <c:pt idx="480">
                  <c:v>382.16750262400598</c:v>
                </c:pt>
                <c:pt idx="481">
                  <c:v>383.06348260518041</c:v>
                </c:pt>
                <c:pt idx="482">
                  <c:v>384.92356092652847</c:v>
                </c:pt>
                <c:pt idx="483">
                  <c:v>385.96331147800379</c:v>
                </c:pt>
                <c:pt idx="484">
                  <c:v>391.44811098029663</c:v>
                </c:pt>
                <c:pt idx="485">
                  <c:v>394.41583151244669</c:v>
                </c:pt>
                <c:pt idx="486">
                  <c:v>394.74610185384387</c:v>
                </c:pt>
                <c:pt idx="487">
                  <c:v>400.15367751622199</c:v>
                </c:pt>
                <c:pt idx="488">
                  <c:v>400.17631488516162</c:v>
                </c:pt>
                <c:pt idx="489">
                  <c:v>404.73497974310493</c:v>
                </c:pt>
                <c:pt idx="490">
                  <c:v>405.61822811948866</c:v>
                </c:pt>
                <c:pt idx="491">
                  <c:v>407.26420550232035</c:v>
                </c:pt>
                <c:pt idx="492">
                  <c:v>407.318803497771</c:v>
                </c:pt>
                <c:pt idx="493">
                  <c:v>412.27466867126094</c:v>
                </c:pt>
                <c:pt idx="494">
                  <c:v>416.64521973587171</c:v>
                </c:pt>
                <c:pt idx="495">
                  <c:v>419.62005147930051</c:v>
                </c:pt>
                <c:pt idx="496">
                  <c:v>434.68711145656999</c:v>
                </c:pt>
                <c:pt idx="497">
                  <c:v>444.01887418302948</c:v>
                </c:pt>
                <c:pt idx="498">
                  <c:v>465.51517779524761</c:v>
                </c:pt>
                <c:pt idx="499">
                  <c:v>490.65540553697429</c:v>
                </c:pt>
              </c:numCache>
            </c:numRef>
          </c:xVal>
          <c:yVal>
            <c:numRef>
              <c:f>SimDataScen!$K$7:$K$506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SimDataScen!$L$6</c:f>
              <c:strCache>
                <c:ptCount val="1"/>
                <c:pt idx="0">
                  <c:v>Profit: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SimDataScen!$L$7:$L$506</c:f>
              <c:numCache>
                <c:formatCode>General</c:formatCode>
                <c:ptCount val="500"/>
                <c:pt idx="0">
                  <c:v>-82.481529145137785</c:v>
                </c:pt>
                <c:pt idx="1">
                  <c:v>-70.353020462115865</c:v>
                </c:pt>
                <c:pt idx="2">
                  <c:v>-58.567961568968812</c:v>
                </c:pt>
                <c:pt idx="3">
                  <c:v>-53.780726976986927</c:v>
                </c:pt>
                <c:pt idx="4">
                  <c:v>-46.776664049858255</c:v>
                </c:pt>
                <c:pt idx="5">
                  <c:v>-37.178865753918629</c:v>
                </c:pt>
                <c:pt idx="6">
                  <c:v>-36.653791964121865</c:v>
                </c:pt>
                <c:pt idx="7">
                  <c:v>-34.106857758439759</c:v>
                </c:pt>
                <c:pt idx="8">
                  <c:v>-31.33628212000535</c:v>
                </c:pt>
                <c:pt idx="9">
                  <c:v>-29.274439972157609</c:v>
                </c:pt>
                <c:pt idx="10">
                  <c:v>-22.880286799319762</c:v>
                </c:pt>
                <c:pt idx="11">
                  <c:v>-20.92232369908146</c:v>
                </c:pt>
                <c:pt idx="12">
                  <c:v>-18.101955332700541</c:v>
                </c:pt>
                <c:pt idx="13">
                  <c:v>-16.064183286790708</c:v>
                </c:pt>
                <c:pt idx="14">
                  <c:v>-15.6608779196699</c:v>
                </c:pt>
                <c:pt idx="15">
                  <c:v>-14.187221297200779</c:v>
                </c:pt>
                <c:pt idx="16">
                  <c:v>-13.049624814084652</c:v>
                </c:pt>
                <c:pt idx="17">
                  <c:v>-10.579496363356299</c:v>
                </c:pt>
                <c:pt idx="18">
                  <c:v>-9.6894803982596045</c:v>
                </c:pt>
                <c:pt idx="19">
                  <c:v>-6.3026259463127303</c:v>
                </c:pt>
                <c:pt idx="20">
                  <c:v>-2.8540586270648021</c:v>
                </c:pt>
                <c:pt idx="21">
                  <c:v>-2.6569057091366943</c:v>
                </c:pt>
                <c:pt idx="22">
                  <c:v>-2.3636418077099819</c:v>
                </c:pt>
                <c:pt idx="23">
                  <c:v>-1.1390846917311706</c:v>
                </c:pt>
                <c:pt idx="24">
                  <c:v>1.1027790106986259</c:v>
                </c:pt>
                <c:pt idx="25">
                  <c:v>2.9713738140196426</c:v>
                </c:pt>
                <c:pt idx="26">
                  <c:v>4.5725414264725117</c:v>
                </c:pt>
                <c:pt idx="27">
                  <c:v>4.8899676985124501</c:v>
                </c:pt>
                <c:pt idx="28">
                  <c:v>5.0208201730159772</c:v>
                </c:pt>
                <c:pt idx="29">
                  <c:v>5.4969568841611789</c:v>
                </c:pt>
                <c:pt idx="30">
                  <c:v>6.2921021144184266</c:v>
                </c:pt>
                <c:pt idx="31">
                  <c:v>7.3866709785732638</c:v>
                </c:pt>
                <c:pt idx="32">
                  <c:v>7.4286193104405243</c:v>
                </c:pt>
                <c:pt idx="33">
                  <c:v>8.1010993336566912</c:v>
                </c:pt>
                <c:pt idx="34">
                  <c:v>8.1488827063823521</c:v>
                </c:pt>
                <c:pt idx="35">
                  <c:v>8.613146002279322</c:v>
                </c:pt>
                <c:pt idx="36">
                  <c:v>9.4675436408231803</c:v>
                </c:pt>
                <c:pt idx="37">
                  <c:v>10.852432195779642</c:v>
                </c:pt>
                <c:pt idx="38">
                  <c:v>10.94661190126088</c:v>
                </c:pt>
                <c:pt idx="39">
                  <c:v>13.893471880056836</c:v>
                </c:pt>
                <c:pt idx="40">
                  <c:v>13.998586299157253</c:v>
                </c:pt>
                <c:pt idx="41">
                  <c:v>14.304032019138504</c:v>
                </c:pt>
                <c:pt idx="42">
                  <c:v>14.385513457304</c:v>
                </c:pt>
                <c:pt idx="43">
                  <c:v>14.403003505044012</c:v>
                </c:pt>
                <c:pt idx="44">
                  <c:v>15.556656128083503</c:v>
                </c:pt>
                <c:pt idx="45">
                  <c:v>17.708783779222728</c:v>
                </c:pt>
                <c:pt idx="46">
                  <c:v>18.946347303238689</c:v>
                </c:pt>
                <c:pt idx="47">
                  <c:v>19.950019649042446</c:v>
                </c:pt>
                <c:pt idx="48">
                  <c:v>24.495356080846534</c:v>
                </c:pt>
                <c:pt idx="49">
                  <c:v>24.517944741905637</c:v>
                </c:pt>
                <c:pt idx="50">
                  <c:v>24.776270767994291</c:v>
                </c:pt>
                <c:pt idx="51">
                  <c:v>24.836714471318615</c:v>
                </c:pt>
                <c:pt idx="52">
                  <c:v>24.8878956203569</c:v>
                </c:pt>
                <c:pt idx="53">
                  <c:v>26.350123976889108</c:v>
                </c:pt>
                <c:pt idx="54">
                  <c:v>26.571907717034151</c:v>
                </c:pt>
                <c:pt idx="55">
                  <c:v>27.411289507225419</c:v>
                </c:pt>
                <c:pt idx="56">
                  <c:v>27.458199565469798</c:v>
                </c:pt>
                <c:pt idx="57">
                  <c:v>27.568237783584578</c:v>
                </c:pt>
                <c:pt idx="58">
                  <c:v>28.285998974929157</c:v>
                </c:pt>
                <c:pt idx="59">
                  <c:v>28.480927310901677</c:v>
                </c:pt>
                <c:pt idx="60">
                  <c:v>28.536556658485807</c:v>
                </c:pt>
                <c:pt idx="61">
                  <c:v>29.519134822457247</c:v>
                </c:pt>
                <c:pt idx="62">
                  <c:v>31.633933337315028</c:v>
                </c:pt>
                <c:pt idx="63">
                  <c:v>34.547594861503001</c:v>
                </c:pt>
                <c:pt idx="64">
                  <c:v>35.34890508855338</c:v>
                </c:pt>
                <c:pt idx="65">
                  <c:v>36.029768886747846</c:v>
                </c:pt>
                <c:pt idx="66">
                  <c:v>36.211183424475792</c:v>
                </c:pt>
                <c:pt idx="67">
                  <c:v>36.233357309214142</c:v>
                </c:pt>
                <c:pt idx="68">
                  <c:v>37.005356766864622</c:v>
                </c:pt>
                <c:pt idx="69">
                  <c:v>38.118690670581273</c:v>
                </c:pt>
                <c:pt idx="70">
                  <c:v>38.983040344752283</c:v>
                </c:pt>
                <c:pt idx="71">
                  <c:v>39.795719394006113</c:v>
                </c:pt>
                <c:pt idx="72">
                  <c:v>39.998598459896698</c:v>
                </c:pt>
                <c:pt idx="73">
                  <c:v>40.866046968878535</c:v>
                </c:pt>
                <c:pt idx="74">
                  <c:v>41.869632894976689</c:v>
                </c:pt>
                <c:pt idx="75">
                  <c:v>42.040002167478121</c:v>
                </c:pt>
                <c:pt idx="76">
                  <c:v>42.343526773188785</c:v>
                </c:pt>
                <c:pt idx="77">
                  <c:v>43.062838758531129</c:v>
                </c:pt>
                <c:pt idx="78">
                  <c:v>43.194538807350852</c:v>
                </c:pt>
                <c:pt idx="79">
                  <c:v>43.500207858930565</c:v>
                </c:pt>
                <c:pt idx="80">
                  <c:v>43.512624176094789</c:v>
                </c:pt>
                <c:pt idx="81">
                  <c:v>44.129366908912459</c:v>
                </c:pt>
                <c:pt idx="82">
                  <c:v>44.292497725105449</c:v>
                </c:pt>
                <c:pt idx="83">
                  <c:v>45.062069025709775</c:v>
                </c:pt>
                <c:pt idx="84">
                  <c:v>46.083476779426277</c:v>
                </c:pt>
                <c:pt idx="85">
                  <c:v>46.684194383516882</c:v>
                </c:pt>
                <c:pt idx="86">
                  <c:v>46.873130859970843</c:v>
                </c:pt>
                <c:pt idx="87">
                  <c:v>47.901672932219356</c:v>
                </c:pt>
                <c:pt idx="88">
                  <c:v>48.227263647442811</c:v>
                </c:pt>
                <c:pt idx="89">
                  <c:v>48.273787988597633</c:v>
                </c:pt>
                <c:pt idx="90">
                  <c:v>49.414830247244254</c:v>
                </c:pt>
                <c:pt idx="91">
                  <c:v>50.545616707435329</c:v>
                </c:pt>
                <c:pt idx="92">
                  <c:v>51.519303453056992</c:v>
                </c:pt>
                <c:pt idx="93">
                  <c:v>52.71945890731665</c:v>
                </c:pt>
                <c:pt idx="94">
                  <c:v>53.489158985850111</c:v>
                </c:pt>
                <c:pt idx="95">
                  <c:v>54.370307774753883</c:v>
                </c:pt>
                <c:pt idx="96">
                  <c:v>55.021881992593791</c:v>
                </c:pt>
                <c:pt idx="97">
                  <c:v>55.321998131767245</c:v>
                </c:pt>
                <c:pt idx="98">
                  <c:v>55.590881099710458</c:v>
                </c:pt>
                <c:pt idx="99">
                  <c:v>55.807399892699408</c:v>
                </c:pt>
                <c:pt idx="100">
                  <c:v>56.156061203165748</c:v>
                </c:pt>
                <c:pt idx="101">
                  <c:v>56.850302798264934</c:v>
                </c:pt>
                <c:pt idx="102">
                  <c:v>57.321006069050455</c:v>
                </c:pt>
                <c:pt idx="103">
                  <c:v>57.350388438107487</c:v>
                </c:pt>
                <c:pt idx="104">
                  <c:v>57.83956074133674</c:v>
                </c:pt>
                <c:pt idx="105">
                  <c:v>59.025501442683151</c:v>
                </c:pt>
                <c:pt idx="106">
                  <c:v>59.726441263250123</c:v>
                </c:pt>
                <c:pt idx="107">
                  <c:v>59.869357906560609</c:v>
                </c:pt>
                <c:pt idx="108">
                  <c:v>61.001421112889517</c:v>
                </c:pt>
                <c:pt idx="109">
                  <c:v>62.307853862022824</c:v>
                </c:pt>
                <c:pt idx="110">
                  <c:v>62.555310681276538</c:v>
                </c:pt>
                <c:pt idx="111">
                  <c:v>63.682511832467441</c:v>
                </c:pt>
                <c:pt idx="112">
                  <c:v>64.456192828517217</c:v>
                </c:pt>
                <c:pt idx="113">
                  <c:v>64.668861794601526</c:v>
                </c:pt>
                <c:pt idx="114">
                  <c:v>64.70200940777643</c:v>
                </c:pt>
                <c:pt idx="115">
                  <c:v>65.060742865774117</c:v>
                </c:pt>
                <c:pt idx="116">
                  <c:v>65.145292965223504</c:v>
                </c:pt>
                <c:pt idx="117">
                  <c:v>65.33792529269212</c:v>
                </c:pt>
                <c:pt idx="118">
                  <c:v>65.863408461094053</c:v>
                </c:pt>
                <c:pt idx="119">
                  <c:v>66.277146848593588</c:v>
                </c:pt>
                <c:pt idx="120">
                  <c:v>66.320135536180459</c:v>
                </c:pt>
                <c:pt idx="121">
                  <c:v>66.432097942757395</c:v>
                </c:pt>
                <c:pt idx="122">
                  <c:v>66.615832660109277</c:v>
                </c:pt>
                <c:pt idx="123">
                  <c:v>66.941612438535444</c:v>
                </c:pt>
                <c:pt idx="124">
                  <c:v>67.174904947210706</c:v>
                </c:pt>
                <c:pt idx="125">
                  <c:v>67.972010073833388</c:v>
                </c:pt>
                <c:pt idx="126">
                  <c:v>68.436536012153084</c:v>
                </c:pt>
                <c:pt idx="127">
                  <c:v>68.945093055772531</c:v>
                </c:pt>
                <c:pt idx="128">
                  <c:v>69.017489590981526</c:v>
                </c:pt>
                <c:pt idx="129">
                  <c:v>71.649447994762326</c:v>
                </c:pt>
                <c:pt idx="130">
                  <c:v>72.030682826519751</c:v>
                </c:pt>
                <c:pt idx="131">
                  <c:v>72.084865938237272</c:v>
                </c:pt>
                <c:pt idx="132">
                  <c:v>73.0917877302536</c:v>
                </c:pt>
                <c:pt idx="133">
                  <c:v>73.145373859101753</c:v>
                </c:pt>
                <c:pt idx="134">
                  <c:v>73.208142453555809</c:v>
                </c:pt>
                <c:pt idx="135">
                  <c:v>73.307285677677797</c:v>
                </c:pt>
                <c:pt idx="136">
                  <c:v>73.454691688183118</c:v>
                </c:pt>
                <c:pt idx="137">
                  <c:v>73.61506230693638</c:v>
                </c:pt>
                <c:pt idx="138">
                  <c:v>74.378196109076839</c:v>
                </c:pt>
                <c:pt idx="139">
                  <c:v>75.140232903648467</c:v>
                </c:pt>
                <c:pt idx="140">
                  <c:v>75.237886283201632</c:v>
                </c:pt>
                <c:pt idx="141">
                  <c:v>75.883437130741441</c:v>
                </c:pt>
                <c:pt idx="142">
                  <c:v>76.055452903879086</c:v>
                </c:pt>
                <c:pt idx="143">
                  <c:v>76.996756070841542</c:v>
                </c:pt>
                <c:pt idx="144">
                  <c:v>77.043460951513723</c:v>
                </c:pt>
                <c:pt idx="145">
                  <c:v>77.045047253927933</c:v>
                </c:pt>
                <c:pt idx="146">
                  <c:v>77.499150318768272</c:v>
                </c:pt>
                <c:pt idx="147">
                  <c:v>77.551357078112758</c:v>
                </c:pt>
                <c:pt idx="148">
                  <c:v>77.567752340889669</c:v>
                </c:pt>
                <c:pt idx="149">
                  <c:v>78.243298006478014</c:v>
                </c:pt>
                <c:pt idx="150">
                  <c:v>78.905241541448049</c:v>
                </c:pt>
                <c:pt idx="151">
                  <c:v>78.955774028634352</c:v>
                </c:pt>
                <c:pt idx="152">
                  <c:v>79.318256097184431</c:v>
                </c:pt>
                <c:pt idx="153">
                  <c:v>79.32442459559627</c:v>
                </c:pt>
                <c:pt idx="154">
                  <c:v>79.948437349295205</c:v>
                </c:pt>
                <c:pt idx="155">
                  <c:v>80.757211259992971</c:v>
                </c:pt>
                <c:pt idx="156">
                  <c:v>81.818514573367963</c:v>
                </c:pt>
                <c:pt idx="157">
                  <c:v>82.235448802403326</c:v>
                </c:pt>
                <c:pt idx="158">
                  <c:v>83.278456221263923</c:v>
                </c:pt>
                <c:pt idx="159">
                  <c:v>84.368164693601202</c:v>
                </c:pt>
                <c:pt idx="160">
                  <c:v>84.399735781043205</c:v>
                </c:pt>
                <c:pt idx="161">
                  <c:v>84.896215456655909</c:v>
                </c:pt>
                <c:pt idx="162">
                  <c:v>85.647297704902357</c:v>
                </c:pt>
                <c:pt idx="163">
                  <c:v>86.0603287772214</c:v>
                </c:pt>
                <c:pt idx="164">
                  <c:v>86.878846920252627</c:v>
                </c:pt>
                <c:pt idx="165">
                  <c:v>87.149264922859032</c:v>
                </c:pt>
                <c:pt idx="166">
                  <c:v>88.140926065164706</c:v>
                </c:pt>
                <c:pt idx="167">
                  <c:v>88.418953582326765</c:v>
                </c:pt>
                <c:pt idx="168">
                  <c:v>88.606249893012063</c:v>
                </c:pt>
                <c:pt idx="169">
                  <c:v>88.813515298738338</c:v>
                </c:pt>
                <c:pt idx="170">
                  <c:v>89.014638853759379</c:v>
                </c:pt>
                <c:pt idx="171">
                  <c:v>89.269009386826028</c:v>
                </c:pt>
                <c:pt idx="172">
                  <c:v>90.707851946256639</c:v>
                </c:pt>
                <c:pt idx="173">
                  <c:v>91.140790185188948</c:v>
                </c:pt>
                <c:pt idx="174">
                  <c:v>91.990356408165994</c:v>
                </c:pt>
                <c:pt idx="175">
                  <c:v>92.113102097829881</c:v>
                </c:pt>
                <c:pt idx="176">
                  <c:v>92.42175963647496</c:v>
                </c:pt>
                <c:pt idx="177">
                  <c:v>92.756700235085319</c:v>
                </c:pt>
                <c:pt idx="178">
                  <c:v>92.996348638701974</c:v>
                </c:pt>
                <c:pt idx="179">
                  <c:v>93.081948731094769</c:v>
                </c:pt>
                <c:pt idx="180">
                  <c:v>93.290597837080384</c:v>
                </c:pt>
                <c:pt idx="181">
                  <c:v>93.685060376982051</c:v>
                </c:pt>
                <c:pt idx="182">
                  <c:v>94.088023280381663</c:v>
                </c:pt>
                <c:pt idx="183">
                  <c:v>94.332036789734786</c:v>
                </c:pt>
                <c:pt idx="184">
                  <c:v>94.562660966227398</c:v>
                </c:pt>
                <c:pt idx="185">
                  <c:v>95.476468258197784</c:v>
                </c:pt>
                <c:pt idx="186">
                  <c:v>95.523039095986547</c:v>
                </c:pt>
                <c:pt idx="187">
                  <c:v>95.527013228881231</c:v>
                </c:pt>
                <c:pt idx="188">
                  <c:v>95.779575875360962</c:v>
                </c:pt>
                <c:pt idx="189">
                  <c:v>96.111509069628028</c:v>
                </c:pt>
                <c:pt idx="190">
                  <c:v>97.595140837469245</c:v>
                </c:pt>
                <c:pt idx="191">
                  <c:v>97.904340192342602</c:v>
                </c:pt>
                <c:pt idx="192">
                  <c:v>101.11571923616745</c:v>
                </c:pt>
                <c:pt idx="193">
                  <c:v>101.43195012658302</c:v>
                </c:pt>
                <c:pt idx="194">
                  <c:v>101.90649574540409</c:v>
                </c:pt>
                <c:pt idx="195">
                  <c:v>102.25218863597601</c:v>
                </c:pt>
                <c:pt idx="196">
                  <c:v>102.39926367245997</c:v>
                </c:pt>
                <c:pt idx="197">
                  <c:v>102.43450501976469</c:v>
                </c:pt>
                <c:pt idx="198">
                  <c:v>102.53956132081041</c:v>
                </c:pt>
                <c:pt idx="199">
                  <c:v>102.72197822234511</c:v>
                </c:pt>
                <c:pt idx="200">
                  <c:v>103.57235424164008</c:v>
                </c:pt>
                <c:pt idx="201">
                  <c:v>103.64251539788887</c:v>
                </c:pt>
                <c:pt idx="202">
                  <c:v>103.70595564939735</c:v>
                </c:pt>
                <c:pt idx="203">
                  <c:v>104.20564874538367</c:v>
                </c:pt>
                <c:pt idx="204">
                  <c:v>104.69922677890446</c:v>
                </c:pt>
                <c:pt idx="205">
                  <c:v>104.9192100459409</c:v>
                </c:pt>
                <c:pt idx="206">
                  <c:v>106.06201014029961</c:v>
                </c:pt>
                <c:pt idx="207">
                  <c:v>106.77208599541102</c:v>
                </c:pt>
                <c:pt idx="208">
                  <c:v>106.93289676449076</c:v>
                </c:pt>
                <c:pt idx="209">
                  <c:v>107.31352267653038</c:v>
                </c:pt>
                <c:pt idx="210">
                  <c:v>107.38213899206674</c:v>
                </c:pt>
                <c:pt idx="211">
                  <c:v>107.56283040735423</c:v>
                </c:pt>
                <c:pt idx="212">
                  <c:v>107.88603007029951</c:v>
                </c:pt>
                <c:pt idx="213">
                  <c:v>108.28610602622753</c:v>
                </c:pt>
                <c:pt idx="214">
                  <c:v>108.65703226656309</c:v>
                </c:pt>
                <c:pt idx="215">
                  <c:v>109.02356333419129</c:v>
                </c:pt>
                <c:pt idx="216">
                  <c:v>109.48042598055363</c:v>
                </c:pt>
                <c:pt idx="217">
                  <c:v>109.50672926869157</c:v>
                </c:pt>
                <c:pt idx="218">
                  <c:v>109.74885559349752</c:v>
                </c:pt>
                <c:pt idx="219">
                  <c:v>110.11583760661213</c:v>
                </c:pt>
                <c:pt idx="220">
                  <c:v>110.35471406558202</c:v>
                </c:pt>
                <c:pt idx="221">
                  <c:v>110.89558335637147</c:v>
                </c:pt>
                <c:pt idx="222">
                  <c:v>111.54219110935122</c:v>
                </c:pt>
                <c:pt idx="223">
                  <c:v>112.12613840350548</c:v>
                </c:pt>
                <c:pt idx="224">
                  <c:v>112.13134866877705</c:v>
                </c:pt>
                <c:pt idx="225">
                  <c:v>112.89815453346985</c:v>
                </c:pt>
                <c:pt idx="226">
                  <c:v>113.04355685912934</c:v>
                </c:pt>
                <c:pt idx="227">
                  <c:v>113.12954790936644</c:v>
                </c:pt>
                <c:pt idx="228">
                  <c:v>113.48538733132715</c:v>
                </c:pt>
                <c:pt idx="229">
                  <c:v>113.61774107800639</c:v>
                </c:pt>
                <c:pt idx="230">
                  <c:v>113.96460566624533</c:v>
                </c:pt>
                <c:pt idx="231">
                  <c:v>114.03942834534783</c:v>
                </c:pt>
                <c:pt idx="232">
                  <c:v>114.09737299074347</c:v>
                </c:pt>
                <c:pt idx="233">
                  <c:v>114.14986160758994</c:v>
                </c:pt>
                <c:pt idx="234">
                  <c:v>114.55027298058624</c:v>
                </c:pt>
                <c:pt idx="235">
                  <c:v>116.78487283465516</c:v>
                </c:pt>
                <c:pt idx="236">
                  <c:v>117.5967478776563</c:v>
                </c:pt>
                <c:pt idx="237">
                  <c:v>117.89270821875434</c:v>
                </c:pt>
                <c:pt idx="238">
                  <c:v>117.9189995352862</c:v>
                </c:pt>
                <c:pt idx="239">
                  <c:v>118.51773942238671</c:v>
                </c:pt>
                <c:pt idx="240">
                  <c:v>118.60433687496794</c:v>
                </c:pt>
                <c:pt idx="241">
                  <c:v>119.40468975665173</c:v>
                </c:pt>
                <c:pt idx="242">
                  <c:v>120.79307942514893</c:v>
                </c:pt>
                <c:pt idx="243">
                  <c:v>120.84502355465605</c:v>
                </c:pt>
                <c:pt idx="244">
                  <c:v>120.85031443399581</c:v>
                </c:pt>
                <c:pt idx="245">
                  <c:v>120.97569634129759</c:v>
                </c:pt>
                <c:pt idx="246">
                  <c:v>121.0214839099857</c:v>
                </c:pt>
                <c:pt idx="247">
                  <c:v>121.71420641438641</c:v>
                </c:pt>
                <c:pt idx="248">
                  <c:v>122.08424629860951</c:v>
                </c:pt>
                <c:pt idx="249">
                  <c:v>122.38189525956733</c:v>
                </c:pt>
                <c:pt idx="250">
                  <c:v>122.40252039941171</c:v>
                </c:pt>
                <c:pt idx="251">
                  <c:v>122.79546595191259</c:v>
                </c:pt>
                <c:pt idx="252">
                  <c:v>123.24791440079559</c:v>
                </c:pt>
                <c:pt idx="253">
                  <c:v>123.67649543734555</c:v>
                </c:pt>
                <c:pt idx="254">
                  <c:v>124.36370497945111</c:v>
                </c:pt>
                <c:pt idx="255">
                  <c:v>124.37791358989422</c:v>
                </c:pt>
                <c:pt idx="256">
                  <c:v>124.78744262077065</c:v>
                </c:pt>
                <c:pt idx="257">
                  <c:v>124.98878716016918</c:v>
                </c:pt>
                <c:pt idx="258">
                  <c:v>125.80025461301122</c:v>
                </c:pt>
                <c:pt idx="259">
                  <c:v>126.25369590091771</c:v>
                </c:pt>
                <c:pt idx="260">
                  <c:v>126.85488001767683</c:v>
                </c:pt>
                <c:pt idx="261">
                  <c:v>127.40349006270151</c:v>
                </c:pt>
                <c:pt idx="262">
                  <c:v>127.56442904383989</c:v>
                </c:pt>
                <c:pt idx="263">
                  <c:v>128.54805564496866</c:v>
                </c:pt>
                <c:pt idx="264">
                  <c:v>129.34152657342952</c:v>
                </c:pt>
                <c:pt idx="265">
                  <c:v>129.90785978153781</c:v>
                </c:pt>
                <c:pt idx="266">
                  <c:v>129.94916043315359</c:v>
                </c:pt>
                <c:pt idx="267">
                  <c:v>130.20216740411965</c:v>
                </c:pt>
                <c:pt idx="268">
                  <c:v>130.2996615937499</c:v>
                </c:pt>
                <c:pt idx="269">
                  <c:v>131.13369773236874</c:v>
                </c:pt>
                <c:pt idx="270">
                  <c:v>132.30124832961585</c:v>
                </c:pt>
                <c:pt idx="271">
                  <c:v>132.38212774025504</c:v>
                </c:pt>
                <c:pt idx="272">
                  <c:v>132.82020617425638</c:v>
                </c:pt>
                <c:pt idx="273">
                  <c:v>132.96486510474682</c:v>
                </c:pt>
                <c:pt idx="274">
                  <c:v>133.32148631990236</c:v>
                </c:pt>
                <c:pt idx="275">
                  <c:v>134.18776021345064</c:v>
                </c:pt>
                <c:pt idx="276">
                  <c:v>134.2396727849532</c:v>
                </c:pt>
                <c:pt idx="277">
                  <c:v>134.61906909232397</c:v>
                </c:pt>
                <c:pt idx="278">
                  <c:v>135.32649347901392</c:v>
                </c:pt>
                <c:pt idx="279">
                  <c:v>135.38968057271089</c:v>
                </c:pt>
                <c:pt idx="280">
                  <c:v>135.42907816484617</c:v>
                </c:pt>
                <c:pt idx="281">
                  <c:v>135.70827938634892</c:v>
                </c:pt>
                <c:pt idx="282">
                  <c:v>135.96521628221458</c:v>
                </c:pt>
                <c:pt idx="283">
                  <c:v>136.61206575424717</c:v>
                </c:pt>
                <c:pt idx="284">
                  <c:v>136.83471093353361</c:v>
                </c:pt>
                <c:pt idx="285">
                  <c:v>136.86170980447747</c:v>
                </c:pt>
                <c:pt idx="286">
                  <c:v>137.9893921050807</c:v>
                </c:pt>
                <c:pt idx="287">
                  <c:v>138.54608576518018</c:v>
                </c:pt>
                <c:pt idx="288">
                  <c:v>138.66200993596959</c:v>
                </c:pt>
                <c:pt idx="289">
                  <c:v>139.56711989558534</c:v>
                </c:pt>
                <c:pt idx="290">
                  <c:v>139.98064625404484</c:v>
                </c:pt>
                <c:pt idx="291">
                  <c:v>140.21745166347654</c:v>
                </c:pt>
                <c:pt idx="292">
                  <c:v>141.94886224437204</c:v>
                </c:pt>
                <c:pt idx="293">
                  <c:v>142.1251622226979</c:v>
                </c:pt>
                <c:pt idx="294">
                  <c:v>142.19536019069221</c:v>
                </c:pt>
                <c:pt idx="295">
                  <c:v>142.68507858164787</c:v>
                </c:pt>
                <c:pt idx="296">
                  <c:v>142.76361225938322</c:v>
                </c:pt>
                <c:pt idx="297">
                  <c:v>142.96760235415445</c:v>
                </c:pt>
                <c:pt idx="298">
                  <c:v>143.25412481967882</c:v>
                </c:pt>
                <c:pt idx="299">
                  <c:v>143.73324166062125</c:v>
                </c:pt>
                <c:pt idx="300">
                  <c:v>143.87802901483695</c:v>
                </c:pt>
                <c:pt idx="301">
                  <c:v>143.96946504265645</c:v>
                </c:pt>
                <c:pt idx="302">
                  <c:v>144.14043081252098</c:v>
                </c:pt>
                <c:pt idx="303">
                  <c:v>144.53844699599421</c:v>
                </c:pt>
                <c:pt idx="304">
                  <c:v>144.97772214940315</c:v>
                </c:pt>
                <c:pt idx="305">
                  <c:v>145.04662730666848</c:v>
                </c:pt>
                <c:pt idx="306">
                  <c:v>146.42032396467005</c:v>
                </c:pt>
                <c:pt idx="307">
                  <c:v>146.78948209866803</c:v>
                </c:pt>
                <c:pt idx="308">
                  <c:v>147.45926091450252</c:v>
                </c:pt>
                <c:pt idx="309">
                  <c:v>147.91571288738072</c:v>
                </c:pt>
                <c:pt idx="310">
                  <c:v>147.95208708892551</c:v>
                </c:pt>
                <c:pt idx="311">
                  <c:v>148.02876231755454</c:v>
                </c:pt>
                <c:pt idx="312">
                  <c:v>148.19808399157324</c:v>
                </c:pt>
                <c:pt idx="313">
                  <c:v>148.29320015985169</c:v>
                </c:pt>
                <c:pt idx="314">
                  <c:v>148.42515698275491</c:v>
                </c:pt>
                <c:pt idx="315">
                  <c:v>149.62599859104083</c:v>
                </c:pt>
                <c:pt idx="316">
                  <c:v>149.76058572981384</c:v>
                </c:pt>
                <c:pt idx="317">
                  <c:v>150.41813264048017</c:v>
                </c:pt>
                <c:pt idx="318">
                  <c:v>150.6138813404333</c:v>
                </c:pt>
                <c:pt idx="319">
                  <c:v>150.69066968096806</c:v>
                </c:pt>
                <c:pt idx="320">
                  <c:v>150.91174869257293</c:v>
                </c:pt>
                <c:pt idx="321">
                  <c:v>151.15739391038244</c:v>
                </c:pt>
                <c:pt idx="322">
                  <c:v>151.72537841124154</c:v>
                </c:pt>
                <c:pt idx="323">
                  <c:v>152.03831652905257</c:v>
                </c:pt>
                <c:pt idx="324">
                  <c:v>152.2962122905322</c:v>
                </c:pt>
                <c:pt idx="325">
                  <c:v>153.17867878993411</c:v>
                </c:pt>
                <c:pt idx="326">
                  <c:v>153.21883594763477</c:v>
                </c:pt>
                <c:pt idx="327">
                  <c:v>153.29637774818622</c:v>
                </c:pt>
                <c:pt idx="328">
                  <c:v>153.46063979482105</c:v>
                </c:pt>
                <c:pt idx="329">
                  <c:v>153.75457414426492</c:v>
                </c:pt>
                <c:pt idx="330">
                  <c:v>154.10774372971281</c:v>
                </c:pt>
                <c:pt idx="331">
                  <c:v>154.91210217977363</c:v>
                </c:pt>
                <c:pt idx="332">
                  <c:v>155.81643403530694</c:v>
                </c:pt>
                <c:pt idx="333">
                  <c:v>155.90471246106549</c:v>
                </c:pt>
                <c:pt idx="334">
                  <c:v>156.25153842360857</c:v>
                </c:pt>
                <c:pt idx="335">
                  <c:v>156.37101816692126</c:v>
                </c:pt>
                <c:pt idx="336">
                  <c:v>157.27395937354444</c:v>
                </c:pt>
                <c:pt idx="337">
                  <c:v>158.94292695339655</c:v>
                </c:pt>
                <c:pt idx="338">
                  <c:v>161.34310188385945</c:v>
                </c:pt>
                <c:pt idx="339">
                  <c:v>161.62238129444853</c:v>
                </c:pt>
                <c:pt idx="340">
                  <c:v>161.7993296804199</c:v>
                </c:pt>
                <c:pt idx="341">
                  <c:v>162.22743184914344</c:v>
                </c:pt>
                <c:pt idx="342">
                  <c:v>162.23520305756196</c:v>
                </c:pt>
                <c:pt idx="343">
                  <c:v>162.29562294720705</c:v>
                </c:pt>
                <c:pt idx="344">
                  <c:v>162.47487406028441</c:v>
                </c:pt>
                <c:pt idx="345">
                  <c:v>162.50815116045743</c:v>
                </c:pt>
                <c:pt idx="346">
                  <c:v>162.68023481933983</c:v>
                </c:pt>
                <c:pt idx="347">
                  <c:v>163.15854673402512</c:v>
                </c:pt>
                <c:pt idx="348">
                  <c:v>163.7757300700261</c:v>
                </c:pt>
                <c:pt idx="349">
                  <c:v>164.1388297714023</c:v>
                </c:pt>
                <c:pt idx="350">
                  <c:v>164.19623197601453</c:v>
                </c:pt>
                <c:pt idx="351">
                  <c:v>164.74598728884334</c:v>
                </c:pt>
                <c:pt idx="352">
                  <c:v>165.05239132149632</c:v>
                </c:pt>
                <c:pt idx="353">
                  <c:v>165.70798475197441</c:v>
                </c:pt>
                <c:pt idx="354">
                  <c:v>166.61141582305555</c:v>
                </c:pt>
                <c:pt idx="355">
                  <c:v>166.85139092954944</c:v>
                </c:pt>
                <c:pt idx="356">
                  <c:v>168.27152368506216</c:v>
                </c:pt>
                <c:pt idx="357">
                  <c:v>168.44134676111022</c:v>
                </c:pt>
                <c:pt idx="358">
                  <c:v>169.23919039118792</c:v>
                </c:pt>
                <c:pt idx="359">
                  <c:v>169.51368540254123</c:v>
                </c:pt>
                <c:pt idx="360">
                  <c:v>169.91321486069342</c:v>
                </c:pt>
                <c:pt idx="361">
                  <c:v>171.42405056544342</c:v>
                </c:pt>
                <c:pt idx="362">
                  <c:v>171.90770084543237</c:v>
                </c:pt>
                <c:pt idx="363">
                  <c:v>172.23244467706564</c:v>
                </c:pt>
                <c:pt idx="364">
                  <c:v>173.75655390161063</c:v>
                </c:pt>
                <c:pt idx="365">
                  <c:v>174.31411492745667</c:v>
                </c:pt>
                <c:pt idx="366">
                  <c:v>174.37727846580202</c:v>
                </c:pt>
                <c:pt idx="367">
                  <c:v>174.59344413244423</c:v>
                </c:pt>
                <c:pt idx="368">
                  <c:v>174.75685666850922</c:v>
                </c:pt>
                <c:pt idx="369">
                  <c:v>174.89916558232471</c:v>
                </c:pt>
                <c:pt idx="370">
                  <c:v>174.91306758579708</c:v>
                </c:pt>
                <c:pt idx="371">
                  <c:v>175.08986567589827</c:v>
                </c:pt>
                <c:pt idx="372">
                  <c:v>175.15429714198928</c:v>
                </c:pt>
                <c:pt idx="373">
                  <c:v>175.1922175033564</c:v>
                </c:pt>
                <c:pt idx="374">
                  <c:v>176.57116116507495</c:v>
                </c:pt>
                <c:pt idx="375">
                  <c:v>181.13683170374105</c:v>
                </c:pt>
                <c:pt idx="376">
                  <c:v>184.89731892855505</c:v>
                </c:pt>
                <c:pt idx="377">
                  <c:v>186.44126573797422</c:v>
                </c:pt>
                <c:pt idx="378">
                  <c:v>187.02233379817849</c:v>
                </c:pt>
                <c:pt idx="379">
                  <c:v>187.77211124766077</c:v>
                </c:pt>
                <c:pt idx="380">
                  <c:v>187.81605648954573</c:v>
                </c:pt>
                <c:pt idx="381">
                  <c:v>187.91367226514092</c:v>
                </c:pt>
                <c:pt idx="382">
                  <c:v>188.91639153411307</c:v>
                </c:pt>
                <c:pt idx="383">
                  <c:v>189.06386944276272</c:v>
                </c:pt>
                <c:pt idx="384">
                  <c:v>190.37764842128698</c:v>
                </c:pt>
                <c:pt idx="385">
                  <c:v>190.89716402874845</c:v>
                </c:pt>
                <c:pt idx="386">
                  <c:v>192.38607271732602</c:v>
                </c:pt>
                <c:pt idx="387">
                  <c:v>193.61670074550739</c:v>
                </c:pt>
                <c:pt idx="388">
                  <c:v>193.61927702782856</c:v>
                </c:pt>
                <c:pt idx="389">
                  <c:v>195.45213395799615</c:v>
                </c:pt>
                <c:pt idx="390">
                  <c:v>196.30302064906226</c:v>
                </c:pt>
                <c:pt idx="391">
                  <c:v>196.39354637871693</c:v>
                </c:pt>
                <c:pt idx="392">
                  <c:v>198.32066674052231</c:v>
                </c:pt>
                <c:pt idx="393">
                  <c:v>198.8776277268706</c:v>
                </c:pt>
                <c:pt idx="394">
                  <c:v>199.94704261919958</c:v>
                </c:pt>
                <c:pt idx="395">
                  <c:v>200.67796813628271</c:v>
                </c:pt>
                <c:pt idx="396">
                  <c:v>201.07394760042365</c:v>
                </c:pt>
                <c:pt idx="397">
                  <c:v>203.02359626875202</c:v>
                </c:pt>
                <c:pt idx="398">
                  <c:v>203.74230728269728</c:v>
                </c:pt>
                <c:pt idx="399">
                  <c:v>205.60559371567936</c:v>
                </c:pt>
                <c:pt idx="400">
                  <c:v>206.40069261586711</c:v>
                </c:pt>
                <c:pt idx="401">
                  <c:v>207.05349972735283</c:v>
                </c:pt>
                <c:pt idx="402">
                  <c:v>207.5730864163578</c:v>
                </c:pt>
                <c:pt idx="403">
                  <c:v>207.61738537505829</c:v>
                </c:pt>
                <c:pt idx="404">
                  <c:v>207.953733101701</c:v>
                </c:pt>
                <c:pt idx="405">
                  <c:v>208.19103110876921</c:v>
                </c:pt>
                <c:pt idx="406">
                  <c:v>209.66672485349463</c:v>
                </c:pt>
                <c:pt idx="407">
                  <c:v>209.84655564904344</c:v>
                </c:pt>
                <c:pt idx="408">
                  <c:v>210.41690669217084</c:v>
                </c:pt>
                <c:pt idx="409">
                  <c:v>210.81417100847654</c:v>
                </c:pt>
                <c:pt idx="410">
                  <c:v>211.1516882201098</c:v>
                </c:pt>
                <c:pt idx="411">
                  <c:v>215.14298615624466</c:v>
                </c:pt>
                <c:pt idx="412">
                  <c:v>218.41064548873274</c:v>
                </c:pt>
                <c:pt idx="413">
                  <c:v>218.59863639013548</c:v>
                </c:pt>
                <c:pt idx="414">
                  <c:v>218.86693213757587</c:v>
                </c:pt>
                <c:pt idx="415">
                  <c:v>219.59333843782605</c:v>
                </c:pt>
                <c:pt idx="416">
                  <c:v>220.44730111687181</c:v>
                </c:pt>
                <c:pt idx="417">
                  <c:v>220.81932652109072</c:v>
                </c:pt>
                <c:pt idx="418">
                  <c:v>222.16774889629511</c:v>
                </c:pt>
                <c:pt idx="419">
                  <c:v>222.52613296207312</c:v>
                </c:pt>
                <c:pt idx="420">
                  <c:v>223.62047030163896</c:v>
                </c:pt>
                <c:pt idx="421">
                  <c:v>224.13738137882706</c:v>
                </c:pt>
                <c:pt idx="422">
                  <c:v>224.82552742151887</c:v>
                </c:pt>
                <c:pt idx="423">
                  <c:v>225.41087040017695</c:v>
                </c:pt>
                <c:pt idx="424">
                  <c:v>225.60309215908435</c:v>
                </c:pt>
                <c:pt idx="425">
                  <c:v>225.95984912747005</c:v>
                </c:pt>
                <c:pt idx="426">
                  <c:v>228.38551498291628</c:v>
                </c:pt>
                <c:pt idx="427">
                  <c:v>229.51191475093916</c:v>
                </c:pt>
                <c:pt idx="428">
                  <c:v>230.18479185878576</c:v>
                </c:pt>
                <c:pt idx="429">
                  <c:v>230.63992006540423</c:v>
                </c:pt>
                <c:pt idx="430">
                  <c:v>230.65821980343722</c:v>
                </c:pt>
                <c:pt idx="431">
                  <c:v>232.22364236592648</c:v>
                </c:pt>
                <c:pt idx="432">
                  <c:v>233.62950388867367</c:v>
                </c:pt>
                <c:pt idx="433">
                  <c:v>234.10532722703607</c:v>
                </c:pt>
                <c:pt idx="434">
                  <c:v>234.28759872241341</c:v>
                </c:pt>
                <c:pt idx="435">
                  <c:v>234.58888400072021</c:v>
                </c:pt>
                <c:pt idx="436">
                  <c:v>236.42660032302712</c:v>
                </c:pt>
                <c:pt idx="437">
                  <c:v>236.48091432658168</c:v>
                </c:pt>
                <c:pt idx="438">
                  <c:v>238.41857222969421</c:v>
                </c:pt>
                <c:pt idx="439">
                  <c:v>239.10184992962087</c:v>
                </c:pt>
                <c:pt idx="440">
                  <c:v>239.55285300045423</c:v>
                </c:pt>
                <c:pt idx="441">
                  <c:v>240.06918841874031</c:v>
                </c:pt>
                <c:pt idx="442">
                  <c:v>241.67370487582841</c:v>
                </c:pt>
                <c:pt idx="443">
                  <c:v>243.90111353213601</c:v>
                </c:pt>
                <c:pt idx="444">
                  <c:v>245.55585591020775</c:v>
                </c:pt>
                <c:pt idx="445">
                  <c:v>247.43669537051085</c:v>
                </c:pt>
                <c:pt idx="446">
                  <c:v>247.58512574309285</c:v>
                </c:pt>
                <c:pt idx="447">
                  <c:v>248.0262692140758</c:v>
                </c:pt>
                <c:pt idx="448">
                  <c:v>249.61813861328284</c:v>
                </c:pt>
                <c:pt idx="449">
                  <c:v>250.12253936755482</c:v>
                </c:pt>
                <c:pt idx="450">
                  <c:v>254.35577039293679</c:v>
                </c:pt>
                <c:pt idx="451">
                  <c:v>254.72130473365203</c:v>
                </c:pt>
                <c:pt idx="452">
                  <c:v>255.15570847737308</c:v>
                </c:pt>
                <c:pt idx="453">
                  <c:v>257.84670242901313</c:v>
                </c:pt>
                <c:pt idx="454">
                  <c:v>257.89537495246316</c:v>
                </c:pt>
                <c:pt idx="455">
                  <c:v>260.44831156975829</c:v>
                </c:pt>
                <c:pt idx="456">
                  <c:v>261.72984553930576</c:v>
                </c:pt>
                <c:pt idx="457">
                  <c:v>261.90119879309134</c:v>
                </c:pt>
                <c:pt idx="458">
                  <c:v>263.22739856536828</c:v>
                </c:pt>
                <c:pt idx="459">
                  <c:v>264.22061877835353</c:v>
                </c:pt>
                <c:pt idx="460">
                  <c:v>264.94253470916448</c:v>
                </c:pt>
                <c:pt idx="461">
                  <c:v>265.69236272439753</c:v>
                </c:pt>
                <c:pt idx="462">
                  <c:v>266.64129427423529</c:v>
                </c:pt>
                <c:pt idx="463">
                  <c:v>266.87815048379264</c:v>
                </c:pt>
                <c:pt idx="464">
                  <c:v>267.75888534029059</c:v>
                </c:pt>
                <c:pt idx="465">
                  <c:v>268.27068846202491</c:v>
                </c:pt>
                <c:pt idx="466">
                  <c:v>268.46946205920892</c:v>
                </c:pt>
                <c:pt idx="467">
                  <c:v>269.5819663419461</c:v>
                </c:pt>
                <c:pt idx="468">
                  <c:v>270.07148113209405</c:v>
                </c:pt>
                <c:pt idx="469">
                  <c:v>270.52351008437779</c:v>
                </c:pt>
                <c:pt idx="470">
                  <c:v>273.91818633948856</c:v>
                </c:pt>
                <c:pt idx="471">
                  <c:v>277.31731704469325</c:v>
                </c:pt>
                <c:pt idx="472">
                  <c:v>278.29057225720044</c:v>
                </c:pt>
                <c:pt idx="473">
                  <c:v>278.32012794421945</c:v>
                </c:pt>
                <c:pt idx="474">
                  <c:v>283.79832871391972</c:v>
                </c:pt>
                <c:pt idx="475">
                  <c:v>284.29130258601572</c:v>
                </c:pt>
                <c:pt idx="476">
                  <c:v>285.64224406555434</c:v>
                </c:pt>
                <c:pt idx="477">
                  <c:v>289.22790376832938</c:v>
                </c:pt>
                <c:pt idx="478">
                  <c:v>291.29859271162456</c:v>
                </c:pt>
                <c:pt idx="479">
                  <c:v>292.33325013540252</c:v>
                </c:pt>
                <c:pt idx="480">
                  <c:v>294.97612395388489</c:v>
                </c:pt>
                <c:pt idx="481">
                  <c:v>299.51700227802257</c:v>
                </c:pt>
                <c:pt idx="482">
                  <c:v>299.94284745647894</c:v>
                </c:pt>
                <c:pt idx="483">
                  <c:v>301.72274836447696</c:v>
                </c:pt>
                <c:pt idx="484">
                  <c:v>302.27959514889142</c:v>
                </c:pt>
                <c:pt idx="485">
                  <c:v>306.73560798074089</c:v>
                </c:pt>
                <c:pt idx="486">
                  <c:v>307.34944071976884</c:v>
                </c:pt>
                <c:pt idx="487">
                  <c:v>308.8660041914568</c:v>
                </c:pt>
                <c:pt idx="488">
                  <c:v>313.42157071377665</c:v>
                </c:pt>
                <c:pt idx="489">
                  <c:v>314.00919375553036</c:v>
                </c:pt>
                <c:pt idx="490">
                  <c:v>320.67845704187675</c:v>
                </c:pt>
                <c:pt idx="491">
                  <c:v>321.59950213791399</c:v>
                </c:pt>
                <c:pt idx="492">
                  <c:v>321.95650970204645</c:v>
                </c:pt>
                <c:pt idx="493">
                  <c:v>325.58432848039047</c:v>
                </c:pt>
                <c:pt idx="494">
                  <c:v>327.15635758375095</c:v>
                </c:pt>
                <c:pt idx="495">
                  <c:v>331.97233043571157</c:v>
                </c:pt>
                <c:pt idx="496">
                  <c:v>344.05850384380301</c:v>
                </c:pt>
                <c:pt idx="497">
                  <c:v>359.7157431752712</c:v>
                </c:pt>
                <c:pt idx="498">
                  <c:v>379.74392744202976</c:v>
                </c:pt>
                <c:pt idx="499">
                  <c:v>401.6341749418059</c:v>
                </c:pt>
              </c:numCache>
            </c:numRef>
          </c:xVal>
          <c:yVal>
            <c:numRef>
              <c:f>SimDataScen!$M$7:$M$506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SimDataScen!$N$6</c:f>
              <c:strCache>
                <c:ptCount val="1"/>
                <c:pt idx="0">
                  <c:v>Profit: 4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SimDataScen!$N$7:$N$506</c:f>
              <c:numCache>
                <c:formatCode>General</c:formatCode>
                <c:ptCount val="500"/>
                <c:pt idx="0">
                  <c:v>-155.51247490784982</c:v>
                </c:pt>
                <c:pt idx="1">
                  <c:v>-152.98361101099295</c:v>
                </c:pt>
                <c:pt idx="2">
                  <c:v>-138.83497816869365</c:v>
                </c:pt>
                <c:pt idx="3">
                  <c:v>-127.80010703817132</c:v>
                </c:pt>
                <c:pt idx="4">
                  <c:v>-123.50857304991172</c:v>
                </c:pt>
                <c:pt idx="5">
                  <c:v>-110.05137257508366</c:v>
                </c:pt>
                <c:pt idx="6">
                  <c:v>-106.6241060029927</c:v>
                </c:pt>
                <c:pt idx="7">
                  <c:v>-106.47764129488712</c:v>
                </c:pt>
                <c:pt idx="8">
                  <c:v>-105.1926338636149</c:v>
                </c:pt>
                <c:pt idx="9">
                  <c:v>-102.69227034406182</c:v>
                </c:pt>
                <c:pt idx="10">
                  <c:v>-99.53662479732219</c:v>
                </c:pt>
                <c:pt idx="11">
                  <c:v>-92.478394539443855</c:v>
                </c:pt>
                <c:pt idx="12">
                  <c:v>-89.980876043312691</c:v>
                </c:pt>
                <c:pt idx="13">
                  <c:v>-89.213792091934266</c:v>
                </c:pt>
                <c:pt idx="14">
                  <c:v>-87.596347544632081</c:v>
                </c:pt>
                <c:pt idx="15">
                  <c:v>-85.540108694940017</c:v>
                </c:pt>
                <c:pt idx="16">
                  <c:v>-84.040031917326331</c:v>
                </c:pt>
                <c:pt idx="17">
                  <c:v>-82.660020270330634</c:v>
                </c:pt>
                <c:pt idx="18">
                  <c:v>-82.200091300692947</c:v>
                </c:pt>
                <c:pt idx="19">
                  <c:v>-81.816954297828985</c:v>
                </c:pt>
                <c:pt idx="20">
                  <c:v>-79.539738651048737</c:v>
                </c:pt>
                <c:pt idx="21">
                  <c:v>-79.278260974998744</c:v>
                </c:pt>
                <c:pt idx="22">
                  <c:v>-77.847548953499782</c:v>
                </c:pt>
                <c:pt idx="23">
                  <c:v>-76.828396022311978</c:v>
                </c:pt>
                <c:pt idx="24">
                  <c:v>-75.538782983653618</c:v>
                </c:pt>
                <c:pt idx="25">
                  <c:v>-74.632867482706843</c:v>
                </c:pt>
                <c:pt idx="26">
                  <c:v>-73.706579167546892</c:v>
                </c:pt>
                <c:pt idx="27">
                  <c:v>-72.395972192675913</c:v>
                </c:pt>
                <c:pt idx="28">
                  <c:v>-72.220075231898477</c:v>
                </c:pt>
                <c:pt idx="29">
                  <c:v>-71.294771803209926</c:v>
                </c:pt>
                <c:pt idx="30">
                  <c:v>-71.279753982234382</c:v>
                </c:pt>
                <c:pt idx="31">
                  <c:v>-70.162029382170374</c:v>
                </c:pt>
                <c:pt idx="32">
                  <c:v>-69.512788940966004</c:v>
                </c:pt>
                <c:pt idx="33">
                  <c:v>-68.648141517882294</c:v>
                </c:pt>
                <c:pt idx="34">
                  <c:v>-68.646228601911844</c:v>
                </c:pt>
                <c:pt idx="35">
                  <c:v>-68.328622256888252</c:v>
                </c:pt>
                <c:pt idx="36">
                  <c:v>-67.645548505946209</c:v>
                </c:pt>
                <c:pt idx="37">
                  <c:v>-67.619878191039092</c:v>
                </c:pt>
                <c:pt idx="38">
                  <c:v>-66.240283430075351</c:v>
                </c:pt>
                <c:pt idx="39">
                  <c:v>-64.794979859068505</c:v>
                </c:pt>
                <c:pt idx="40">
                  <c:v>-63.400337377070159</c:v>
                </c:pt>
                <c:pt idx="41">
                  <c:v>-62.062131194334057</c:v>
                </c:pt>
                <c:pt idx="42">
                  <c:v>-61.591569641124948</c:v>
                </c:pt>
                <c:pt idx="43">
                  <c:v>-61.274093159259223</c:v>
                </c:pt>
                <c:pt idx="44">
                  <c:v>-61.158372006753567</c:v>
                </c:pt>
                <c:pt idx="45">
                  <c:v>-60.26053679662931</c:v>
                </c:pt>
                <c:pt idx="46">
                  <c:v>-60.167302254540942</c:v>
                </c:pt>
                <c:pt idx="47">
                  <c:v>-56.207654485031554</c:v>
                </c:pt>
                <c:pt idx="48">
                  <c:v>-55.582943728245652</c:v>
                </c:pt>
                <c:pt idx="49">
                  <c:v>-55.225245797221447</c:v>
                </c:pt>
                <c:pt idx="50">
                  <c:v>-53.485324345845044</c:v>
                </c:pt>
                <c:pt idx="51">
                  <c:v>-53.24501044837865</c:v>
                </c:pt>
                <c:pt idx="52">
                  <c:v>-52.875781952076437</c:v>
                </c:pt>
                <c:pt idx="53">
                  <c:v>-51.465511710347272</c:v>
                </c:pt>
                <c:pt idx="54">
                  <c:v>-50.103083729363959</c:v>
                </c:pt>
                <c:pt idx="55">
                  <c:v>-48.571167209223319</c:v>
                </c:pt>
                <c:pt idx="56">
                  <c:v>-48.250414111673706</c:v>
                </c:pt>
                <c:pt idx="57">
                  <c:v>-47.750721578346173</c:v>
                </c:pt>
                <c:pt idx="58">
                  <c:v>-46.313812289686581</c:v>
                </c:pt>
                <c:pt idx="59">
                  <c:v>-46.134933481719116</c:v>
                </c:pt>
                <c:pt idx="60">
                  <c:v>-45.75975316003543</c:v>
                </c:pt>
                <c:pt idx="61">
                  <c:v>-45.360893712120969</c:v>
                </c:pt>
                <c:pt idx="62">
                  <c:v>-44.953734892531912</c:v>
                </c:pt>
                <c:pt idx="63">
                  <c:v>-44.150832907480492</c:v>
                </c:pt>
                <c:pt idx="64">
                  <c:v>-43.043641750772423</c:v>
                </c:pt>
                <c:pt idx="65">
                  <c:v>-41.91472157719312</c:v>
                </c:pt>
                <c:pt idx="66">
                  <c:v>-40.518123751728041</c:v>
                </c:pt>
                <c:pt idx="67">
                  <c:v>-40.104876875783475</c:v>
                </c:pt>
                <c:pt idx="68">
                  <c:v>-39.833656546272181</c:v>
                </c:pt>
                <c:pt idx="69">
                  <c:v>-38.776868055089068</c:v>
                </c:pt>
                <c:pt idx="70">
                  <c:v>-38.747095558293921</c:v>
                </c:pt>
                <c:pt idx="71">
                  <c:v>-38.486249034469864</c:v>
                </c:pt>
                <c:pt idx="72">
                  <c:v>-38.262842876891497</c:v>
                </c:pt>
                <c:pt idx="73">
                  <c:v>-38.051922899343936</c:v>
                </c:pt>
                <c:pt idx="74">
                  <c:v>-37.808346058164233</c:v>
                </c:pt>
                <c:pt idx="75">
                  <c:v>-36.069939092908442</c:v>
                </c:pt>
                <c:pt idx="76">
                  <c:v>-35.658242795960263</c:v>
                </c:pt>
                <c:pt idx="77">
                  <c:v>-34.559764135707383</c:v>
                </c:pt>
                <c:pt idx="78">
                  <c:v>-33.49684643236489</c:v>
                </c:pt>
                <c:pt idx="79">
                  <c:v>-33.044492461312075</c:v>
                </c:pt>
                <c:pt idx="80">
                  <c:v>-32.817177286091464</c:v>
                </c:pt>
                <c:pt idx="81">
                  <c:v>-32.559298845037972</c:v>
                </c:pt>
                <c:pt idx="82">
                  <c:v>-32.489783850153032</c:v>
                </c:pt>
                <c:pt idx="83">
                  <c:v>-31.768670557552468</c:v>
                </c:pt>
                <c:pt idx="84">
                  <c:v>-30.208773861949226</c:v>
                </c:pt>
                <c:pt idx="85">
                  <c:v>-29.052344525362884</c:v>
                </c:pt>
                <c:pt idx="86">
                  <c:v>-28.65602323849734</c:v>
                </c:pt>
                <c:pt idx="87">
                  <c:v>-28.33494430597824</c:v>
                </c:pt>
                <c:pt idx="88">
                  <c:v>-27.906924384084476</c:v>
                </c:pt>
                <c:pt idx="89">
                  <c:v>-27.573667869371576</c:v>
                </c:pt>
                <c:pt idx="90">
                  <c:v>-27.500839263495834</c:v>
                </c:pt>
                <c:pt idx="91">
                  <c:v>-26.110382727187002</c:v>
                </c:pt>
                <c:pt idx="92">
                  <c:v>-24.771159371206181</c:v>
                </c:pt>
                <c:pt idx="93">
                  <c:v>-24.40469999004759</c:v>
                </c:pt>
                <c:pt idx="94">
                  <c:v>-23.975122942418949</c:v>
                </c:pt>
                <c:pt idx="95">
                  <c:v>-22.918971551290866</c:v>
                </c:pt>
                <c:pt idx="96">
                  <c:v>-22.285653426118728</c:v>
                </c:pt>
                <c:pt idx="97">
                  <c:v>-21.387491741864693</c:v>
                </c:pt>
                <c:pt idx="98">
                  <c:v>-21.22330430832713</c:v>
                </c:pt>
                <c:pt idx="99">
                  <c:v>-20.591421382462016</c:v>
                </c:pt>
                <c:pt idx="100">
                  <c:v>-19.996182617812735</c:v>
                </c:pt>
                <c:pt idx="101">
                  <c:v>-19.819789104925519</c:v>
                </c:pt>
                <c:pt idx="102">
                  <c:v>-18.583465947836714</c:v>
                </c:pt>
                <c:pt idx="103">
                  <c:v>-18.176797529096632</c:v>
                </c:pt>
                <c:pt idx="104">
                  <c:v>-17.894967647364069</c:v>
                </c:pt>
                <c:pt idx="105">
                  <c:v>-17.868201615382802</c:v>
                </c:pt>
                <c:pt idx="106">
                  <c:v>-17.58214530979734</c:v>
                </c:pt>
                <c:pt idx="107">
                  <c:v>-17.363470435374012</c:v>
                </c:pt>
                <c:pt idx="108">
                  <c:v>-17.133906870433236</c:v>
                </c:pt>
                <c:pt idx="109">
                  <c:v>-17.118541702776895</c:v>
                </c:pt>
                <c:pt idx="110">
                  <c:v>-17.019624848922291</c:v>
                </c:pt>
                <c:pt idx="111">
                  <c:v>-16.353914903669704</c:v>
                </c:pt>
                <c:pt idx="112">
                  <c:v>-13.863642738462687</c:v>
                </c:pt>
                <c:pt idx="113">
                  <c:v>-13.710992169268565</c:v>
                </c:pt>
                <c:pt idx="114">
                  <c:v>-12.63991274706693</c:v>
                </c:pt>
                <c:pt idx="115">
                  <c:v>-12.324088498800648</c:v>
                </c:pt>
                <c:pt idx="116">
                  <c:v>-11.997499855986291</c:v>
                </c:pt>
                <c:pt idx="117">
                  <c:v>-11.570195646609875</c:v>
                </c:pt>
                <c:pt idx="118">
                  <c:v>-11.164907058113243</c:v>
                </c:pt>
                <c:pt idx="119">
                  <c:v>-10.976142595636702</c:v>
                </c:pt>
                <c:pt idx="120">
                  <c:v>-10.682277274903811</c:v>
                </c:pt>
                <c:pt idx="121">
                  <c:v>-10.218988336044376</c:v>
                </c:pt>
                <c:pt idx="122">
                  <c:v>-9.7653569996210763</c:v>
                </c:pt>
                <c:pt idx="123">
                  <c:v>-9.3426467778357392</c:v>
                </c:pt>
                <c:pt idx="124">
                  <c:v>-9.2784024485760312</c:v>
                </c:pt>
                <c:pt idx="125">
                  <c:v>-9.2157767460118976</c:v>
                </c:pt>
                <c:pt idx="126">
                  <c:v>-9.1135291610687545</c:v>
                </c:pt>
                <c:pt idx="127">
                  <c:v>-8.0326438185968811</c:v>
                </c:pt>
                <c:pt idx="128">
                  <c:v>-7.82999321931797</c:v>
                </c:pt>
                <c:pt idx="129">
                  <c:v>-7.3066124661689003</c:v>
                </c:pt>
                <c:pt idx="130">
                  <c:v>-7.1408340357511406</c:v>
                </c:pt>
                <c:pt idx="131">
                  <c:v>-6.7346413939671663</c:v>
                </c:pt>
                <c:pt idx="132">
                  <c:v>-5.4342416207678212</c:v>
                </c:pt>
                <c:pt idx="133">
                  <c:v>-5.0570535628217499</c:v>
                </c:pt>
                <c:pt idx="134">
                  <c:v>-4.6858067645478627</c:v>
                </c:pt>
                <c:pt idx="135">
                  <c:v>-4.4052282524094153</c:v>
                </c:pt>
                <c:pt idx="136">
                  <c:v>-3.5839637111043601</c:v>
                </c:pt>
                <c:pt idx="137">
                  <c:v>-3.5132380503592344</c:v>
                </c:pt>
                <c:pt idx="138">
                  <c:v>-3.2236727602331428</c:v>
                </c:pt>
                <c:pt idx="139">
                  <c:v>-2.5536006603280441</c:v>
                </c:pt>
                <c:pt idx="140">
                  <c:v>-2.0815695712509523</c:v>
                </c:pt>
                <c:pt idx="141">
                  <c:v>-0.4968021978692434</c:v>
                </c:pt>
                <c:pt idx="142">
                  <c:v>-0.21477662927043184</c:v>
                </c:pt>
                <c:pt idx="143">
                  <c:v>0.18861055856575604</c:v>
                </c:pt>
                <c:pt idx="144">
                  <c:v>0.26133339571651959</c:v>
                </c:pt>
                <c:pt idx="145">
                  <c:v>0.49738707968049312</c:v>
                </c:pt>
                <c:pt idx="146">
                  <c:v>0.61807439680379161</c:v>
                </c:pt>
                <c:pt idx="147">
                  <c:v>0.70540976598175575</c:v>
                </c:pt>
                <c:pt idx="148">
                  <c:v>1.2539617678179411</c:v>
                </c:pt>
                <c:pt idx="149">
                  <c:v>1.8589243412372412</c:v>
                </c:pt>
                <c:pt idx="150">
                  <c:v>2.7265968803775564</c:v>
                </c:pt>
                <c:pt idx="151">
                  <c:v>4.302212509450726</c:v>
                </c:pt>
                <c:pt idx="152">
                  <c:v>4.3042122690195157</c:v>
                </c:pt>
                <c:pt idx="153">
                  <c:v>4.3841147744679745</c:v>
                </c:pt>
                <c:pt idx="154">
                  <c:v>4.8281175274443626</c:v>
                </c:pt>
                <c:pt idx="155">
                  <c:v>5.29219303789381</c:v>
                </c:pt>
                <c:pt idx="156">
                  <c:v>6.0478840226483044</c:v>
                </c:pt>
                <c:pt idx="157">
                  <c:v>6.1337942827630911</c:v>
                </c:pt>
                <c:pt idx="158">
                  <c:v>6.5246401647452501</c:v>
                </c:pt>
                <c:pt idx="159">
                  <c:v>7.3142999081208302</c:v>
                </c:pt>
                <c:pt idx="160">
                  <c:v>7.3445291674107125</c:v>
                </c:pt>
                <c:pt idx="161">
                  <c:v>7.4955437590487861</c:v>
                </c:pt>
                <c:pt idx="162">
                  <c:v>7.9611892692827837</c:v>
                </c:pt>
                <c:pt idx="163">
                  <c:v>8.5725464332901424</c:v>
                </c:pt>
                <c:pt idx="164">
                  <c:v>8.7948232240615596</c:v>
                </c:pt>
                <c:pt idx="165">
                  <c:v>10.066640671378252</c:v>
                </c:pt>
                <c:pt idx="166">
                  <c:v>10.094224407396496</c:v>
                </c:pt>
                <c:pt idx="167">
                  <c:v>10.447419895185988</c:v>
                </c:pt>
                <c:pt idx="168">
                  <c:v>10.77793469113314</c:v>
                </c:pt>
                <c:pt idx="169">
                  <c:v>10.802935941591272</c:v>
                </c:pt>
                <c:pt idx="170">
                  <c:v>10.823875223990484</c:v>
                </c:pt>
                <c:pt idx="171">
                  <c:v>10.871105911808172</c:v>
                </c:pt>
                <c:pt idx="172">
                  <c:v>10.973004972839817</c:v>
                </c:pt>
                <c:pt idx="173">
                  <c:v>11.757302087254459</c:v>
                </c:pt>
                <c:pt idx="174">
                  <c:v>11.910140871439353</c:v>
                </c:pt>
                <c:pt idx="175">
                  <c:v>12.087615406223762</c:v>
                </c:pt>
                <c:pt idx="176">
                  <c:v>13.152802165418763</c:v>
                </c:pt>
                <c:pt idx="177">
                  <c:v>13.161262755947831</c:v>
                </c:pt>
                <c:pt idx="178">
                  <c:v>13.219617195797895</c:v>
                </c:pt>
                <c:pt idx="179">
                  <c:v>13.301138249156452</c:v>
                </c:pt>
                <c:pt idx="180">
                  <c:v>14.02878535958547</c:v>
                </c:pt>
                <c:pt idx="181">
                  <c:v>14.174533579223862</c:v>
                </c:pt>
                <c:pt idx="182">
                  <c:v>14.449473782129047</c:v>
                </c:pt>
                <c:pt idx="183">
                  <c:v>14.653069462159721</c:v>
                </c:pt>
                <c:pt idx="184">
                  <c:v>15.138456068595957</c:v>
                </c:pt>
                <c:pt idx="185">
                  <c:v>15.89280172518383</c:v>
                </c:pt>
                <c:pt idx="186">
                  <c:v>16.358685052863962</c:v>
                </c:pt>
                <c:pt idx="187">
                  <c:v>16.523994403317005</c:v>
                </c:pt>
                <c:pt idx="188">
                  <c:v>17.365092217599909</c:v>
                </c:pt>
                <c:pt idx="189">
                  <c:v>17.520495812273424</c:v>
                </c:pt>
                <c:pt idx="190">
                  <c:v>18.024825836977811</c:v>
                </c:pt>
                <c:pt idx="191">
                  <c:v>18.842311569608853</c:v>
                </c:pt>
                <c:pt idx="192">
                  <c:v>19.355774650852197</c:v>
                </c:pt>
                <c:pt idx="193">
                  <c:v>19.418437799047723</c:v>
                </c:pt>
                <c:pt idx="194">
                  <c:v>19.971136864317003</c:v>
                </c:pt>
                <c:pt idx="195">
                  <c:v>20.084828161018265</c:v>
                </c:pt>
                <c:pt idx="196">
                  <c:v>21.243250067709084</c:v>
                </c:pt>
                <c:pt idx="197">
                  <c:v>21.469110656924315</c:v>
                </c:pt>
                <c:pt idx="198">
                  <c:v>22.07362801636296</c:v>
                </c:pt>
                <c:pt idx="199">
                  <c:v>22.410824706768864</c:v>
                </c:pt>
                <c:pt idx="200">
                  <c:v>22.772539823174839</c:v>
                </c:pt>
                <c:pt idx="201">
                  <c:v>22.906885184042324</c:v>
                </c:pt>
                <c:pt idx="202">
                  <c:v>23.638579742111347</c:v>
                </c:pt>
                <c:pt idx="203">
                  <c:v>24.272212644392624</c:v>
                </c:pt>
                <c:pt idx="204">
                  <c:v>26.444437172496862</c:v>
                </c:pt>
                <c:pt idx="205">
                  <c:v>26.72473723132137</c:v>
                </c:pt>
                <c:pt idx="206">
                  <c:v>26.838635889449478</c:v>
                </c:pt>
                <c:pt idx="207">
                  <c:v>27.33304797458203</c:v>
                </c:pt>
                <c:pt idx="208">
                  <c:v>27.339764460856486</c:v>
                </c:pt>
                <c:pt idx="209">
                  <c:v>27.355619514075244</c:v>
                </c:pt>
                <c:pt idx="210">
                  <c:v>28.104588190596075</c:v>
                </c:pt>
                <c:pt idx="211">
                  <c:v>28.14945206211388</c:v>
                </c:pt>
                <c:pt idx="212">
                  <c:v>28.203611145785317</c:v>
                </c:pt>
                <c:pt idx="213">
                  <c:v>28.784499423472056</c:v>
                </c:pt>
                <c:pt idx="214">
                  <c:v>29.293226137039014</c:v>
                </c:pt>
                <c:pt idx="215">
                  <c:v>30.561977825259731</c:v>
                </c:pt>
                <c:pt idx="216">
                  <c:v>30.680931189614711</c:v>
                </c:pt>
                <c:pt idx="217">
                  <c:v>31.711627786692162</c:v>
                </c:pt>
                <c:pt idx="218">
                  <c:v>31.714327331768118</c:v>
                </c:pt>
                <c:pt idx="219">
                  <c:v>31.784058109684452</c:v>
                </c:pt>
                <c:pt idx="220">
                  <c:v>32.361433983823815</c:v>
                </c:pt>
                <c:pt idx="221">
                  <c:v>32.523087650387396</c:v>
                </c:pt>
                <c:pt idx="222">
                  <c:v>33.022778662422581</c:v>
                </c:pt>
                <c:pt idx="223">
                  <c:v>33.226879689112536</c:v>
                </c:pt>
                <c:pt idx="224">
                  <c:v>33.289195548462715</c:v>
                </c:pt>
                <c:pt idx="225">
                  <c:v>33.294230209101386</c:v>
                </c:pt>
                <c:pt idx="226">
                  <c:v>33.703417736411865</c:v>
                </c:pt>
                <c:pt idx="227">
                  <c:v>34.361229568268413</c:v>
                </c:pt>
                <c:pt idx="228">
                  <c:v>34.571532702061745</c:v>
                </c:pt>
                <c:pt idx="229">
                  <c:v>34.865552421400025</c:v>
                </c:pt>
                <c:pt idx="230">
                  <c:v>35.404843030226374</c:v>
                </c:pt>
                <c:pt idx="231">
                  <c:v>35.508799278326904</c:v>
                </c:pt>
                <c:pt idx="232">
                  <c:v>35.99726606922431</c:v>
                </c:pt>
                <c:pt idx="233">
                  <c:v>36.230711676981343</c:v>
                </c:pt>
                <c:pt idx="234">
                  <c:v>36.434563123046246</c:v>
                </c:pt>
                <c:pt idx="235">
                  <c:v>36.932953958355426</c:v>
                </c:pt>
                <c:pt idx="236">
                  <c:v>36.981796993022101</c:v>
                </c:pt>
                <c:pt idx="237">
                  <c:v>37.271902610015417</c:v>
                </c:pt>
                <c:pt idx="238">
                  <c:v>37.650156713376333</c:v>
                </c:pt>
                <c:pt idx="239">
                  <c:v>37.985699293727436</c:v>
                </c:pt>
                <c:pt idx="240">
                  <c:v>38.353218557844968</c:v>
                </c:pt>
                <c:pt idx="241">
                  <c:v>38.437733944166638</c:v>
                </c:pt>
                <c:pt idx="242">
                  <c:v>39.840352073468068</c:v>
                </c:pt>
                <c:pt idx="243">
                  <c:v>41.437856733734037</c:v>
                </c:pt>
                <c:pt idx="244">
                  <c:v>42.614906791774899</c:v>
                </c:pt>
                <c:pt idx="245">
                  <c:v>43.297014320245836</c:v>
                </c:pt>
                <c:pt idx="246">
                  <c:v>43.852192210750047</c:v>
                </c:pt>
                <c:pt idx="247">
                  <c:v>44.31005528180583</c:v>
                </c:pt>
                <c:pt idx="248">
                  <c:v>44.692501037806352</c:v>
                </c:pt>
                <c:pt idx="249">
                  <c:v>44.929826207339602</c:v>
                </c:pt>
                <c:pt idx="250">
                  <c:v>45.298814692598143</c:v>
                </c:pt>
                <c:pt idx="251">
                  <c:v>46.062619091322034</c:v>
                </c:pt>
                <c:pt idx="252">
                  <c:v>46.241239780017253</c:v>
                </c:pt>
                <c:pt idx="253">
                  <c:v>46.45129746521954</c:v>
                </c:pt>
                <c:pt idx="254">
                  <c:v>46.470324014403559</c:v>
                </c:pt>
                <c:pt idx="255">
                  <c:v>46.536721371272705</c:v>
                </c:pt>
                <c:pt idx="256">
                  <c:v>46.703756567108172</c:v>
                </c:pt>
                <c:pt idx="257">
                  <c:v>46.761927415322361</c:v>
                </c:pt>
                <c:pt idx="258">
                  <c:v>46.783949310244083</c:v>
                </c:pt>
                <c:pt idx="259">
                  <c:v>46.846029568943123</c:v>
                </c:pt>
                <c:pt idx="260">
                  <c:v>47.652255971036794</c:v>
                </c:pt>
                <c:pt idx="261">
                  <c:v>48.024404714186488</c:v>
                </c:pt>
                <c:pt idx="262">
                  <c:v>48.512329560522943</c:v>
                </c:pt>
                <c:pt idx="263">
                  <c:v>48.609319732430549</c:v>
                </c:pt>
                <c:pt idx="264">
                  <c:v>49.000310465255012</c:v>
                </c:pt>
                <c:pt idx="265">
                  <c:v>49.077298695518323</c:v>
                </c:pt>
                <c:pt idx="266">
                  <c:v>49.241407638024072</c:v>
                </c:pt>
                <c:pt idx="267">
                  <c:v>49.607963681095384</c:v>
                </c:pt>
                <c:pt idx="268">
                  <c:v>49.963277959220079</c:v>
                </c:pt>
                <c:pt idx="269">
                  <c:v>49.969769703300074</c:v>
                </c:pt>
                <c:pt idx="270">
                  <c:v>50.526383311878163</c:v>
                </c:pt>
                <c:pt idx="271">
                  <c:v>50.531857253944452</c:v>
                </c:pt>
                <c:pt idx="272">
                  <c:v>50.701761902135104</c:v>
                </c:pt>
                <c:pt idx="273">
                  <c:v>50.781439765259336</c:v>
                </c:pt>
                <c:pt idx="274">
                  <c:v>51.124133948201148</c:v>
                </c:pt>
                <c:pt idx="275">
                  <c:v>51.555197161675522</c:v>
                </c:pt>
                <c:pt idx="276">
                  <c:v>51.589192366011872</c:v>
                </c:pt>
                <c:pt idx="277">
                  <c:v>51.624649394450927</c:v>
                </c:pt>
                <c:pt idx="278">
                  <c:v>52.414250833865452</c:v>
                </c:pt>
                <c:pt idx="279">
                  <c:v>52.917484500340578</c:v>
                </c:pt>
                <c:pt idx="280">
                  <c:v>55.167030280857716</c:v>
                </c:pt>
                <c:pt idx="281">
                  <c:v>55.883981881793233</c:v>
                </c:pt>
                <c:pt idx="282">
                  <c:v>55.937970453296742</c:v>
                </c:pt>
                <c:pt idx="283">
                  <c:v>56.767842941939932</c:v>
                </c:pt>
                <c:pt idx="284">
                  <c:v>57.236037429245357</c:v>
                </c:pt>
                <c:pt idx="285">
                  <c:v>57.679854327066522</c:v>
                </c:pt>
                <c:pt idx="286">
                  <c:v>58.504390718420808</c:v>
                </c:pt>
                <c:pt idx="287">
                  <c:v>58.633854319242459</c:v>
                </c:pt>
                <c:pt idx="288">
                  <c:v>58.732880787985351</c:v>
                </c:pt>
                <c:pt idx="289">
                  <c:v>58.841255637113534</c:v>
                </c:pt>
                <c:pt idx="290">
                  <c:v>59.298185144709379</c:v>
                </c:pt>
                <c:pt idx="291">
                  <c:v>59.356139843042826</c:v>
                </c:pt>
                <c:pt idx="292">
                  <c:v>59.863333020460885</c:v>
                </c:pt>
                <c:pt idx="293">
                  <c:v>60.430406322170882</c:v>
                </c:pt>
                <c:pt idx="294">
                  <c:v>60.55305736239265</c:v>
                </c:pt>
                <c:pt idx="295">
                  <c:v>60.84475112131787</c:v>
                </c:pt>
                <c:pt idx="296">
                  <c:v>61.050353479232641</c:v>
                </c:pt>
                <c:pt idx="297">
                  <c:v>61.253997572732516</c:v>
                </c:pt>
                <c:pt idx="298">
                  <c:v>61.265109036769417</c:v>
                </c:pt>
                <c:pt idx="299">
                  <c:v>62.027929995731341</c:v>
                </c:pt>
                <c:pt idx="300">
                  <c:v>62.099731887361543</c:v>
                </c:pt>
                <c:pt idx="301">
                  <c:v>62.119433523151542</c:v>
                </c:pt>
                <c:pt idx="302">
                  <c:v>62.542407537597569</c:v>
                </c:pt>
                <c:pt idx="303">
                  <c:v>62.554845312903836</c:v>
                </c:pt>
                <c:pt idx="304">
                  <c:v>62.934714883235046</c:v>
                </c:pt>
                <c:pt idx="305">
                  <c:v>63.252798470654284</c:v>
                </c:pt>
                <c:pt idx="306">
                  <c:v>63.595023425771416</c:v>
                </c:pt>
                <c:pt idx="307">
                  <c:v>65.125745233569802</c:v>
                </c:pt>
                <c:pt idx="308">
                  <c:v>65.569171385074696</c:v>
                </c:pt>
                <c:pt idx="309">
                  <c:v>65.80120840798844</c:v>
                </c:pt>
                <c:pt idx="310">
                  <c:v>65.961295777952358</c:v>
                </c:pt>
                <c:pt idx="311">
                  <c:v>66.138877837303284</c:v>
                </c:pt>
                <c:pt idx="312">
                  <c:v>66.675849430492775</c:v>
                </c:pt>
                <c:pt idx="313">
                  <c:v>67.122269056624418</c:v>
                </c:pt>
                <c:pt idx="314">
                  <c:v>68.06936541838229</c:v>
                </c:pt>
                <c:pt idx="315">
                  <c:v>68.557508998183238</c:v>
                </c:pt>
                <c:pt idx="316">
                  <c:v>68.667649969857308</c:v>
                </c:pt>
                <c:pt idx="317">
                  <c:v>68.750926868817629</c:v>
                </c:pt>
                <c:pt idx="318">
                  <c:v>69.477629675276376</c:v>
                </c:pt>
                <c:pt idx="319">
                  <c:v>69.508590676151044</c:v>
                </c:pt>
                <c:pt idx="320">
                  <c:v>69.77251137666488</c:v>
                </c:pt>
                <c:pt idx="321">
                  <c:v>69.816504714056066</c:v>
                </c:pt>
                <c:pt idx="322">
                  <c:v>71.068876251959892</c:v>
                </c:pt>
                <c:pt idx="323">
                  <c:v>71.085256157891024</c:v>
                </c:pt>
                <c:pt idx="324">
                  <c:v>71.339193328080825</c:v>
                </c:pt>
                <c:pt idx="325">
                  <c:v>72.687028763246389</c:v>
                </c:pt>
                <c:pt idx="326">
                  <c:v>73.472009867702184</c:v>
                </c:pt>
                <c:pt idx="327">
                  <c:v>73.599633005855537</c:v>
                </c:pt>
                <c:pt idx="328">
                  <c:v>74.1389869666979</c:v>
                </c:pt>
                <c:pt idx="329">
                  <c:v>74.163544691913074</c:v>
                </c:pt>
                <c:pt idx="330">
                  <c:v>74.315936874045377</c:v>
                </c:pt>
                <c:pt idx="331">
                  <c:v>74.321270549875976</c:v>
                </c:pt>
                <c:pt idx="332">
                  <c:v>74.727779324851383</c:v>
                </c:pt>
                <c:pt idx="333">
                  <c:v>74.854075670314018</c:v>
                </c:pt>
                <c:pt idx="334">
                  <c:v>75.531430523713937</c:v>
                </c:pt>
                <c:pt idx="335">
                  <c:v>76.22098353714415</c:v>
                </c:pt>
                <c:pt idx="336">
                  <c:v>79.105807824620371</c:v>
                </c:pt>
                <c:pt idx="337">
                  <c:v>79.187234954064024</c:v>
                </c:pt>
                <c:pt idx="338">
                  <c:v>79.692215176726677</c:v>
                </c:pt>
                <c:pt idx="339">
                  <c:v>80.469340661105832</c:v>
                </c:pt>
                <c:pt idx="340">
                  <c:v>80.807303101769548</c:v>
                </c:pt>
                <c:pt idx="341">
                  <c:v>81.375300129745057</c:v>
                </c:pt>
                <c:pt idx="342">
                  <c:v>81.840272735776523</c:v>
                </c:pt>
                <c:pt idx="343">
                  <c:v>81.850116629330842</c:v>
                </c:pt>
                <c:pt idx="344">
                  <c:v>82.055251660968253</c:v>
                </c:pt>
                <c:pt idx="345">
                  <c:v>82.385188247305109</c:v>
                </c:pt>
                <c:pt idx="346">
                  <c:v>83.102042352056685</c:v>
                </c:pt>
                <c:pt idx="347">
                  <c:v>83.112132856110577</c:v>
                </c:pt>
                <c:pt idx="348">
                  <c:v>83.435859119349487</c:v>
                </c:pt>
                <c:pt idx="349">
                  <c:v>83.828592964914236</c:v>
                </c:pt>
                <c:pt idx="350">
                  <c:v>84.424676664197904</c:v>
                </c:pt>
                <c:pt idx="351">
                  <c:v>84.568781549645479</c:v>
                </c:pt>
                <c:pt idx="352">
                  <c:v>84.616012921481513</c:v>
                </c:pt>
                <c:pt idx="353">
                  <c:v>85.539332841070433</c:v>
                </c:pt>
                <c:pt idx="354">
                  <c:v>86.360374452073046</c:v>
                </c:pt>
                <c:pt idx="355">
                  <c:v>86.411948094873736</c:v>
                </c:pt>
                <c:pt idx="356">
                  <c:v>87.322567865334491</c:v>
                </c:pt>
                <c:pt idx="357">
                  <c:v>87.330622172304004</c:v>
                </c:pt>
                <c:pt idx="358">
                  <c:v>87.438240257014286</c:v>
                </c:pt>
                <c:pt idx="359">
                  <c:v>87.641041008007534</c:v>
                </c:pt>
                <c:pt idx="360">
                  <c:v>87.954929382308791</c:v>
                </c:pt>
                <c:pt idx="361">
                  <c:v>89.518078803753326</c:v>
                </c:pt>
                <c:pt idx="362">
                  <c:v>89.77214448624045</c:v>
                </c:pt>
                <c:pt idx="363">
                  <c:v>90.385996405680004</c:v>
                </c:pt>
                <c:pt idx="364">
                  <c:v>91.739170360119886</c:v>
                </c:pt>
                <c:pt idx="365">
                  <c:v>91.774135445520841</c:v>
                </c:pt>
                <c:pt idx="366">
                  <c:v>92.682361897105466</c:v>
                </c:pt>
                <c:pt idx="367">
                  <c:v>94.440649573070829</c:v>
                </c:pt>
                <c:pt idx="368">
                  <c:v>94.813667082402333</c:v>
                </c:pt>
                <c:pt idx="369">
                  <c:v>95.21335755440316</c:v>
                </c:pt>
                <c:pt idx="370">
                  <c:v>95.341556697815548</c:v>
                </c:pt>
                <c:pt idx="371">
                  <c:v>95.356280786453311</c:v>
                </c:pt>
                <c:pt idx="372">
                  <c:v>95.517217344235263</c:v>
                </c:pt>
                <c:pt idx="373">
                  <c:v>95.552136161246125</c:v>
                </c:pt>
                <c:pt idx="374">
                  <c:v>97.443430996053706</c:v>
                </c:pt>
                <c:pt idx="375">
                  <c:v>98.236119820871863</c:v>
                </c:pt>
                <c:pt idx="376">
                  <c:v>99.368503665647353</c:v>
                </c:pt>
                <c:pt idx="377">
                  <c:v>99.456198144694696</c:v>
                </c:pt>
                <c:pt idx="378">
                  <c:v>102.46577446392527</c:v>
                </c:pt>
                <c:pt idx="379">
                  <c:v>102.59274788889496</c:v>
                </c:pt>
                <c:pt idx="380">
                  <c:v>102.9597492250486</c:v>
                </c:pt>
                <c:pt idx="381">
                  <c:v>103.69325355170002</c:v>
                </c:pt>
                <c:pt idx="382">
                  <c:v>104.41815381525623</c:v>
                </c:pt>
                <c:pt idx="383">
                  <c:v>105.67619626224732</c:v>
                </c:pt>
                <c:pt idx="384">
                  <c:v>106.83909904540923</c:v>
                </c:pt>
                <c:pt idx="385">
                  <c:v>108.14003283209149</c:v>
                </c:pt>
                <c:pt idx="386">
                  <c:v>110.22295668381093</c:v>
                </c:pt>
                <c:pt idx="387">
                  <c:v>110.57842228117931</c:v>
                </c:pt>
                <c:pt idx="388">
                  <c:v>110.77506591467653</c:v>
                </c:pt>
                <c:pt idx="389">
                  <c:v>110.99658471754952</c:v>
                </c:pt>
                <c:pt idx="390">
                  <c:v>112.36464644728957</c:v>
                </c:pt>
                <c:pt idx="391">
                  <c:v>112.64531051848547</c:v>
                </c:pt>
                <c:pt idx="392">
                  <c:v>113.80573865130458</c:v>
                </c:pt>
                <c:pt idx="393">
                  <c:v>114.2160551765223</c:v>
                </c:pt>
                <c:pt idx="394">
                  <c:v>114.69921989883251</c:v>
                </c:pt>
                <c:pt idx="395">
                  <c:v>116.02878084935568</c:v>
                </c:pt>
                <c:pt idx="396">
                  <c:v>117.83699507073496</c:v>
                </c:pt>
                <c:pt idx="397">
                  <c:v>121.02515210562922</c:v>
                </c:pt>
                <c:pt idx="398">
                  <c:v>121.58135734897576</c:v>
                </c:pt>
                <c:pt idx="399">
                  <c:v>122.07872879167309</c:v>
                </c:pt>
                <c:pt idx="400">
                  <c:v>123.65728938081116</c:v>
                </c:pt>
                <c:pt idx="401">
                  <c:v>124.57104361170076</c:v>
                </c:pt>
                <c:pt idx="402">
                  <c:v>124.97106669280342</c:v>
                </c:pt>
                <c:pt idx="403">
                  <c:v>125.90483693479217</c:v>
                </c:pt>
                <c:pt idx="404">
                  <c:v>126.09067944663397</c:v>
                </c:pt>
                <c:pt idx="405">
                  <c:v>126.13564169663584</c:v>
                </c:pt>
                <c:pt idx="406">
                  <c:v>126.79051683596236</c:v>
                </c:pt>
                <c:pt idx="407">
                  <c:v>127.11615593684684</c:v>
                </c:pt>
                <c:pt idx="408">
                  <c:v>129.10540254731342</c:v>
                </c:pt>
                <c:pt idx="409">
                  <c:v>129.90550284908289</c:v>
                </c:pt>
                <c:pt idx="410">
                  <c:v>133.91393463923848</c:v>
                </c:pt>
                <c:pt idx="411">
                  <c:v>134.15556853824583</c:v>
                </c:pt>
                <c:pt idx="412">
                  <c:v>134.27778596587973</c:v>
                </c:pt>
                <c:pt idx="413">
                  <c:v>134.7033837890134</c:v>
                </c:pt>
                <c:pt idx="414">
                  <c:v>136.9184476358364</c:v>
                </c:pt>
                <c:pt idx="415">
                  <c:v>137.0671225946179</c:v>
                </c:pt>
                <c:pt idx="416">
                  <c:v>137.20366199898248</c:v>
                </c:pt>
                <c:pt idx="417">
                  <c:v>137.24894038231781</c:v>
                </c:pt>
                <c:pt idx="418">
                  <c:v>139.73077011462539</c:v>
                </c:pt>
                <c:pt idx="419">
                  <c:v>140.66304791728996</c:v>
                </c:pt>
                <c:pt idx="420">
                  <c:v>141.16168460999515</c:v>
                </c:pt>
                <c:pt idx="421">
                  <c:v>141.40468021253028</c:v>
                </c:pt>
                <c:pt idx="422">
                  <c:v>141.86269511543634</c:v>
                </c:pt>
                <c:pt idx="423">
                  <c:v>142.00912114587874</c:v>
                </c:pt>
                <c:pt idx="424">
                  <c:v>143.46661787753857</c:v>
                </c:pt>
                <c:pt idx="425">
                  <c:v>145.17585727537093</c:v>
                </c:pt>
                <c:pt idx="426">
                  <c:v>145.79543399618689</c:v>
                </c:pt>
                <c:pt idx="427">
                  <c:v>145.85551528328804</c:v>
                </c:pt>
                <c:pt idx="428">
                  <c:v>146.67690536798355</c:v>
                </c:pt>
                <c:pt idx="429">
                  <c:v>147.46169064222747</c:v>
                </c:pt>
                <c:pt idx="430">
                  <c:v>148.57076365932494</c:v>
                </c:pt>
                <c:pt idx="431">
                  <c:v>150.00629694318889</c:v>
                </c:pt>
                <c:pt idx="432">
                  <c:v>150.85718499278983</c:v>
                </c:pt>
                <c:pt idx="433">
                  <c:v>151.76588900758244</c:v>
                </c:pt>
                <c:pt idx="434">
                  <c:v>153.46214921989292</c:v>
                </c:pt>
                <c:pt idx="435">
                  <c:v>153.76744907044014</c:v>
                </c:pt>
                <c:pt idx="436">
                  <c:v>153.78735871590277</c:v>
                </c:pt>
                <c:pt idx="437">
                  <c:v>154.08791879060445</c:v>
                </c:pt>
                <c:pt idx="438">
                  <c:v>154.24582126753006</c:v>
                </c:pt>
                <c:pt idx="439">
                  <c:v>154.70549614810005</c:v>
                </c:pt>
                <c:pt idx="440">
                  <c:v>155.5378482692945</c:v>
                </c:pt>
                <c:pt idx="441">
                  <c:v>156.39680863885269</c:v>
                </c:pt>
                <c:pt idx="442">
                  <c:v>156.50343036669969</c:v>
                </c:pt>
                <c:pt idx="443">
                  <c:v>158.31179262805279</c:v>
                </c:pt>
                <c:pt idx="444">
                  <c:v>159.43725988527785</c:v>
                </c:pt>
                <c:pt idx="445">
                  <c:v>161.39465550967765</c:v>
                </c:pt>
                <c:pt idx="446">
                  <c:v>161.70580302794207</c:v>
                </c:pt>
                <c:pt idx="447">
                  <c:v>162.63923272407382</c:v>
                </c:pt>
                <c:pt idx="448">
                  <c:v>165.63073640089669</c:v>
                </c:pt>
                <c:pt idx="449">
                  <c:v>168.32921493548804</c:v>
                </c:pt>
                <c:pt idx="450">
                  <c:v>170.18437482582601</c:v>
                </c:pt>
                <c:pt idx="451">
                  <c:v>172.8074737245415</c:v>
                </c:pt>
                <c:pt idx="452">
                  <c:v>173.00029291529327</c:v>
                </c:pt>
                <c:pt idx="453">
                  <c:v>173.67313155647452</c:v>
                </c:pt>
                <c:pt idx="454">
                  <c:v>174.72008622637898</c:v>
                </c:pt>
                <c:pt idx="455">
                  <c:v>174.84948622200196</c:v>
                </c:pt>
                <c:pt idx="456">
                  <c:v>177.01531436597963</c:v>
                </c:pt>
                <c:pt idx="457">
                  <c:v>177.50131139847556</c:v>
                </c:pt>
                <c:pt idx="458">
                  <c:v>177.67548576690092</c:v>
                </c:pt>
                <c:pt idx="459">
                  <c:v>178.21906067935049</c:v>
                </c:pt>
                <c:pt idx="460">
                  <c:v>179.70636061424912</c:v>
                </c:pt>
                <c:pt idx="461">
                  <c:v>180.32563473135474</c:v>
                </c:pt>
                <c:pt idx="462">
                  <c:v>180.58083056748009</c:v>
                </c:pt>
                <c:pt idx="463">
                  <c:v>182.33864050375317</c:v>
                </c:pt>
                <c:pt idx="464">
                  <c:v>182.56575809222454</c:v>
                </c:pt>
                <c:pt idx="465">
                  <c:v>182.70116525131127</c:v>
                </c:pt>
                <c:pt idx="466">
                  <c:v>182.84725200142486</c:v>
                </c:pt>
                <c:pt idx="467">
                  <c:v>184.5875189661042</c:v>
                </c:pt>
                <c:pt idx="468">
                  <c:v>184.6375695944518</c:v>
                </c:pt>
                <c:pt idx="469">
                  <c:v>184.94264478123071</c:v>
                </c:pt>
                <c:pt idx="470">
                  <c:v>189.97688561202617</c:v>
                </c:pt>
                <c:pt idx="471">
                  <c:v>190.64592292464556</c:v>
                </c:pt>
                <c:pt idx="472">
                  <c:v>191.62482289043655</c:v>
                </c:pt>
                <c:pt idx="473">
                  <c:v>191.76207347760726</c:v>
                </c:pt>
                <c:pt idx="474">
                  <c:v>195.2995962776979</c:v>
                </c:pt>
                <c:pt idx="475">
                  <c:v>200.49365772177717</c:v>
                </c:pt>
                <c:pt idx="476">
                  <c:v>201.21865718420537</c:v>
                </c:pt>
                <c:pt idx="477">
                  <c:v>201.60301766562461</c:v>
                </c:pt>
                <c:pt idx="478">
                  <c:v>204.51012483090938</c:v>
                </c:pt>
                <c:pt idx="479">
                  <c:v>207.5858935757486</c:v>
                </c:pt>
                <c:pt idx="480">
                  <c:v>209.33407754083962</c:v>
                </c:pt>
                <c:pt idx="481">
                  <c:v>212.12653066305842</c:v>
                </c:pt>
                <c:pt idx="482">
                  <c:v>217.55569349775203</c:v>
                </c:pt>
                <c:pt idx="483">
                  <c:v>217.71819228895185</c:v>
                </c:pt>
                <c:pt idx="484">
                  <c:v>218.52193580242556</c:v>
                </c:pt>
                <c:pt idx="485">
                  <c:v>218.59587881977899</c:v>
                </c:pt>
                <c:pt idx="486">
                  <c:v>219.05538444903513</c:v>
                </c:pt>
                <c:pt idx="487">
                  <c:v>219.95277958569383</c:v>
                </c:pt>
                <c:pt idx="488">
                  <c:v>221.2249133080646</c:v>
                </c:pt>
                <c:pt idx="489">
                  <c:v>227.86470999483876</c:v>
                </c:pt>
                <c:pt idx="490">
                  <c:v>231.54860548148037</c:v>
                </c:pt>
                <c:pt idx="491">
                  <c:v>235.88020077805692</c:v>
                </c:pt>
                <c:pt idx="492">
                  <c:v>236.62193434064861</c:v>
                </c:pt>
                <c:pt idx="493">
                  <c:v>236.64881390177251</c:v>
                </c:pt>
                <c:pt idx="494">
                  <c:v>242.03804649624107</c:v>
                </c:pt>
                <c:pt idx="495">
                  <c:v>247.2994411355514</c:v>
                </c:pt>
                <c:pt idx="496">
                  <c:v>253.42989623103614</c:v>
                </c:pt>
                <c:pt idx="497">
                  <c:v>275.41261216751292</c:v>
                </c:pt>
                <c:pt idx="498">
                  <c:v>293.97267708881191</c:v>
                </c:pt>
                <c:pt idx="499">
                  <c:v>312.61294434663751</c:v>
                </c:pt>
              </c:numCache>
            </c:numRef>
          </c:xVal>
          <c:yVal>
            <c:numRef>
              <c:f>SimDataScen!$O$7:$O$506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axId val="162636160"/>
        <c:axId val="162637696"/>
      </c:scatterChart>
      <c:valAx>
        <c:axId val="162636160"/>
        <c:scaling>
          <c:orientation val="minMax"/>
          <c:max val="600"/>
          <c:min val="-15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637696"/>
        <c:crosses val="autoZero"/>
        <c:crossBetween val="midCat"/>
      </c:valAx>
      <c:valAx>
        <c:axId val="16263769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2.7979288768665383E-2"/>
              <c:y val="0.4269207861822513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636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656748227386369"/>
          <c:y val="0.88433591423466351"/>
          <c:w val="0.5473448365370166"/>
          <c:h val="8.76712328767123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83906770255271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164261931187568E-2"/>
          <c:y val="0.11092985318107668"/>
          <c:w val="0.92119866814650386"/>
          <c:h val="0.82381729200652531"/>
        </c:manualLayout>
      </c:layout>
      <c:scatterChart>
        <c:scatterStyle val="smoothMarker"/>
        <c:ser>
          <c:idx val="0"/>
          <c:order val="0"/>
          <c:tx>
            <c:strRef>
              <c:f>'Iter No Test'!$AQ$2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'Iter No Test'!$AQ$3:$AQ$5002</c:f>
              <c:numCache>
                <c:formatCode>General</c:formatCode>
                <c:ptCount val="5000"/>
                <c:pt idx="0">
                  <c:v>-48.966575167730802</c:v>
                </c:pt>
                <c:pt idx="1">
                  <c:v>-33.631303029724506</c:v>
                </c:pt>
                <c:pt idx="2">
                  <c:v>-25.84507911821288</c:v>
                </c:pt>
                <c:pt idx="3">
                  <c:v>-17.990702386754919</c:v>
                </c:pt>
                <c:pt idx="4">
                  <c:v>-12.863866510431677</c:v>
                </c:pt>
                <c:pt idx="5">
                  <c:v>-8.2400170628322087</c:v>
                </c:pt>
                <c:pt idx="6">
                  <c:v>-1.6854059086602717</c:v>
                </c:pt>
                <c:pt idx="7">
                  <c:v>2.2432731899781828</c:v>
                </c:pt>
                <c:pt idx="8">
                  <c:v>5.2950238148514046</c:v>
                </c:pt>
                <c:pt idx="9">
                  <c:v>7.9684706307831021</c:v>
                </c:pt>
                <c:pt idx="10">
                  <c:v>8.1709001967484198</c:v>
                </c:pt>
                <c:pt idx="11">
                  <c:v>8.869050960936022</c:v>
                </c:pt>
                <c:pt idx="12">
                  <c:v>10.937277895556534</c:v>
                </c:pt>
                <c:pt idx="13">
                  <c:v>13.188949363526703</c:v>
                </c:pt>
                <c:pt idx="14">
                  <c:v>13.207991568773224</c:v>
                </c:pt>
                <c:pt idx="15">
                  <c:v>13.486631766823052</c:v>
                </c:pt>
                <c:pt idx="16">
                  <c:v>14.729905048832279</c:v>
                </c:pt>
                <c:pt idx="17">
                  <c:v>15.492316482467515</c:v>
                </c:pt>
                <c:pt idx="18">
                  <c:v>16.572561340708461</c:v>
                </c:pt>
                <c:pt idx="19">
                  <c:v>18.700770844803472</c:v>
                </c:pt>
                <c:pt idx="20">
                  <c:v>19.114779677326823</c:v>
                </c:pt>
                <c:pt idx="21">
                  <c:v>21.584185751102424</c:v>
                </c:pt>
                <c:pt idx="22">
                  <c:v>24.738352438364316</c:v>
                </c:pt>
                <c:pt idx="23">
                  <c:v>26.158232728139083</c:v>
                </c:pt>
                <c:pt idx="24">
                  <c:v>26.265799412891766</c:v>
                </c:pt>
                <c:pt idx="25">
                  <c:v>26.268736637106542</c:v>
                </c:pt>
                <c:pt idx="26">
                  <c:v>28.115944871217422</c:v>
                </c:pt>
                <c:pt idx="27">
                  <c:v>28.610308963344067</c:v>
                </c:pt>
                <c:pt idx="28">
                  <c:v>28.883373759336209</c:v>
                </c:pt>
                <c:pt idx="29">
                  <c:v>29.680922461449171</c:v>
                </c:pt>
                <c:pt idx="30">
                  <c:v>29.953301959133668</c:v>
                </c:pt>
                <c:pt idx="31">
                  <c:v>30.151783000502604</c:v>
                </c:pt>
                <c:pt idx="32">
                  <c:v>30.353028290416148</c:v>
                </c:pt>
                <c:pt idx="33">
                  <c:v>30.759694456163771</c:v>
                </c:pt>
                <c:pt idx="34">
                  <c:v>30.89743587239272</c:v>
                </c:pt>
                <c:pt idx="35">
                  <c:v>31.167079807533767</c:v>
                </c:pt>
                <c:pt idx="36">
                  <c:v>32.123352950117891</c:v>
                </c:pt>
                <c:pt idx="37">
                  <c:v>32.242390066445054</c:v>
                </c:pt>
                <c:pt idx="38">
                  <c:v>32.868153165706616</c:v>
                </c:pt>
                <c:pt idx="39">
                  <c:v>33.547854777038239</c:v>
                </c:pt>
                <c:pt idx="40">
                  <c:v>35.344116149723661</c:v>
                </c:pt>
                <c:pt idx="41">
                  <c:v>35.640469691204032</c:v>
                </c:pt>
                <c:pt idx="42">
                  <c:v>36.076436087868871</c:v>
                </c:pt>
                <c:pt idx="43">
                  <c:v>36.133446420089712</c:v>
                </c:pt>
                <c:pt idx="44">
                  <c:v>36.171362687698547</c:v>
                </c:pt>
                <c:pt idx="45">
                  <c:v>36.522089971857525</c:v>
                </c:pt>
                <c:pt idx="46">
                  <c:v>36.98981931928904</c:v>
                </c:pt>
                <c:pt idx="47">
                  <c:v>37.487878569466574</c:v>
                </c:pt>
                <c:pt idx="48">
                  <c:v>37.49160340958116</c:v>
                </c:pt>
                <c:pt idx="49">
                  <c:v>38.599441081564521</c:v>
                </c:pt>
                <c:pt idx="50">
                  <c:v>39.27277743874447</c:v>
                </c:pt>
                <c:pt idx="51">
                  <c:v>40.906381295866936</c:v>
                </c:pt>
                <c:pt idx="52">
                  <c:v>41.019109583964322</c:v>
                </c:pt>
                <c:pt idx="53">
                  <c:v>42.099247758047099</c:v>
                </c:pt>
                <c:pt idx="54">
                  <c:v>42.24981022606093</c:v>
                </c:pt>
                <c:pt idx="55">
                  <c:v>42.27559022007901</c:v>
                </c:pt>
                <c:pt idx="56">
                  <c:v>42.433932379165583</c:v>
                </c:pt>
                <c:pt idx="57">
                  <c:v>42.682236013586035</c:v>
                </c:pt>
                <c:pt idx="58">
                  <c:v>42.749822116303704</c:v>
                </c:pt>
                <c:pt idx="59">
                  <c:v>43.206887615829615</c:v>
                </c:pt>
                <c:pt idx="60">
                  <c:v>43.360385033288551</c:v>
                </c:pt>
                <c:pt idx="61">
                  <c:v>43.684547195146138</c:v>
                </c:pt>
                <c:pt idx="62">
                  <c:v>44.109540584433049</c:v>
                </c:pt>
                <c:pt idx="63">
                  <c:v>44.578876328477591</c:v>
                </c:pt>
                <c:pt idx="64">
                  <c:v>44.839270307287109</c:v>
                </c:pt>
                <c:pt idx="65">
                  <c:v>44.980144343151068</c:v>
                </c:pt>
                <c:pt idx="66">
                  <c:v>45.572193972098262</c:v>
                </c:pt>
                <c:pt idx="67">
                  <c:v>45.921607511802478</c:v>
                </c:pt>
                <c:pt idx="68">
                  <c:v>45.938698927979502</c:v>
                </c:pt>
                <c:pt idx="69">
                  <c:v>46.005150118301309</c:v>
                </c:pt>
                <c:pt idx="70">
                  <c:v>46.247503305452597</c:v>
                </c:pt>
                <c:pt idx="71">
                  <c:v>46.850035083494745</c:v>
                </c:pt>
                <c:pt idx="72">
                  <c:v>46.895956103817781</c:v>
                </c:pt>
                <c:pt idx="73">
                  <c:v>47.003435730026766</c:v>
                </c:pt>
                <c:pt idx="74">
                  <c:v>47.559318616550613</c:v>
                </c:pt>
                <c:pt idx="75">
                  <c:v>47.694024383319729</c:v>
                </c:pt>
                <c:pt idx="76">
                  <c:v>48.306553074290321</c:v>
                </c:pt>
                <c:pt idx="77">
                  <c:v>48.390964909039894</c:v>
                </c:pt>
                <c:pt idx="78">
                  <c:v>48.52589729935697</c:v>
                </c:pt>
                <c:pt idx="79">
                  <c:v>49.174546638165907</c:v>
                </c:pt>
                <c:pt idx="80">
                  <c:v>50.51843626125499</c:v>
                </c:pt>
                <c:pt idx="81">
                  <c:v>50.726965695049458</c:v>
                </c:pt>
                <c:pt idx="82">
                  <c:v>51.116664904356398</c:v>
                </c:pt>
                <c:pt idx="83">
                  <c:v>51.178676789683465</c:v>
                </c:pt>
                <c:pt idx="84">
                  <c:v>51.288313050698648</c:v>
                </c:pt>
                <c:pt idx="85">
                  <c:v>51.908674287974762</c:v>
                </c:pt>
                <c:pt idx="86">
                  <c:v>52.114582832022876</c:v>
                </c:pt>
                <c:pt idx="87">
                  <c:v>52.158737634299484</c:v>
                </c:pt>
                <c:pt idx="88">
                  <c:v>52.478577022953459</c:v>
                </c:pt>
                <c:pt idx="89">
                  <c:v>52.81270778652474</c:v>
                </c:pt>
                <c:pt idx="90">
                  <c:v>52.844429988947908</c:v>
                </c:pt>
                <c:pt idx="91">
                  <c:v>52.86836797346119</c:v>
                </c:pt>
                <c:pt idx="92">
                  <c:v>52.950853540905612</c:v>
                </c:pt>
                <c:pt idx="93">
                  <c:v>53.061877934036261</c:v>
                </c:pt>
                <c:pt idx="94">
                  <c:v>53.164314672811201</c:v>
                </c:pt>
                <c:pt idx="95">
                  <c:v>53.927195992312903</c:v>
                </c:pt>
                <c:pt idx="96">
                  <c:v>54.097996269958173</c:v>
                </c:pt>
                <c:pt idx="97">
                  <c:v>54.227396248662757</c:v>
                </c:pt>
                <c:pt idx="98">
                  <c:v>54.471113447497203</c:v>
                </c:pt>
                <c:pt idx="99">
                  <c:v>54.511872192669472</c:v>
                </c:pt>
                <c:pt idx="100">
                  <c:v>54.751187443434347</c:v>
                </c:pt>
                <c:pt idx="101">
                  <c:v>54.870935894891602</c:v>
                </c:pt>
                <c:pt idx="102">
                  <c:v>54.872841112177241</c:v>
                </c:pt>
                <c:pt idx="103">
                  <c:v>55.084390382039828</c:v>
                </c:pt>
                <c:pt idx="104">
                  <c:v>55.120707557525577</c:v>
                </c:pt>
                <c:pt idx="105">
                  <c:v>55.139108409252515</c:v>
                </c:pt>
                <c:pt idx="106">
                  <c:v>55.259325935735561</c:v>
                </c:pt>
                <c:pt idx="107">
                  <c:v>55.697382353432289</c:v>
                </c:pt>
                <c:pt idx="108">
                  <c:v>56.223733744937206</c:v>
                </c:pt>
                <c:pt idx="109">
                  <c:v>56.229697810325575</c:v>
                </c:pt>
                <c:pt idx="110">
                  <c:v>56.325511759234558</c:v>
                </c:pt>
                <c:pt idx="111">
                  <c:v>56.419970548353206</c:v>
                </c:pt>
                <c:pt idx="112">
                  <c:v>56.483556772849823</c:v>
                </c:pt>
                <c:pt idx="113">
                  <c:v>56.488855662845253</c:v>
                </c:pt>
                <c:pt idx="114">
                  <c:v>56.983499944200148</c:v>
                </c:pt>
                <c:pt idx="115">
                  <c:v>57.032836783285063</c:v>
                </c:pt>
                <c:pt idx="116">
                  <c:v>57.700890250855394</c:v>
                </c:pt>
                <c:pt idx="117">
                  <c:v>57.832948065496822</c:v>
                </c:pt>
                <c:pt idx="118">
                  <c:v>58.084015282170895</c:v>
                </c:pt>
                <c:pt idx="119">
                  <c:v>59.503708534124456</c:v>
                </c:pt>
                <c:pt idx="120">
                  <c:v>59.676661601537418</c:v>
                </c:pt>
                <c:pt idx="121">
                  <c:v>59.876729991428704</c:v>
                </c:pt>
                <c:pt idx="122">
                  <c:v>59.999477900759885</c:v>
                </c:pt>
                <c:pt idx="123">
                  <c:v>60.266183121924485</c:v>
                </c:pt>
                <c:pt idx="124">
                  <c:v>60.671212082180205</c:v>
                </c:pt>
                <c:pt idx="125">
                  <c:v>60.808962995654667</c:v>
                </c:pt>
                <c:pt idx="126">
                  <c:v>60.848688071792907</c:v>
                </c:pt>
                <c:pt idx="127">
                  <c:v>60.869579854266746</c:v>
                </c:pt>
                <c:pt idx="128">
                  <c:v>61.092317983238303</c:v>
                </c:pt>
                <c:pt idx="129">
                  <c:v>61.114230681426534</c:v>
                </c:pt>
                <c:pt idx="130">
                  <c:v>61.172285964849223</c:v>
                </c:pt>
                <c:pt idx="131">
                  <c:v>62.078421567418715</c:v>
                </c:pt>
                <c:pt idx="132">
                  <c:v>62.463318176180536</c:v>
                </c:pt>
                <c:pt idx="133">
                  <c:v>62.74469133061784</c:v>
                </c:pt>
                <c:pt idx="134">
                  <c:v>63.009782961633704</c:v>
                </c:pt>
                <c:pt idx="135">
                  <c:v>63.370147689355079</c:v>
                </c:pt>
                <c:pt idx="136">
                  <c:v>63.479906843320876</c:v>
                </c:pt>
                <c:pt idx="137">
                  <c:v>63.576096958374578</c:v>
                </c:pt>
                <c:pt idx="138">
                  <c:v>63.579060837751797</c:v>
                </c:pt>
                <c:pt idx="139">
                  <c:v>63.58227620062307</c:v>
                </c:pt>
                <c:pt idx="140">
                  <c:v>63.854759604229912</c:v>
                </c:pt>
                <c:pt idx="141">
                  <c:v>63.944377847923676</c:v>
                </c:pt>
                <c:pt idx="142">
                  <c:v>63.960779611918412</c:v>
                </c:pt>
                <c:pt idx="143">
                  <c:v>64.000256222790284</c:v>
                </c:pt>
                <c:pt idx="144">
                  <c:v>64.18671678096203</c:v>
                </c:pt>
                <c:pt idx="145">
                  <c:v>64.9440523435578</c:v>
                </c:pt>
                <c:pt idx="146">
                  <c:v>65.009687958173402</c:v>
                </c:pt>
                <c:pt idx="147">
                  <c:v>65.104509083830294</c:v>
                </c:pt>
                <c:pt idx="148">
                  <c:v>65.11578504733771</c:v>
                </c:pt>
                <c:pt idx="149">
                  <c:v>65.444818081469691</c:v>
                </c:pt>
                <c:pt idx="150">
                  <c:v>66.140467937441358</c:v>
                </c:pt>
                <c:pt idx="151">
                  <c:v>66.429490961419759</c:v>
                </c:pt>
                <c:pt idx="152">
                  <c:v>66.643904483790323</c:v>
                </c:pt>
                <c:pt idx="153">
                  <c:v>67.0187577125578</c:v>
                </c:pt>
                <c:pt idx="154">
                  <c:v>67.218390858227195</c:v>
                </c:pt>
                <c:pt idx="155">
                  <c:v>67.55197034614595</c:v>
                </c:pt>
                <c:pt idx="156">
                  <c:v>67.68703009354536</c:v>
                </c:pt>
                <c:pt idx="157">
                  <c:v>68.02109964696244</c:v>
                </c:pt>
                <c:pt idx="158">
                  <c:v>68.070684298227491</c:v>
                </c:pt>
                <c:pt idx="159">
                  <c:v>68.076246048754484</c:v>
                </c:pt>
                <c:pt idx="160">
                  <c:v>68.077379186529811</c:v>
                </c:pt>
                <c:pt idx="161">
                  <c:v>68.251723347358507</c:v>
                </c:pt>
                <c:pt idx="162">
                  <c:v>68.68006820272322</c:v>
                </c:pt>
                <c:pt idx="163">
                  <c:v>69.17608530262514</c:v>
                </c:pt>
                <c:pt idx="164">
                  <c:v>69.654593072621935</c:v>
                </c:pt>
                <c:pt idx="165">
                  <c:v>70.05935716696537</c:v>
                </c:pt>
                <c:pt idx="166">
                  <c:v>70.143686385089723</c:v>
                </c:pt>
                <c:pt idx="167">
                  <c:v>70.341402732511881</c:v>
                </c:pt>
                <c:pt idx="168">
                  <c:v>70.429128543397439</c:v>
                </c:pt>
                <c:pt idx="169">
                  <c:v>70.574173547008016</c:v>
                </c:pt>
                <c:pt idx="170">
                  <c:v>70.605007477337097</c:v>
                </c:pt>
                <c:pt idx="171">
                  <c:v>70.633956136570148</c:v>
                </c:pt>
                <c:pt idx="172">
                  <c:v>71.146062658950797</c:v>
                </c:pt>
                <c:pt idx="173">
                  <c:v>71.404392086886617</c:v>
                </c:pt>
                <c:pt idx="174">
                  <c:v>71.496033399720474</c:v>
                </c:pt>
                <c:pt idx="175">
                  <c:v>71.505341728543456</c:v>
                </c:pt>
                <c:pt idx="176">
                  <c:v>71.631006047318408</c:v>
                </c:pt>
                <c:pt idx="177">
                  <c:v>71.696704937980854</c:v>
                </c:pt>
                <c:pt idx="178">
                  <c:v>71.754283073058957</c:v>
                </c:pt>
                <c:pt idx="179">
                  <c:v>71.910806684623566</c:v>
                </c:pt>
                <c:pt idx="180">
                  <c:v>71.941958450486041</c:v>
                </c:pt>
                <c:pt idx="181">
                  <c:v>72.135575687589437</c:v>
                </c:pt>
                <c:pt idx="182">
                  <c:v>72.249310060488483</c:v>
                </c:pt>
                <c:pt idx="183">
                  <c:v>72.421830102488826</c:v>
                </c:pt>
                <c:pt idx="184">
                  <c:v>72.615683501220502</c:v>
                </c:pt>
                <c:pt idx="185">
                  <c:v>72.808022777006272</c:v>
                </c:pt>
                <c:pt idx="186">
                  <c:v>72.977950294915473</c:v>
                </c:pt>
                <c:pt idx="187">
                  <c:v>72.98684113794701</c:v>
                </c:pt>
                <c:pt idx="188">
                  <c:v>73.00613074801538</c:v>
                </c:pt>
                <c:pt idx="189">
                  <c:v>73.050449213680466</c:v>
                </c:pt>
                <c:pt idx="190">
                  <c:v>73.257058161179472</c:v>
                </c:pt>
                <c:pt idx="191">
                  <c:v>73.316958963468494</c:v>
                </c:pt>
                <c:pt idx="192">
                  <c:v>73.622200088908301</c:v>
                </c:pt>
                <c:pt idx="193">
                  <c:v>73.66261144769291</c:v>
                </c:pt>
                <c:pt idx="194">
                  <c:v>73.733633387192114</c:v>
                </c:pt>
                <c:pt idx="195">
                  <c:v>73.813894598305993</c:v>
                </c:pt>
                <c:pt idx="196">
                  <c:v>73.912210970413241</c:v>
                </c:pt>
                <c:pt idx="197">
                  <c:v>74.134810871912734</c:v>
                </c:pt>
                <c:pt idx="198">
                  <c:v>74.162985110151709</c:v>
                </c:pt>
                <c:pt idx="199">
                  <c:v>74.184912184576575</c:v>
                </c:pt>
                <c:pt idx="200">
                  <c:v>74.231228442358116</c:v>
                </c:pt>
                <c:pt idx="201">
                  <c:v>74.48942841669033</c:v>
                </c:pt>
                <c:pt idx="202">
                  <c:v>74.658097603469358</c:v>
                </c:pt>
                <c:pt idx="203">
                  <c:v>74.85230922184337</c:v>
                </c:pt>
                <c:pt idx="204">
                  <c:v>75.145813232845683</c:v>
                </c:pt>
                <c:pt idx="205">
                  <c:v>75.160967773552173</c:v>
                </c:pt>
                <c:pt idx="206">
                  <c:v>75.275051869951966</c:v>
                </c:pt>
                <c:pt idx="207">
                  <c:v>75.441139830288037</c:v>
                </c:pt>
                <c:pt idx="208">
                  <c:v>75.590494327453285</c:v>
                </c:pt>
                <c:pt idx="209">
                  <c:v>75.794450089332116</c:v>
                </c:pt>
                <c:pt idx="210">
                  <c:v>75.908137022341776</c:v>
                </c:pt>
                <c:pt idx="211">
                  <c:v>75.924754829103051</c:v>
                </c:pt>
                <c:pt idx="212">
                  <c:v>76.235265899440719</c:v>
                </c:pt>
                <c:pt idx="213">
                  <c:v>76.240616357908124</c:v>
                </c:pt>
                <c:pt idx="214">
                  <c:v>76.262742292348193</c:v>
                </c:pt>
                <c:pt idx="215">
                  <c:v>76.491686697253328</c:v>
                </c:pt>
                <c:pt idx="216">
                  <c:v>76.6515814051902</c:v>
                </c:pt>
                <c:pt idx="217">
                  <c:v>76.888223457162297</c:v>
                </c:pt>
                <c:pt idx="218">
                  <c:v>77.301418178489868</c:v>
                </c:pt>
                <c:pt idx="219">
                  <c:v>77.478491301923185</c:v>
                </c:pt>
                <c:pt idx="220">
                  <c:v>77.787171965939805</c:v>
                </c:pt>
                <c:pt idx="221">
                  <c:v>77.862913535017483</c:v>
                </c:pt>
                <c:pt idx="222">
                  <c:v>78.020830613609348</c:v>
                </c:pt>
                <c:pt idx="223">
                  <c:v>78.116813448867234</c:v>
                </c:pt>
                <c:pt idx="224">
                  <c:v>78.127774018851511</c:v>
                </c:pt>
                <c:pt idx="225">
                  <c:v>78.215300936418501</c:v>
                </c:pt>
                <c:pt idx="226">
                  <c:v>78.39406132109103</c:v>
                </c:pt>
                <c:pt idx="227">
                  <c:v>78.502617180320783</c:v>
                </c:pt>
                <c:pt idx="228">
                  <c:v>78.754086821234878</c:v>
                </c:pt>
                <c:pt idx="229">
                  <c:v>78.809304095315483</c:v>
                </c:pt>
                <c:pt idx="230">
                  <c:v>79.268823326834024</c:v>
                </c:pt>
                <c:pt idx="231">
                  <c:v>79.364515913957433</c:v>
                </c:pt>
                <c:pt idx="232">
                  <c:v>79.447709563955527</c:v>
                </c:pt>
                <c:pt idx="233">
                  <c:v>79.812192918207629</c:v>
                </c:pt>
                <c:pt idx="234">
                  <c:v>80.176808328860716</c:v>
                </c:pt>
                <c:pt idx="235">
                  <c:v>80.231445056373673</c:v>
                </c:pt>
                <c:pt idx="236">
                  <c:v>80.231807182384841</c:v>
                </c:pt>
                <c:pt idx="237">
                  <c:v>80.237003644753827</c:v>
                </c:pt>
                <c:pt idx="238">
                  <c:v>80.337769251676306</c:v>
                </c:pt>
                <c:pt idx="239">
                  <c:v>80.338887686972157</c:v>
                </c:pt>
                <c:pt idx="240">
                  <c:v>80.393394456658484</c:v>
                </c:pt>
                <c:pt idx="241">
                  <c:v>80.409907448890479</c:v>
                </c:pt>
                <c:pt idx="242">
                  <c:v>80.412398873678811</c:v>
                </c:pt>
                <c:pt idx="243">
                  <c:v>80.576795566156306</c:v>
                </c:pt>
                <c:pt idx="244">
                  <c:v>80.912243997548188</c:v>
                </c:pt>
                <c:pt idx="245">
                  <c:v>81.022411501704767</c:v>
                </c:pt>
                <c:pt idx="246">
                  <c:v>81.039781545257966</c:v>
                </c:pt>
                <c:pt idx="247">
                  <c:v>81.055006412551222</c:v>
                </c:pt>
                <c:pt idx="248">
                  <c:v>81.127278512495153</c:v>
                </c:pt>
                <c:pt idx="249">
                  <c:v>81.392548402604064</c:v>
                </c:pt>
                <c:pt idx="250">
                  <c:v>81.582612009880577</c:v>
                </c:pt>
                <c:pt idx="251">
                  <c:v>81.771714407895445</c:v>
                </c:pt>
                <c:pt idx="252">
                  <c:v>81.988952027062183</c:v>
                </c:pt>
                <c:pt idx="253">
                  <c:v>82.027726946855054</c:v>
                </c:pt>
                <c:pt idx="254">
                  <c:v>82.196090353717068</c:v>
                </c:pt>
                <c:pt idx="255">
                  <c:v>82.32904252469389</c:v>
                </c:pt>
                <c:pt idx="256">
                  <c:v>82.352596875481069</c:v>
                </c:pt>
                <c:pt idx="257">
                  <c:v>82.431444168171808</c:v>
                </c:pt>
                <c:pt idx="258">
                  <c:v>82.452452421343409</c:v>
                </c:pt>
                <c:pt idx="259">
                  <c:v>82.4682491304292</c:v>
                </c:pt>
                <c:pt idx="260">
                  <c:v>82.5280441924684</c:v>
                </c:pt>
                <c:pt idx="261">
                  <c:v>82.568589215502129</c:v>
                </c:pt>
                <c:pt idx="262">
                  <c:v>82.651468095227784</c:v>
                </c:pt>
                <c:pt idx="263">
                  <c:v>82.699506491461037</c:v>
                </c:pt>
                <c:pt idx="264">
                  <c:v>82.714465686302944</c:v>
                </c:pt>
                <c:pt idx="265">
                  <c:v>82.955411503128829</c:v>
                </c:pt>
                <c:pt idx="266">
                  <c:v>83.174637766614538</c:v>
                </c:pt>
                <c:pt idx="267">
                  <c:v>83.217286004553912</c:v>
                </c:pt>
                <c:pt idx="268">
                  <c:v>83.362506230018255</c:v>
                </c:pt>
                <c:pt idx="269">
                  <c:v>83.573354969458833</c:v>
                </c:pt>
                <c:pt idx="270">
                  <c:v>83.63198655576798</c:v>
                </c:pt>
                <c:pt idx="271">
                  <c:v>83.8175034900772</c:v>
                </c:pt>
                <c:pt idx="272">
                  <c:v>83.83690325926429</c:v>
                </c:pt>
                <c:pt idx="273">
                  <c:v>83.841192098319539</c:v>
                </c:pt>
                <c:pt idx="274">
                  <c:v>84.002149766492678</c:v>
                </c:pt>
                <c:pt idx="275">
                  <c:v>84.031223603995784</c:v>
                </c:pt>
                <c:pt idx="276">
                  <c:v>84.143840468786919</c:v>
                </c:pt>
                <c:pt idx="277">
                  <c:v>84.166580678921179</c:v>
                </c:pt>
                <c:pt idx="278">
                  <c:v>84.16983804593805</c:v>
                </c:pt>
                <c:pt idx="279">
                  <c:v>84.304527809701909</c:v>
                </c:pt>
                <c:pt idx="280">
                  <c:v>84.338756926171982</c:v>
                </c:pt>
                <c:pt idx="281">
                  <c:v>84.598538476665226</c:v>
                </c:pt>
                <c:pt idx="282">
                  <c:v>84.736868367195626</c:v>
                </c:pt>
                <c:pt idx="283">
                  <c:v>84.768788387977565</c:v>
                </c:pt>
                <c:pt idx="284">
                  <c:v>84.860796110676489</c:v>
                </c:pt>
                <c:pt idx="285">
                  <c:v>85.016986039321353</c:v>
                </c:pt>
                <c:pt idx="286">
                  <c:v>85.072788722186445</c:v>
                </c:pt>
                <c:pt idx="287">
                  <c:v>85.169480794139446</c:v>
                </c:pt>
                <c:pt idx="288">
                  <c:v>85.194648797464438</c:v>
                </c:pt>
                <c:pt idx="289">
                  <c:v>85.210394594022347</c:v>
                </c:pt>
                <c:pt idx="290">
                  <c:v>85.391703917574375</c:v>
                </c:pt>
                <c:pt idx="291">
                  <c:v>85.862485367538625</c:v>
                </c:pt>
                <c:pt idx="292">
                  <c:v>86.235201839207093</c:v>
                </c:pt>
                <c:pt idx="293">
                  <c:v>86.297157864775528</c:v>
                </c:pt>
                <c:pt idx="294">
                  <c:v>86.667043193097626</c:v>
                </c:pt>
                <c:pt idx="295">
                  <c:v>86.692467077018932</c:v>
                </c:pt>
                <c:pt idx="296">
                  <c:v>86.962226696036709</c:v>
                </c:pt>
                <c:pt idx="297">
                  <c:v>86.99411537281992</c:v>
                </c:pt>
                <c:pt idx="298">
                  <c:v>87.025662531255861</c:v>
                </c:pt>
                <c:pt idx="299">
                  <c:v>87.125675795522667</c:v>
                </c:pt>
                <c:pt idx="300">
                  <c:v>87.16597146302621</c:v>
                </c:pt>
                <c:pt idx="301">
                  <c:v>87.199511797538733</c:v>
                </c:pt>
                <c:pt idx="302">
                  <c:v>87.293167517097359</c:v>
                </c:pt>
                <c:pt idx="303">
                  <c:v>87.418190190059747</c:v>
                </c:pt>
                <c:pt idx="304">
                  <c:v>87.610762745798922</c:v>
                </c:pt>
                <c:pt idx="305">
                  <c:v>87.62935259182791</c:v>
                </c:pt>
                <c:pt idx="306">
                  <c:v>87.659661918974564</c:v>
                </c:pt>
                <c:pt idx="307">
                  <c:v>87.722736567109422</c:v>
                </c:pt>
                <c:pt idx="308">
                  <c:v>87.893379928180494</c:v>
                </c:pt>
                <c:pt idx="309">
                  <c:v>88.052596700415918</c:v>
                </c:pt>
                <c:pt idx="310">
                  <c:v>88.073141899839925</c:v>
                </c:pt>
                <c:pt idx="311">
                  <c:v>88.155509712362004</c:v>
                </c:pt>
                <c:pt idx="312">
                  <c:v>88.246134283982386</c:v>
                </c:pt>
                <c:pt idx="313">
                  <c:v>88.364468749485326</c:v>
                </c:pt>
                <c:pt idx="314">
                  <c:v>88.420427618290915</c:v>
                </c:pt>
                <c:pt idx="315">
                  <c:v>88.664774910319522</c:v>
                </c:pt>
                <c:pt idx="316">
                  <c:v>88.800466170276437</c:v>
                </c:pt>
                <c:pt idx="317">
                  <c:v>88.914174825135206</c:v>
                </c:pt>
                <c:pt idx="318">
                  <c:v>88.993956528862441</c:v>
                </c:pt>
                <c:pt idx="319">
                  <c:v>88.994064264104566</c:v>
                </c:pt>
                <c:pt idx="320">
                  <c:v>89.024920439614306</c:v>
                </c:pt>
                <c:pt idx="321">
                  <c:v>89.135186561686865</c:v>
                </c:pt>
                <c:pt idx="322">
                  <c:v>89.262367926097937</c:v>
                </c:pt>
                <c:pt idx="323">
                  <c:v>89.396370216853398</c:v>
                </c:pt>
                <c:pt idx="324">
                  <c:v>89.413979086077291</c:v>
                </c:pt>
                <c:pt idx="325">
                  <c:v>89.81113512721285</c:v>
                </c:pt>
                <c:pt idx="326">
                  <c:v>89.840448081979133</c:v>
                </c:pt>
                <c:pt idx="327">
                  <c:v>89.863091961725132</c:v>
                </c:pt>
                <c:pt idx="328">
                  <c:v>89.870245076656971</c:v>
                </c:pt>
                <c:pt idx="329">
                  <c:v>89.882459791477913</c:v>
                </c:pt>
                <c:pt idx="330">
                  <c:v>89.945872403816466</c:v>
                </c:pt>
                <c:pt idx="331">
                  <c:v>89.976043413543366</c:v>
                </c:pt>
                <c:pt idx="332">
                  <c:v>89.994739775330601</c:v>
                </c:pt>
                <c:pt idx="333">
                  <c:v>90.065149374303203</c:v>
                </c:pt>
                <c:pt idx="334">
                  <c:v>90.323934320133162</c:v>
                </c:pt>
                <c:pt idx="335">
                  <c:v>90.387466202963651</c:v>
                </c:pt>
                <c:pt idx="336">
                  <c:v>90.592377581843209</c:v>
                </c:pt>
                <c:pt idx="337">
                  <c:v>90.890868400184843</c:v>
                </c:pt>
                <c:pt idx="338">
                  <c:v>90.924857898957725</c:v>
                </c:pt>
                <c:pt idx="339">
                  <c:v>91.292885510629475</c:v>
                </c:pt>
                <c:pt idx="340">
                  <c:v>91.33307594260728</c:v>
                </c:pt>
                <c:pt idx="341">
                  <c:v>91.422924452981178</c:v>
                </c:pt>
                <c:pt idx="342">
                  <c:v>91.510736381278264</c:v>
                </c:pt>
                <c:pt idx="343">
                  <c:v>91.739117650473005</c:v>
                </c:pt>
                <c:pt idx="344">
                  <c:v>91.83832024672428</c:v>
                </c:pt>
                <c:pt idx="345">
                  <c:v>92.134907166843803</c:v>
                </c:pt>
                <c:pt idx="346">
                  <c:v>92.261253375142999</c:v>
                </c:pt>
                <c:pt idx="347">
                  <c:v>92.511209682625264</c:v>
                </c:pt>
                <c:pt idx="348">
                  <c:v>92.631990531759286</c:v>
                </c:pt>
                <c:pt idx="349">
                  <c:v>92.668148742409215</c:v>
                </c:pt>
                <c:pt idx="350">
                  <c:v>92.735773731551973</c:v>
                </c:pt>
                <c:pt idx="351">
                  <c:v>92.74423494984012</c:v>
                </c:pt>
                <c:pt idx="352">
                  <c:v>93.26524404539137</c:v>
                </c:pt>
                <c:pt idx="353">
                  <c:v>93.288613942658714</c:v>
                </c:pt>
                <c:pt idx="354">
                  <c:v>93.324847033911823</c:v>
                </c:pt>
                <c:pt idx="355">
                  <c:v>93.339461817335945</c:v>
                </c:pt>
                <c:pt idx="356">
                  <c:v>93.498468089170004</c:v>
                </c:pt>
                <c:pt idx="357">
                  <c:v>93.521951234648412</c:v>
                </c:pt>
                <c:pt idx="358">
                  <c:v>93.602757066221415</c:v>
                </c:pt>
                <c:pt idx="359">
                  <c:v>93.833141667757744</c:v>
                </c:pt>
                <c:pt idx="360">
                  <c:v>94.163026931435454</c:v>
                </c:pt>
                <c:pt idx="361">
                  <c:v>94.256729991995456</c:v>
                </c:pt>
                <c:pt idx="362">
                  <c:v>94.586568586925765</c:v>
                </c:pt>
                <c:pt idx="363">
                  <c:v>94.60036423661424</c:v>
                </c:pt>
                <c:pt idx="364">
                  <c:v>94.782652735911199</c:v>
                </c:pt>
                <c:pt idx="365">
                  <c:v>94.829965489236031</c:v>
                </c:pt>
                <c:pt idx="366">
                  <c:v>94.847089974596656</c:v>
                </c:pt>
                <c:pt idx="367">
                  <c:v>95.216226306484714</c:v>
                </c:pt>
                <c:pt idx="368">
                  <c:v>95.638547409827282</c:v>
                </c:pt>
                <c:pt idx="369">
                  <c:v>95.672262075357963</c:v>
                </c:pt>
                <c:pt idx="370">
                  <c:v>95.677188325463504</c:v>
                </c:pt>
                <c:pt idx="371">
                  <c:v>95.690854723202577</c:v>
                </c:pt>
                <c:pt idx="372">
                  <c:v>95.826139288797691</c:v>
                </c:pt>
                <c:pt idx="373">
                  <c:v>96.001581505256553</c:v>
                </c:pt>
                <c:pt idx="374">
                  <c:v>96.042841505063478</c:v>
                </c:pt>
                <c:pt idx="375">
                  <c:v>96.100848016416293</c:v>
                </c:pt>
                <c:pt idx="376">
                  <c:v>96.271563300592049</c:v>
                </c:pt>
                <c:pt idx="377">
                  <c:v>96.327524664306779</c:v>
                </c:pt>
                <c:pt idx="378">
                  <c:v>96.352233665180535</c:v>
                </c:pt>
                <c:pt idx="379">
                  <c:v>96.461577598915383</c:v>
                </c:pt>
                <c:pt idx="380">
                  <c:v>96.540098539919939</c:v>
                </c:pt>
                <c:pt idx="381">
                  <c:v>96.556647917702406</c:v>
                </c:pt>
                <c:pt idx="382">
                  <c:v>96.624785273951446</c:v>
                </c:pt>
                <c:pt idx="383">
                  <c:v>96.726930891047601</c:v>
                </c:pt>
                <c:pt idx="384">
                  <c:v>96.932669676197591</c:v>
                </c:pt>
                <c:pt idx="385">
                  <c:v>97.075907089253974</c:v>
                </c:pt>
                <c:pt idx="386">
                  <c:v>97.180508813648686</c:v>
                </c:pt>
                <c:pt idx="387">
                  <c:v>97.350815705163598</c:v>
                </c:pt>
                <c:pt idx="388">
                  <c:v>97.357803639086313</c:v>
                </c:pt>
                <c:pt idx="389">
                  <c:v>97.691987672761542</c:v>
                </c:pt>
                <c:pt idx="390">
                  <c:v>97.725156787626076</c:v>
                </c:pt>
                <c:pt idx="391">
                  <c:v>98.071523321279415</c:v>
                </c:pt>
                <c:pt idx="392">
                  <c:v>98.228264247958748</c:v>
                </c:pt>
                <c:pt idx="393">
                  <c:v>98.456106493740194</c:v>
                </c:pt>
                <c:pt idx="394">
                  <c:v>98.589038476127257</c:v>
                </c:pt>
                <c:pt idx="395">
                  <c:v>98.705353433577002</c:v>
                </c:pt>
                <c:pt idx="396">
                  <c:v>98.728344733150507</c:v>
                </c:pt>
                <c:pt idx="397">
                  <c:v>99.147122864675893</c:v>
                </c:pt>
                <c:pt idx="398">
                  <c:v>99.177916003048665</c:v>
                </c:pt>
                <c:pt idx="399">
                  <c:v>99.310863194668428</c:v>
                </c:pt>
                <c:pt idx="400">
                  <c:v>99.315974131778361</c:v>
                </c:pt>
                <c:pt idx="401">
                  <c:v>99.387355548243193</c:v>
                </c:pt>
                <c:pt idx="402">
                  <c:v>99.420177961898233</c:v>
                </c:pt>
                <c:pt idx="403">
                  <c:v>99.437372982166394</c:v>
                </c:pt>
                <c:pt idx="404">
                  <c:v>99.490309545984687</c:v>
                </c:pt>
                <c:pt idx="405">
                  <c:v>99.540550167442461</c:v>
                </c:pt>
                <c:pt idx="406">
                  <c:v>99.787857275674327</c:v>
                </c:pt>
                <c:pt idx="407">
                  <c:v>99.840088898076857</c:v>
                </c:pt>
                <c:pt idx="408">
                  <c:v>99.841113282789593</c:v>
                </c:pt>
                <c:pt idx="409">
                  <c:v>99.935396866270821</c:v>
                </c:pt>
                <c:pt idx="410">
                  <c:v>100.01211486106628</c:v>
                </c:pt>
                <c:pt idx="411">
                  <c:v>100.03546698553322</c:v>
                </c:pt>
                <c:pt idx="412">
                  <c:v>100.22440206394687</c:v>
                </c:pt>
                <c:pt idx="413">
                  <c:v>100.34747726060705</c:v>
                </c:pt>
                <c:pt idx="414">
                  <c:v>100.41005796039634</c:v>
                </c:pt>
                <c:pt idx="415">
                  <c:v>100.65417627198767</c:v>
                </c:pt>
                <c:pt idx="416">
                  <c:v>100.67259203965662</c:v>
                </c:pt>
                <c:pt idx="417">
                  <c:v>100.74268721543429</c:v>
                </c:pt>
                <c:pt idx="418">
                  <c:v>101.14560816395056</c:v>
                </c:pt>
                <c:pt idx="419">
                  <c:v>101.17662469661735</c:v>
                </c:pt>
                <c:pt idx="420">
                  <c:v>101.28128042296453</c:v>
                </c:pt>
                <c:pt idx="421">
                  <c:v>101.4918289838329</c:v>
                </c:pt>
                <c:pt idx="422">
                  <c:v>101.66587207600712</c:v>
                </c:pt>
                <c:pt idx="423">
                  <c:v>101.68761613762467</c:v>
                </c:pt>
                <c:pt idx="424">
                  <c:v>101.82763723400541</c:v>
                </c:pt>
                <c:pt idx="425">
                  <c:v>101.99379376321374</c:v>
                </c:pt>
                <c:pt idx="426">
                  <c:v>102.07661207336658</c:v>
                </c:pt>
                <c:pt idx="427">
                  <c:v>102.14931845818336</c:v>
                </c:pt>
                <c:pt idx="428">
                  <c:v>102.48494556258021</c:v>
                </c:pt>
                <c:pt idx="429">
                  <c:v>102.59057157056129</c:v>
                </c:pt>
                <c:pt idx="430">
                  <c:v>102.60636394973329</c:v>
                </c:pt>
                <c:pt idx="431">
                  <c:v>102.67151294312237</c:v>
                </c:pt>
                <c:pt idx="432">
                  <c:v>102.70889949245635</c:v>
                </c:pt>
                <c:pt idx="433">
                  <c:v>102.76038930744913</c:v>
                </c:pt>
                <c:pt idx="434">
                  <c:v>102.78593991282472</c:v>
                </c:pt>
                <c:pt idx="435">
                  <c:v>102.95117020016791</c:v>
                </c:pt>
                <c:pt idx="436">
                  <c:v>103.01499605854937</c:v>
                </c:pt>
                <c:pt idx="437">
                  <c:v>103.05332113523033</c:v>
                </c:pt>
                <c:pt idx="438">
                  <c:v>103.12234851988994</c:v>
                </c:pt>
                <c:pt idx="439">
                  <c:v>103.22655051512882</c:v>
                </c:pt>
                <c:pt idx="440">
                  <c:v>103.32604559686885</c:v>
                </c:pt>
                <c:pt idx="441">
                  <c:v>103.4396729805118</c:v>
                </c:pt>
                <c:pt idx="442">
                  <c:v>103.50383730250203</c:v>
                </c:pt>
                <c:pt idx="443">
                  <c:v>103.5275832857163</c:v>
                </c:pt>
                <c:pt idx="444">
                  <c:v>103.66736712385109</c:v>
                </c:pt>
                <c:pt idx="445">
                  <c:v>103.84995126927821</c:v>
                </c:pt>
                <c:pt idx="446">
                  <c:v>103.91605781243769</c:v>
                </c:pt>
                <c:pt idx="447">
                  <c:v>104.10854623470667</c:v>
                </c:pt>
                <c:pt idx="448">
                  <c:v>104.23402204972801</c:v>
                </c:pt>
                <c:pt idx="449">
                  <c:v>104.25692977429941</c:v>
                </c:pt>
                <c:pt idx="450">
                  <c:v>104.2576153860708</c:v>
                </c:pt>
                <c:pt idx="451">
                  <c:v>104.36782358906983</c:v>
                </c:pt>
                <c:pt idx="452">
                  <c:v>104.42873652020249</c:v>
                </c:pt>
                <c:pt idx="453">
                  <c:v>104.44212191120378</c:v>
                </c:pt>
                <c:pt idx="454">
                  <c:v>104.5144433513569</c:v>
                </c:pt>
                <c:pt idx="455">
                  <c:v>104.60664291528862</c:v>
                </c:pt>
                <c:pt idx="456">
                  <c:v>104.73794268793006</c:v>
                </c:pt>
                <c:pt idx="457">
                  <c:v>104.92492163826337</c:v>
                </c:pt>
                <c:pt idx="458">
                  <c:v>104.94781652512975</c:v>
                </c:pt>
                <c:pt idx="459">
                  <c:v>105.363581270902</c:v>
                </c:pt>
                <c:pt idx="460">
                  <c:v>105.46332134658115</c:v>
                </c:pt>
                <c:pt idx="461">
                  <c:v>105.55581840258746</c:v>
                </c:pt>
                <c:pt idx="462">
                  <c:v>105.64683958622032</c:v>
                </c:pt>
                <c:pt idx="463">
                  <c:v>105.65390571205987</c:v>
                </c:pt>
                <c:pt idx="464">
                  <c:v>105.71380532408838</c:v>
                </c:pt>
                <c:pt idx="465">
                  <c:v>105.99023761263255</c:v>
                </c:pt>
                <c:pt idx="466">
                  <c:v>106.21316689258168</c:v>
                </c:pt>
                <c:pt idx="467">
                  <c:v>106.32862591716489</c:v>
                </c:pt>
                <c:pt idx="468">
                  <c:v>106.34683749751029</c:v>
                </c:pt>
                <c:pt idx="469">
                  <c:v>106.5247142594711</c:v>
                </c:pt>
                <c:pt idx="470">
                  <c:v>106.63724792330895</c:v>
                </c:pt>
                <c:pt idx="471">
                  <c:v>106.71668518870302</c:v>
                </c:pt>
                <c:pt idx="472">
                  <c:v>106.74087060566342</c:v>
                </c:pt>
                <c:pt idx="473">
                  <c:v>106.81722021240428</c:v>
                </c:pt>
                <c:pt idx="474">
                  <c:v>106.8973162551336</c:v>
                </c:pt>
                <c:pt idx="475">
                  <c:v>106.90449429101406</c:v>
                </c:pt>
                <c:pt idx="476">
                  <c:v>107.04931441934005</c:v>
                </c:pt>
                <c:pt idx="477">
                  <c:v>107.06511797154035</c:v>
                </c:pt>
                <c:pt idx="478">
                  <c:v>107.12318376441236</c:v>
                </c:pt>
                <c:pt idx="479">
                  <c:v>107.17022491723439</c:v>
                </c:pt>
                <c:pt idx="480">
                  <c:v>107.22017375447589</c:v>
                </c:pt>
                <c:pt idx="481">
                  <c:v>107.55585716421251</c:v>
                </c:pt>
                <c:pt idx="482">
                  <c:v>107.59730647760416</c:v>
                </c:pt>
                <c:pt idx="483">
                  <c:v>107.6261061470495</c:v>
                </c:pt>
                <c:pt idx="484">
                  <c:v>107.70607159780599</c:v>
                </c:pt>
                <c:pt idx="485">
                  <c:v>108.00404506101781</c:v>
                </c:pt>
                <c:pt idx="486">
                  <c:v>108.24341952040911</c:v>
                </c:pt>
                <c:pt idx="487">
                  <c:v>108.27020224035383</c:v>
                </c:pt>
                <c:pt idx="488">
                  <c:v>108.3082817720526</c:v>
                </c:pt>
                <c:pt idx="489">
                  <c:v>108.7227432046877</c:v>
                </c:pt>
                <c:pt idx="490">
                  <c:v>108.74684354734038</c:v>
                </c:pt>
                <c:pt idx="491">
                  <c:v>108.81634580733288</c:v>
                </c:pt>
                <c:pt idx="492">
                  <c:v>108.84364656283941</c:v>
                </c:pt>
                <c:pt idx="493">
                  <c:v>108.89764024069237</c:v>
                </c:pt>
                <c:pt idx="494">
                  <c:v>108.91714674995038</c:v>
                </c:pt>
                <c:pt idx="495">
                  <c:v>108.98332327877439</c:v>
                </c:pt>
                <c:pt idx="496">
                  <c:v>109.30536028747198</c:v>
                </c:pt>
                <c:pt idx="497">
                  <c:v>109.38666685048661</c:v>
                </c:pt>
                <c:pt idx="498">
                  <c:v>109.43507371554131</c:v>
                </c:pt>
                <c:pt idx="499">
                  <c:v>109.450570160822</c:v>
                </c:pt>
                <c:pt idx="500">
                  <c:v>109.65985696327562</c:v>
                </c:pt>
                <c:pt idx="501">
                  <c:v>109.68418504771977</c:v>
                </c:pt>
                <c:pt idx="502">
                  <c:v>109.75639042409902</c:v>
                </c:pt>
                <c:pt idx="503">
                  <c:v>109.78106121829533</c:v>
                </c:pt>
                <c:pt idx="504">
                  <c:v>110.01139638453031</c:v>
                </c:pt>
                <c:pt idx="505">
                  <c:v>110.05085590725869</c:v>
                </c:pt>
                <c:pt idx="506">
                  <c:v>110.11356908174184</c:v>
                </c:pt>
                <c:pt idx="507">
                  <c:v>110.13114853221873</c:v>
                </c:pt>
                <c:pt idx="508">
                  <c:v>110.18042972010723</c:v>
                </c:pt>
                <c:pt idx="509">
                  <c:v>110.29617124911786</c:v>
                </c:pt>
                <c:pt idx="510">
                  <c:v>110.38593706271521</c:v>
                </c:pt>
                <c:pt idx="511">
                  <c:v>110.41258644106041</c:v>
                </c:pt>
                <c:pt idx="512">
                  <c:v>110.4280456609817</c:v>
                </c:pt>
                <c:pt idx="513">
                  <c:v>110.47600185675184</c:v>
                </c:pt>
                <c:pt idx="514">
                  <c:v>110.7387572502512</c:v>
                </c:pt>
                <c:pt idx="515">
                  <c:v>110.76713436363316</c:v>
                </c:pt>
                <c:pt idx="516">
                  <c:v>110.78707386425988</c:v>
                </c:pt>
                <c:pt idx="517">
                  <c:v>110.8908215930245</c:v>
                </c:pt>
                <c:pt idx="518">
                  <c:v>110.89491477044847</c:v>
                </c:pt>
                <c:pt idx="519">
                  <c:v>110.91783801211533</c:v>
                </c:pt>
                <c:pt idx="520">
                  <c:v>111.13438694564158</c:v>
                </c:pt>
                <c:pt idx="521">
                  <c:v>111.14423090311465</c:v>
                </c:pt>
                <c:pt idx="522">
                  <c:v>111.15494946317773</c:v>
                </c:pt>
                <c:pt idx="523">
                  <c:v>111.264880264493</c:v>
                </c:pt>
                <c:pt idx="524">
                  <c:v>111.36492004797232</c:v>
                </c:pt>
                <c:pt idx="525">
                  <c:v>111.395332693505</c:v>
                </c:pt>
                <c:pt idx="526">
                  <c:v>111.48201107482055</c:v>
                </c:pt>
                <c:pt idx="527">
                  <c:v>111.48837472862863</c:v>
                </c:pt>
                <c:pt idx="528">
                  <c:v>111.50516521584032</c:v>
                </c:pt>
                <c:pt idx="529">
                  <c:v>111.56178544021296</c:v>
                </c:pt>
                <c:pt idx="530">
                  <c:v>111.65052161005707</c:v>
                </c:pt>
                <c:pt idx="531">
                  <c:v>111.77670262535938</c:v>
                </c:pt>
                <c:pt idx="532">
                  <c:v>111.89580253355199</c:v>
                </c:pt>
                <c:pt idx="533">
                  <c:v>112.01056021239295</c:v>
                </c:pt>
                <c:pt idx="534">
                  <c:v>112.10424072113848</c:v>
                </c:pt>
                <c:pt idx="535">
                  <c:v>112.17939382600662</c:v>
                </c:pt>
                <c:pt idx="536">
                  <c:v>112.34320247241254</c:v>
                </c:pt>
                <c:pt idx="537">
                  <c:v>112.41023236878658</c:v>
                </c:pt>
                <c:pt idx="538">
                  <c:v>112.42627458684967</c:v>
                </c:pt>
                <c:pt idx="539">
                  <c:v>112.46390818076057</c:v>
                </c:pt>
                <c:pt idx="540">
                  <c:v>112.46810358373574</c:v>
                </c:pt>
                <c:pt idx="541">
                  <c:v>112.50741997731708</c:v>
                </c:pt>
                <c:pt idx="542">
                  <c:v>112.53030065314074</c:v>
                </c:pt>
                <c:pt idx="543">
                  <c:v>112.53292710915518</c:v>
                </c:pt>
                <c:pt idx="544">
                  <c:v>112.547074863752</c:v>
                </c:pt>
                <c:pt idx="545">
                  <c:v>112.67254432089791</c:v>
                </c:pt>
                <c:pt idx="546">
                  <c:v>112.7699122874008</c:v>
                </c:pt>
                <c:pt idx="547">
                  <c:v>112.81429635479016</c:v>
                </c:pt>
                <c:pt idx="548">
                  <c:v>112.86870235854572</c:v>
                </c:pt>
                <c:pt idx="549">
                  <c:v>112.92909237764815</c:v>
                </c:pt>
                <c:pt idx="550">
                  <c:v>112.99545925410777</c:v>
                </c:pt>
                <c:pt idx="551">
                  <c:v>113.20008363528598</c:v>
                </c:pt>
                <c:pt idx="552">
                  <c:v>113.20674907008718</c:v>
                </c:pt>
                <c:pt idx="553">
                  <c:v>113.21716991746213</c:v>
                </c:pt>
                <c:pt idx="554">
                  <c:v>113.22818861235373</c:v>
                </c:pt>
                <c:pt idx="555">
                  <c:v>113.24949453805932</c:v>
                </c:pt>
                <c:pt idx="556">
                  <c:v>113.3974067943213</c:v>
                </c:pt>
                <c:pt idx="557">
                  <c:v>113.49834112609906</c:v>
                </c:pt>
                <c:pt idx="558">
                  <c:v>113.53679165739364</c:v>
                </c:pt>
                <c:pt idx="559">
                  <c:v>113.54208453707027</c:v>
                </c:pt>
                <c:pt idx="560">
                  <c:v>113.67687188527138</c:v>
                </c:pt>
                <c:pt idx="561">
                  <c:v>113.67736897761455</c:v>
                </c:pt>
                <c:pt idx="562">
                  <c:v>113.67815426096556</c:v>
                </c:pt>
                <c:pt idx="563">
                  <c:v>113.7961180782152</c:v>
                </c:pt>
                <c:pt idx="564">
                  <c:v>113.87967263377098</c:v>
                </c:pt>
                <c:pt idx="565">
                  <c:v>113.97558367658489</c:v>
                </c:pt>
                <c:pt idx="566">
                  <c:v>114.17405957530771</c:v>
                </c:pt>
                <c:pt idx="567">
                  <c:v>114.34350245399432</c:v>
                </c:pt>
                <c:pt idx="568">
                  <c:v>114.40064271218395</c:v>
                </c:pt>
                <c:pt idx="569">
                  <c:v>114.40134802538363</c:v>
                </c:pt>
                <c:pt idx="570">
                  <c:v>114.41221889004498</c:v>
                </c:pt>
                <c:pt idx="571">
                  <c:v>114.63754980139009</c:v>
                </c:pt>
                <c:pt idx="572">
                  <c:v>114.65813896944292</c:v>
                </c:pt>
                <c:pt idx="573">
                  <c:v>114.68515235851119</c:v>
                </c:pt>
                <c:pt idx="574">
                  <c:v>114.7689500673095</c:v>
                </c:pt>
                <c:pt idx="575">
                  <c:v>114.83572025942783</c:v>
                </c:pt>
                <c:pt idx="576">
                  <c:v>115.1066139625654</c:v>
                </c:pt>
                <c:pt idx="577">
                  <c:v>115.2571976840574</c:v>
                </c:pt>
                <c:pt idx="578">
                  <c:v>115.43806447248764</c:v>
                </c:pt>
                <c:pt idx="579">
                  <c:v>115.52016565893703</c:v>
                </c:pt>
                <c:pt idx="580">
                  <c:v>115.5553716505798</c:v>
                </c:pt>
                <c:pt idx="581">
                  <c:v>115.64445906888953</c:v>
                </c:pt>
                <c:pt idx="582">
                  <c:v>115.69664741915423</c:v>
                </c:pt>
                <c:pt idx="583">
                  <c:v>115.72891037194108</c:v>
                </c:pt>
                <c:pt idx="584">
                  <c:v>115.7409053889242</c:v>
                </c:pt>
                <c:pt idx="585">
                  <c:v>115.76039541673227</c:v>
                </c:pt>
                <c:pt idx="586">
                  <c:v>115.7979556035294</c:v>
                </c:pt>
                <c:pt idx="587">
                  <c:v>115.88689924800147</c:v>
                </c:pt>
                <c:pt idx="588">
                  <c:v>116.0703828004178</c:v>
                </c:pt>
                <c:pt idx="589">
                  <c:v>116.08156715615931</c:v>
                </c:pt>
                <c:pt idx="590">
                  <c:v>116.17278030717574</c:v>
                </c:pt>
                <c:pt idx="591">
                  <c:v>116.19957922226699</c:v>
                </c:pt>
                <c:pt idx="592">
                  <c:v>116.20836862431986</c:v>
                </c:pt>
                <c:pt idx="593">
                  <c:v>116.21643826119323</c:v>
                </c:pt>
                <c:pt idx="594">
                  <c:v>116.22114349427423</c:v>
                </c:pt>
                <c:pt idx="595">
                  <c:v>116.24903910398508</c:v>
                </c:pt>
                <c:pt idx="596">
                  <c:v>116.26075341094305</c:v>
                </c:pt>
                <c:pt idx="597">
                  <c:v>116.49900672002056</c:v>
                </c:pt>
                <c:pt idx="598">
                  <c:v>116.50695640189518</c:v>
                </c:pt>
                <c:pt idx="599">
                  <c:v>116.56068127384964</c:v>
                </c:pt>
                <c:pt idx="600">
                  <c:v>116.64610795114986</c:v>
                </c:pt>
                <c:pt idx="601">
                  <c:v>116.66177414306176</c:v>
                </c:pt>
                <c:pt idx="602">
                  <c:v>116.67034455847181</c:v>
                </c:pt>
                <c:pt idx="603">
                  <c:v>116.7117148610558</c:v>
                </c:pt>
                <c:pt idx="604">
                  <c:v>116.79301020558682</c:v>
                </c:pt>
                <c:pt idx="605">
                  <c:v>116.80799287910399</c:v>
                </c:pt>
                <c:pt idx="606">
                  <c:v>116.90012670686143</c:v>
                </c:pt>
                <c:pt idx="607">
                  <c:v>116.9026452630448</c:v>
                </c:pt>
                <c:pt idx="608">
                  <c:v>116.90667563461348</c:v>
                </c:pt>
                <c:pt idx="609">
                  <c:v>116.91122757682831</c:v>
                </c:pt>
                <c:pt idx="610">
                  <c:v>116.93134875732244</c:v>
                </c:pt>
                <c:pt idx="611">
                  <c:v>116.94865302973635</c:v>
                </c:pt>
                <c:pt idx="612">
                  <c:v>117.07831402868908</c:v>
                </c:pt>
                <c:pt idx="613">
                  <c:v>117.07834284246482</c:v>
                </c:pt>
                <c:pt idx="614">
                  <c:v>117.0817819820037</c:v>
                </c:pt>
                <c:pt idx="615">
                  <c:v>117.17283913810624</c:v>
                </c:pt>
                <c:pt idx="616">
                  <c:v>117.19159374964465</c:v>
                </c:pt>
                <c:pt idx="617">
                  <c:v>117.21193250147256</c:v>
                </c:pt>
                <c:pt idx="618">
                  <c:v>117.26652734733887</c:v>
                </c:pt>
                <c:pt idx="619">
                  <c:v>117.33534860871998</c:v>
                </c:pt>
                <c:pt idx="620">
                  <c:v>117.3454415977381</c:v>
                </c:pt>
                <c:pt idx="621">
                  <c:v>117.37056991886007</c:v>
                </c:pt>
                <c:pt idx="622">
                  <c:v>117.50008119761628</c:v>
                </c:pt>
                <c:pt idx="623">
                  <c:v>117.76806420018977</c:v>
                </c:pt>
                <c:pt idx="624">
                  <c:v>117.80446245119407</c:v>
                </c:pt>
                <c:pt idx="625">
                  <c:v>117.81839518533374</c:v>
                </c:pt>
                <c:pt idx="626">
                  <c:v>117.92091685312337</c:v>
                </c:pt>
                <c:pt idx="627">
                  <c:v>118.03366324526706</c:v>
                </c:pt>
                <c:pt idx="628">
                  <c:v>118.10213771927161</c:v>
                </c:pt>
                <c:pt idx="629">
                  <c:v>118.25107440785324</c:v>
                </c:pt>
                <c:pt idx="630">
                  <c:v>118.29344774252721</c:v>
                </c:pt>
                <c:pt idx="631">
                  <c:v>118.36240014206106</c:v>
                </c:pt>
                <c:pt idx="632">
                  <c:v>118.37490332183876</c:v>
                </c:pt>
                <c:pt idx="633">
                  <c:v>118.57074623587593</c:v>
                </c:pt>
                <c:pt idx="634">
                  <c:v>118.64229297549424</c:v>
                </c:pt>
                <c:pt idx="635">
                  <c:v>118.68367734825927</c:v>
                </c:pt>
                <c:pt idx="636">
                  <c:v>118.8649411887952</c:v>
                </c:pt>
                <c:pt idx="637">
                  <c:v>118.99686600362693</c:v>
                </c:pt>
                <c:pt idx="638">
                  <c:v>119.13722940812963</c:v>
                </c:pt>
                <c:pt idx="639">
                  <c:v>119.13926713358131</c:v>
                </c:pt>
                <c:pt idx="640">
                  <c:v>119.15286271002417</c:v>
                </c:pt>
                <c:pt idx="641">
                  <c:v>119.16818484939057</c:v>
                </c:pt>
                <c:pt idx="642">
                  <c:v>119.22875277324346</c:v>
                </c:pt>
                <c:pt idx="643">
                  <c:v>119.33775535427365</c:v>
                </c:pt>
                <c:pt idx="644">
                  <c:v>119.42139190883614</c:v>
                </c:pt>
                <c:pt idx="645">
                  <c:v>119.54955887418721</c:v>
                </c:pt>
                <c:pt idx="646">
                  <c:v>119.64275021882477</c:v>
                </c:pt>
                <c:pt idx="647">
                  <c:v>119.64753011329236</c:v>
                </c:pt>
                <c:pt idx="648">
                  <c:v>119.80257996052511</c:v>
                </c:pt>
                <c:pt idx="649">
                  <c:v>119.81478421490127</c:v>
                </c:pt>
                <c:pt idx="650">
                  <c:v>119.8586397131927</c:v>
                </c:pt>
                <c:pt idx="651">
                  <c:v>120.10617696965973</c:v>
                </c:pt>
                <c:pt idx="652">
                  <c:v>120.18481666682999</c:v>
                </c:pt>
                <c:pt idx="653">
                  <c:v>120.2243249983114</c:v>
                </c:pt>
                <c:pt idx="654">
                  <c:v>120.28493718406244</c:v>
                </c:pt>
                <c:pt idx="655">
                  <c:v>120.29576640135966</c:v>
                </c:pt>
                <c:pt idx="656">
                  <c:v>120.39535261262321</c:v>
                </c:pt>
                <c:pt idx="657">
                  <c:v>120.42312470616137</c:v>
                </c:pt>
                <c:pt idx="658">
                  <c:v>120.49377313309915</c:v>
                </c:pt>
                <c:pt idx="659">
                  <c:v>120.49459084544694</c:v>
                </c:pt>
                <c:pt idx="660">
                  <c:v>120.50762022398868</c:v>
                </c:pt>
                <c:pt idx="661">
                  <c:v>120.52270002515195</c:v>
                </c:pt>
                <c:pt idx="662">
                  <c:v>120.67204286635932</c:v>
                </c:pt>
                <c:pt idx="663">
                  <c:v>120.72373540543479</c:v>
                </c:pt>
                <c:pt idx="664">
                  <c:v>120.75584876823225</c:v>
                </c:pt>
                <c:pt idx="665">
                  <c:v>120.76508187806155</c:v>
                </c:pt>
                <c:pt idx="666">
                  <c:v>120.82117478657391</c:v>
                </c:pt>
                <c:pt idx="667">
                  <c:v>120.9611778945675</c:v>
                </c:pt>
                <c:pt idx="668">
                  <c:v>121.03796936030351</c:v>
                </c:pt>
                <c:pt idx="669">
                  <c:v>121.14810087895842</c:v>
                </c:pt>
                <c:pt idx="670">
                  <c:v>121.2315885550981</c:v>
                </c:pt>
                <c:pt idx="671">
                  <c:v>121.28560047090548</c:v>
                </c:pt>
                <c:pt idx="672">
                  <c:v>121.40349827759478</c:v>
                </c:pt>
                <c:pt idx="673">
                  <c:v>121.45601545141008</c:v>
                </c:pt>
                <c:pt idx="674">
                  <c:v>121.4988802513147</c:v>
                </c:pt>
                <c:pt idx="675">
                  <c:v>121.63867107757562</c:v>
                </c:pt>
                <c:pt idx="676">
                  <c:v>121.71947535434994</c:v>
                </c:pt>
                <c:pt idx="677">
                  <c:v>121.79316085916463</c:v>
                </c:pt>
                <c:pt idx="678">
                  <c:v>121.90491010602425</c:v>
                </c:pt>
                <c:pt idx="679">
                  <c:v>121.96950319665025</c:v>
                </c:pt>
                <c:pt idx="680">
                  <c:v>122.28201443711211</c:v>
                </c:pt>
                <c:pt idx="681">
                  <c:v>122.30728429766407</c:v>
                </c:pt>
                <c:pt idx="682">
                  <c:v>122.41698545514954</c:v>
                </c:pt>
                <c:pt idx="683">
                  <c:v>122.58875599573258</c:v>
                </c:pt>
                <c:pt idx="684">
                  <c:v>122.62623445355705</c:v>
                </c:pt>
                <c:pt idx="685">
                  <c:v>122.68843006974214</c:v>
                </c:pt>
                <c:pt idx="686">
                  <c:v>122.69767482743802</c:v>
                </c:pt>
                <c:pt idx="687">
                  <c:v>122.8355626859593</c:v>
                </c:pt>
                <c:pt idx="688">
                  <c:v>122.88252310411504</c:v>
                </c:pt>
                <c:pt idx="689">
                  <c:v>122.89403184406687</c:v>
                </c:pt>
                <c:pt idx="690">
                  <c:v>123.01411934260655</c:v>
                </c:pt>
                <c:pt idx="691">
                  <c:v>123.06416657243537</c:v>
                </c:pt>
                <c:pt idx="692">
                  <c:v>123.09688935231161</c:v>
                </c:pt>
                <c:pt idx="693">
                  <c:v>123.16208830571027</c:v>
                </c:pt>
                <c:pt idx="694">
                  <c:v>123.24595898525973</c:v>
                </c:pt>
                <c:pt idx="695">
                  <c:v>123.46277300284297</c:v>
                </c:pt>
                <c:pt idx="696">
                  <c:v>123.50767935362549</c:v>
                </c:pt>
                <c:pt idx="697">
                  <c:v>123.51671516738872</c:v>
                </c:pt>
                <c:pt idx="698">
                  <c:v>123.58412861161342</c:v>
                </c:pt>
                <c:pt idx="699">
                  <c:v>123.63621907729558</c:v>
                </c:pt>
                <c:pt idx="700">
                  <c:v>123.70041263237263</c:v>
                </c:pt>
                <c:pt idx="701">
                  <c:v>123.76747736333019</c:v>
                </c:pt>
                <c:pt idx="702">
                  <c:v>124.00197412522336</c:v>
                </c:pt>
                <c:pt idx="703">
                  <c:v>124.13149686072904</c:v>
                </c:pt>
                <c:pt idx="704">
                  <c:v>124.15422165488336</c:v>
                </c:pt>
                <c:pt idx="705">
                  <c:v>124.16827971209878</c:v>
                </c:pt>
                <c:pt idx="706">
                  <c:v>124.18058647216786</c:v>
                </c:pt>
                <c:pt idx="707">
                  <c:v>124.3289085579501</c:v>
                </c:pt>
                <c:pt idx="708">
                  <c:v>124.59294544003195</c:v>
                </c:pt>
                <c:pt idx="709">
                  <c:v>124.65217746806668</c:v>
                </c:pt>
                <c:pt idx="710">
                  <c:v>124.68772290850349</c:v>
                </c:pt>
                <c:pt idx="711">
                  <c:v>124.70495386842011</c:v>
                </c:pt>
                <c:pt idx="712">
                  <c:v>124.71224063706347</c:v>
                </c:pt>
                <c:pt idx="713">
                  <c:v>124.76511199103663</c:v>
                </c:pt>
                <c:pt idx="714">
                  <c:v>124.76885422042187</c:v>
                </c:pt>
                <c:pt idx="715">
                  <c:v>124.83344646533642</c:v>
                </c:pt>
                <c:pt idx="716">
                  <c:v>124.85421584045275</c:v>
                </c:pt>
                <c:pt idx="717">
                  <c:v>125.00222020637304</c:v>
                </c:pt>
                <c:pt idx="718">
                  <c:v>125.09076803566732</c:v>
                </c:pt>
                <c:pt idx="719">
                  <c:v>125.15683368556884</c:v>
                </c:pt>
                <c:pt idx="720">
                  <c:v>125.16842273720017</c:v>
                </c:pt>
                <c:pt idx="721">
                  <c:v>125.21014880062852</c:v>
                </c:pt>
                <c:pt idx="722">
                  <c:v>125.34548942846573</c:v>
                </c:pt>
                <c:pt idx="723">
                  <c:v>125.35678964435928</c:v>
                </c:pt>
                <c:pt idx="724">
                  <c:v>125.42956591767516</c:v>
                </c:pt>
                <c:pt idx="725">
                  <c:v>125.45827310222168</c:v>
                </c:pt>
                <c:pt idx="726">
                  <c:v>125.5266566434135</c:v>
                </c:pt>
                <c:pt idx="727">
                  <c:v>125.53147734685089</c:v>
                </c:pt>
                <c:pt idx="728">
                  <c:v>125.5693695894619</c:v>
                </c:pt>
                <c:pt idx="729">
                  <c:v>125.68186652893297</c:v>
                </c:pt>
                <c:pt idx="730">
                  <c:v>125.7329242608802</c:v>
                </c:pt>
                <c:pt idx="731">
                  <c:v>125.92788472362977</c:v>
                </c:pt>
                <c:pt idx="732">
                  <c:v>125.99191331224971</c:v>
                </c:pt>
                <c:pt idx="733">
                  <c:v>126.00518448369608</c:v>
                </c:pt>
                <c:pt idx="734">
                  <c:v>126.11650686924605</c:v>
                </c:pt>
                <c:pt idx="735">
                  <c:v>126.17922572637386</c:v>
                </c:pt>
                <c:pt idx="736">
                  <c:v>126.1824525841317</c:v>
                </c:pt>
                <c:pt idx="737">
                  <c:v>126.29506237656467</c:v>
                </c:pt>
                <c:pt idx="738">
                  <c:v>126.47431911818691</c:v>
                </c:pt>
                <c:pt idx="739">
                  <c:v>126.50718815318798</c:v>
                </c:pt>
                <c:pt idx="740">
                  <c:v>126.55707258047268</c:v>
                </c:pt>
                <c:pt idx="741">
                  <c:v>126.73460920742548</c:v>
                </c:pt>
                <c:pt idx="742">
                  <c:v>126.74539004502802</c:v>
                </c:pt>
                <c:pt idx="743">
                  <c:v>126.79431769639118</c:v>
                </c:pt>
                <c:pt idx="744">
                  <c:v>126.87628247873658</c:v>
                </c:pt>
                <c:pt idx="745">
                  <c:v>126.94687667716126</c:v>
                </c:pt>
                <c:pt idx="746">
                  <c:v>126.99891657110672</c:v>
                </c:pt>
                <c:pt idx="747">
                  <c:v>127.03267867391344</c:v>
                </c:pt>
                <c:pt idx="748">
                  <c:v>127.0880888018433</c:v>
                </c:pt>
                <c:pt idx="749">
                  <c:v>127.09906495790682</c:v>
                </c:pt>
                <c:pt idx="750">
                  <c:v>127.16681142758677</c:v>
                </c:pt>
                <c:pt idx="751">
                  <c:v>127.432825125958</c:v>
                </c:pt>
                <c:pt idx="752">
                  <c:v>127.51273825421633</c:v>
                </c:pt>
                <c:pt idx="753">
                  <c:v>127.53567113884282</c:v>
                </c:pt>
                <c:pt idx="754">
                  <c:v>127.61957570492567</c:v>
                </c:pt>
                <c:pt idx="755">
                  <c:v>127.63640137654886</c:v>
                </c:pt>
                <c:pt idx="756">
                  <c:v>127.65530064077731</c:v>
                </c:pt>
                <c:pt idx="757">
                  <c:v>127.70375310797905</c:v>
                </c:pt>
                <c:pt idx="758">
                  <c:v>127.71539695828496</c:v>
                </c:pt>
                <c:pt idx="759">
                  <c:v>127.76277198311411</c:v>
                </c:pt>
                <c:pt idx="760">
                  <c:v>127.80197995331642</c:v>
                </c:pt>
                <c:pt idx="761">
                  <c:v>127.86907399796227</c:v>
                </c:pt>
                <c:pt idx="762">
                  <c:v>127.93382814125511</c:v>
                </c:pt>
                <c:pt idx="763">
                  <c:v>127.9918379915195</c:v>
                </c:pt>
                <c:pt idx="764">
                  <c:v>128.09010341124537</c:v>
                </c:pt>
                <c:pt idx="765">
                  <c:v>128.12393441008248</c:v>
                </c:pt>
                <c:pt idx="766">
                  <c:v>128.20895513366628</c:v>
                </c:pt>
                <c:pt idx="767">
                  <c:v>128.24314233602922</c:v>
                </c:pt>
                <c:pt idx="768">
                  <c:v>128.34627481952208</c:v>
                </c:pt>
                <c:pt idx="769">
                  <c:v>128.35270530710926</c:v>
                </c:pt>
                <c:pt idx="770">
                  <c:v>128.40005569515972</c:v>
                </c:pt>
                <c:pt idx="771">
                  <c:v>128.41129396824414</c:v>
                </c:pt>
                <c:pt idx="772">
                  <c:v>128.44879466878663</c:v>
                </c:pt>
                <c:pt idx="773">
                  <c:v>128.61556077628887</c:v>
                </c:pt>
                <c:pt idx="774">
                  <c:v>128.67141464208737</c:v>
                </c:pt>
                <c:pt idx="775">
                  <c:v>128.69258828983854</c:v>
                </c:pt>
                <c:pt idx="776">
                  <c:v>128.97347045310585</c:v>
                </c:pt>
                <c:pt idx="777">
                  <c:v>128.97567318698998</c:v>
                </c:pt>
                <c:pt idx="778">
                  <c:v>129.03750986529846</c:v>
                </c:pt>
                <c:pt idx="779">
                  <c:v>129.13908128408124</c:v>
                </c:pt>
                <c:pt idx="780">
                  <c:v>129.16750801835209</c:v>
                </c:pt>
                <c:pt idx="781">
                  <c:v>129.17551495863958</c:v>
                </c:pt>
                <c:pt idx="782">
                  <c:v>129.26008203591547</c:v>
                </c:pt>
                <c:pt idx="783">
                  <c:v>129.26837710694494</c:v>
                </c:pt>
                <c:pt idx="784">
                  <c:v>129.46124810915944</c:v>
                </c:pt>
                <c:pt idx="785">
                  <c:v>129.47274996554412</c:v>
                </c:pt>
                <c:pt idx="786">
                  <c:v>129.51161420770845</c:v>
                </c:pt>
                <c:pt idx="787">
                  <c:v>129.66457752577571</c:v>
                </c:pt>
                <c:pt idx="788">
                  <c:v>129.67134366470654</c:v>
                </c:pt>
                <c:pt idx="789">
                  <c:v>129.76273098304358</c:v>
                </c:pt>
                <c:pt idx="790">
                  <c:v>129.79502487578441</c:v>
                </c:pt>
                <c:pt idx="791">
                  <c:v>129.80306601862168</c:v>
                </c:pt>
                <c:pt idx="792">
                  <c:v>129.82736583252259</c:v>
                </c:pt>
                <c:pt idx="793">
                  <c:v>129.84505021509406</c:v>
                </c:pt>
                <c:pt idx="794">
                  <c:v>129.86433951043475</c:v>
                </c:pt>
                <c:pt idx="795">
                  <c:v>129.89710765821701</c:v>
                </c:pt>
                <c:pt idx="796">
                  <c:v>129.92467641709715</c:v>
                </c:pt>
                <c:pt idx="797">
                  <c:v>129.97413610852158</c:v>
                </c:pt>
                <c:pt idx="798">
                  <c:v>129.98834731142921</c:v>
                </c:pt>
                <c:pt idx="799">
                  <c:v>130.06071570323556</c:v>
                </c:pt>
                <c:pt idx="800">
                  <c:v>130.07729829519465</c:v>
                </c:pt>
                <c:pt idx="801">
                  <c:v>130.07984775558873</c:v>
                </c:pt>
                <c:pt idx="802">
                  <c:v>130.12196227936187</c:v>
                </c:pt>
                <c:pt idx="803">
                  <c:v>130.20437021322564</c:v>
                </c:pt>
                <c:pt idx="804">
                  <c:v>130.24097118375792</c:v>
                </c:pt>
                <c:pt idx="805">
                  <c:v>130.25845284598188</c:v>
                </c:pt>
                <c:pt idx="806">
                  <c:v>130.31637909012039</c:v>
                </c:pt>
                <c:pt idx="807">
                  <c:v>130.34145879162622</c:v>
                </c:pt>
                <c:pt idx="808">
                  <c:v>130.41631101956571</c:v>
                </c:pt>
                <c:pt idx="809">
                  <c:v>130.46376029645023</c:v>
                </c:pt>
                <c:pt idx="810">
                  <c:v>130.77172781280811</c:v>
                </c:pt>
                <c:pt idx="811">
                  <c:v>130.90385860843975</c:v>
                </c:pt>
                <c:pt idx="812">
                  <c:v>130.93841624789096</c:v>
                </c:pt>
                <c:pt idx="813">
                  <c:v>131.04881853350884</c:v>
                </c:pt>
                <c:pt idx="814">
                  <c:v>131.09392031905927</c:v>
                </c:pt>
                <c:pt idx="815">
                  <c:v>131.24812455395761</c:v>
                </c:pt>
                <c:pt idx="816">
                  <c:v>131.37627880403184</c:v>
                </c:pt>
                <c:pt idx="817">
                  <c:v>131.37784038911354</c:v>
                </c:pt>
                <c:pt idx="818">
                  <c:v>131.55983183266198</c:v>
                </c:pt>
                <c:pt idx="819">
                  <c:v>131.57558830464751</c:v>
                </c:pt>
                <c:pt idx="820">
                  <c:v>131.63381348202492</c:v>
                </c:pt>
                <c:pt idx="821">
                  <c:v>131.68904958504692</c:v>
                </c:pt>
                <c:pt idx="822">
                  <c:v>131.90523072155605</c:v>
                </c:pt>
                <c:pt idx="823">
                  <c:v>131.95308257493292</c:v>
                </c:pt>
                <c:pt idx="824">
                  <c:v>131.99718533120998</c:v>
                </c:pt>
                <c:pt idx="825">
                  <c:v>132.02968693843508</c:v>
                </c:pt>
                <c:pt idx="826">
                  <c:v>132.1558552728581</c:v>
                </c:pt>
                <c:pt idx="827">
                  <c:v>132.35406186502212</c:v>
                </c:pt>
                <c:pt idx="828">
                  <c:v>132.38837164846643</c:v>
                </c:pt>
                <c:pt idx="829">
                  <c:v>132.48730341184216</c:v>
                </c:pt>
                <c:pt idx="830">
                  <c:v>132.52113403485581</c:v>
                </c:pt>
                <c:pt idx="831">
                  <c:v>132.57610203454405</c:v>
                </c:pt>
                <c:pt idx="832">
                  <c:v>132.64938978733778</c:v>
                </c:pt>
                <c:pt idx="833">
                  <c:v>132.69986961536284</c:v>
                </c:pt>
                <c:pt idx="834">
                  <c:v>132.75951955291248</c:v>
                </c:pt>
                <c:pt idx="835">
                  <c:v>132.81249227029218</c:v>
                </c:pt>
                <c:pt idx="836">
                  <c:v>132.86536398698826</c:v>
                </c:pt>
                <c:pt idx="837">
                  <c:v>132.963599083041</c:v>
                </c:pt>
                <c:pt idx="838">
                  <c:v>133.14581661934091</c:v>
                </c:pt>
                <c:pt idx="839">
                  <c:v>133.17263167176162</c:v>
                </c:pt>
                <c:pt idx="840">
                  <c:v>133.1787566527978</c:v>
                </c:pt>
                <c:pt idx="841">
                  <c:v>133.19536950255966</c:v>
                </c:pt>
                <c:pt idx="842">
                  <c:v>133.2002520137915</c:v>
                </c:pt>
                <c:pt idx="843">
                  <c:v>133.22214382470861</c:v>
                </c:pt>
                <c:pt idx="844">
                  <c:v>133.2350692524987</c:v>
                </c:pt>
                <c:pt idx="845">
                  <c:v>133.26110065605059</c:v>
                </c:pt>
                <c:pt idx="846">
                  <c:v>133.27599573694837</c:v>
                </c:pt>
                <c:pt idx="847">
                  <c:v>133.36773775542883</c:v>
                </c:pt>
                <c:pt idx="848">
                  <c:v>133.37442078468644</c:v>
                </c:pt>
                <c:pt idx="849">
                  <c:v>133.38265766104442</c:v>
                </c:pt>
                <c:pt idx="850">
                  <c:v>133.40209231521806</c:v>
                </c:pt>
                <c:pt idx="851">
                  <c:v>133.43073459569658</c:v>
                </c:pt>
                <c:pt idx="852">
                  <c:v>133.55196231526071</c:v>
                </c:pt>
                <c:pt idx="853">
                  <c:v>133.56880966797485</c:v>
                </c:pt>
                <c:pt idx="854">
                  <c:v>133.57184797972201</c:v>
                </c:pt>
                <c:pt idx="855">
                  <c:v>133.58498422033185</c:v>
                </c:pt>
                <c:pt idx="856">
                  <c:v>133.69485671998632</c:v>
                </c:pt>
                <c:pt idx="857">
                  <c:v>133.86462275618982</c:v>
                </c:pt>
                <c:pt idx="858">
                  <c:v>133.86756473209633</c:v>
                </c:pt>
                <c:pt idx="859">
                  <c:v>133.95126968072128</c:v>
                </c:pt>
                <c:pt idx="860">
                  <c:v>133.97545392118496</c:v>
                </c:pt>
                <c:pt idx="861">
                  <c:v>134.00736725769471</c:v>
                </c:pt>
                <c:pt idx="862">
                  <c:v>134.05641938403028</c:v>
                </c:pt>
                <c:pt idx="863">
                  <c:v>134.05786719639542</c:v>
                </c:pt>
                <c:pt idx="864">
                  <c:v>134.08679725831493</c:v>
                </c:pt>
                <c:pt idx="865">
                  <c:v>134.10412714470482</c:v>
                </c:pt>
                <c:pt idx="866">
                  <c:v>134.17248879861438</c:v>
                </c:pt>
                <c:pt idx="867">
                  <c:v>134.31898357831466</c:v>
                </c:pt>
                <c:pt idx="868">
                  <c:v>134.41341331049733</c:v>
                </c:pt>
                <c:pt idx="869">
                  <c:v>134.48126157660496</c:v>
                </c:pt>
                <c:pt idx="870">
                  <c:v>134.51209151053675</c:v>
                </c:pt>
                <c:pt idx="871">
                  <c:v>134.5446408127616</c:v>
                </c:pt>
                <c:pt idx="872">
                  <c:v>134.6013122409644</c:v>
                </c:pt>
                <c:pt idx="873">
                  <c:v>134.65424044727501</c:v>
                </c:pt>
                <c:pt idx="874">
                  <c:v>134.6662901951984</c:v>
                </c:pt>
                <c:pt idx="875">
                  <c:v>134.72871768594584</c:v>
                </c:pt>
                <c:pt idx="876">
                  <c:v>134.74136767354196</c:v>
                </c:pt>
                <c:pt idx="877">
                  <c:v>134.81992406223065</c:v>
                </c:pt>
                <c:pt idx="878">
                  <c:v>134.90899093360628</c:v>
                </c:pt>
                <c:pt idx="879">
                  <c:v>134.9274760770675</c:v>
                </c:pt>
                <c:pt idx="880">
                  <c:v>135.02215058504788</c:v>
                </c:pt>
                <c:pt idx="881">
                  <c:v>135.09102676273761</c:v>
                </c:pt>
                <c:pt idx="882">
                  <c:v>135.12901533527688</c:v>
                </c:pt>
                <c:pt idx="883">
                  <c:v>135.19594078752309</c:v>
                </c:pt>
                <c:pt idx="884">
                  <c:v>135.29256583173148</c:v>
                </c:pt>
                <c:pt idx="885">
                  <c:v>135.2958001063852</c:v>
                </c:pt>
                <c:pt idx="886">
                  <c:v>135.39434165951408</c:v>
                </c:pt>
                <c:pt idx="887">
                  <c:v>135.5580029009937</c:v>
                </c:pt>
                <c:pt idx="888">
                  <c:v>135.60139013211921</c:v>
                </c:pt>
                <c:pt idx="889">
                  <c:v>135.65499408016615</c:v>
                </c:pt>
                <c:pt idx="890">
                  <c:v>135.66434263740805</c:v>
                </c:pt>
                <c:pt idx="891">
                  <c:v>135.68073794305695</c:v>
                </c:pt>
                <c:pt idx="892">
                  <c:v>135.73516633566487</c:v>
                </c:pt>
                <c:pt idx="893">
                  <c:v>135.73573057687423</c:v>
                </c:pt>
                <c:pt idx="894">
                  <c:v>135.76887987213246</c:v>
                </c:pt>
                <c:pt idx="895">
                  <c:v>135.80652881453031</c:v>
                </c:pt>
                <c:pt idx="896">
                  <c:v>135.81496468581321</c:v>
                </c:pt>
                <c:pt idx="897">
                  <c:v>135.84635499621373</c:v>
                </c:pt>
                <c:pt idx="898">
                  <c:v>135.84882606977413</c:v>
                </c:pt>
                <c:pt idx="899">
                  <c:v>135.88171201719211</c:v>
                </c:pt>
                <c:pt idx="900">
                  <c:v>135.92901479687788</c:v>
                </c:pt>
                <c:pt idx="901">
                  <c:v>135.93501401324957</c:v>
                </c:pt>
                <c:pt idx="902">
                  <c:v>135.93929571211132</c:v>
                </c:pt>
                <c:pt idx="903">
                  <c:v>135.97502083726673</c:v>
                </c:pt>
                <c:pt idx="904">
                  <c:v>135.99968290425119</c:v>
                </c:pt>
                <c:pt idx="905">
                  <c:v>136.01222735292612</c:v>
                </c:pt>
                <c:pt idx="906">
                  <c:v>136.02659894215893</c:v>
                </c:pt>
                <c:pt idx="907">
                  <c:v>136.38199608085787</c:v>
                </c:pt>
                <c:pt idx="908">
                  <c:v>136.45939186863416</c:v>
                </c:pt>
                <c:pt idx="909">
                  <c:v>136.62725893453384</c:v>
                </c:pt>
                <c:pt idx="910">
                  <c:v>136.65744542550374</c:v>
                </c:pt>
                <c:pt idx="911">
                  <c:v>136.67330631104383</c:v>
                </c:pt>
                <c:pt idx="912">
                  <c:v>136.72757892370959</c:v>
                </c:pt>
                <c:pt idx="913">
                  <c:v>136.74250072130852</c:v>
                </c:pt>
                <c:pt idx="914">
                  <c:v>136.77936157010103</c:v>
                </c:pt>
                <c:pt idx="915">
                  <c:v>136.82913084091126</c:v>
                </c:pt>
                <c:pt idx="916">
                  <c:v>137.03210668033063</c:v>
                </c:pt>
                <c:pt idx="917">
                  <c:v>137.06039563063393</c:v>
                </c:pt>
                <c:pt idx="918">
                  <c:v>137.06346117049057</c:v>
                </c:pt>
                <c:pt idx="919">
                  <c:v>137.08359878738975</c:v>
                </c:pt>
                <c:pt idx="920">
                  <c:v>137.08893042566459</c:v>
                </c:pt>
                <c:pt idx="921">
                  <c:v>137.08945370228003</c:v>
                </c:pt>
                <c:pt idx="922">
                  <c:v>137.1829630737343</c:v>
                </c:pt>
                <c:pt idx="923">
                  <c:v>137.21781838541941</c:v>
                </c:pt>
                <c:pt idx="924">
                  <c:v>137.24935597178387</c:v>
                </c:pt>
                <c:pt idx="925">
                  <c:v>137.37816408979643</c:v>
                </c:pt>
                <c:pt idx="926">
                  <c:v>137.4152103859781</c:v>
                </c:pt>
                <c:pt idx="927">
                  <c:v>137.48913862530043</c:v>
                </c:pt>
                <c:pt idx="928">
                  <c:v>137.50041944677739</c:v>
                </c:pt>
                <c:pt idx="929">
                  <c:v>137.58494850746078</c:v>
                </c:pt>
                <c:pt idx="930">
                  <c:v>137.71233561611044</c:v>
                </c:pt>
                <c:pt idx="931">
                  <c:v>137.80834393262501</c:v>
                </c:pt>
                <c:pt idx="932">
                  <c:v>137.8469408190131</c:v>
                </c:pt>
                <c:pt idx="933">
                  <c:v>137.8571191298189</c:v>
                </c:pt>
                <c:pt idx="934">
                  <c:v>137.91822513140403</c:v>
                </c:pt>
                <c:pt idx="935">
                  <c:v>137.98314912417777</c:v>
                </c:pt>
                <c:pt idx="936">
                  <c:v>138.02686504914371</c:v>
                </c:pt>
                <c:pt idx="937">
                  <c:v>138.05606353737676</c:v>
                </c:pt>
                <c:pt idx="938">
                  <c:v>138.12564358329115</c:v>
                </c:pt>
                <c:pt idx="939">
                  <c:v>138.13885047321719</c:v>
                </c:pt>
                <c:pt idx="940">
                  <c:v>138.25535533669796</c:v>
                </c:pt>
                <c:pt idx="941">
                  <c:v>138.46490497892015</c:v>
                </c:pt>
                <c:pt idx="942">
                  <c:v>138.47297783314298</c:v>
                </c:pt>
                <c:pt idx="943">
                  <c:v>138.51548765972996</c:v>
                </c:pt>
                <c:pt idx="944">
                  <c:v>138.51753223323715</c:v>
                </c:pt>
                <c:pt idx="945">
                  <c:v>138.52087954831725</c:v>
                </c:pt>
                <c:pt idx="946">
                  <c:v>138.52538595025374</c:v>
                </c:pt>
                <c:pt idx="947">
                  <c:v>138.53176964500088</c:v>
                </c:pt>
                <c:pt idx="948">
                  <c:v>138.64315437815588</c:v>
                </c:pt>
                <c:pt idx="949">
                  <c:v>138.6672824143497</c:v>
                </c:pt>
                <c:pt idx="950">
                  <c:v>138.72503958778759</c:v>
                </c:pt>
                <c:pt idx="951">
                  <c:v>138.73290530452601</c:v>
                </c:pt>
                <c:pt idx="952">
                  <c:v>138.75365982555138</c:v>
                </c:pt>
                <c:pt idx="953">
                  <c:v>138.81645798026059</c:v>
                </c:pt>
                <c:pt idx="954">
                  <c:v>138.90014339126051</c:v>
                </c:pt>
                <c:pt idx="955">
                  <c:v>139.32967253160018</c:v>
                </c:pt>
                <c:pt idx="956">
                  <c:v>139.45100214103809</c:v>
                </c:pt>
                <c:pt idx="957">
                  <c:v>139.49273157345471</c:v>
                </c:pt>
                <c:pt idx="958">
                  <c:v>139.5147155604061</c:v>
                </c:pt>
                <c:pt idx="959">
                  <c:v>139.56943865973619</c:v>
                </c:pt>
                <c:pt idx="960">
                  <c:v>139.60490930463837</c:v>
                </c:pt>
                <c:pt idx="961">
                  <c:v>139.6693163837578</c:v>
                </c:pt>
                <c:pt idx="962">
                  <c:v>139.75038630720923</c:v>
                </c:pt>
                <c:pt idx="963">
                  <c:v>139.77596295543046</c:v>
                </c:pt>
                <c:pt idx="964">
                  <c:v>139.82880098912582</c:v>
                </c:pt>
                <c:pt idx="965">
                  <c:v>139.83929561995777</c:v>
                </c:pt>
                <c:pt idx="966">
                  <c:v>139.90145071944121</c:v>
                </c:pt>
                <c:pt idx="967">
                  <c:v>139.92000588221015</c:v>
                </c:pt>
                <c:pt idx="968">
                  <c:v>139.93045398384947</c:v>
                </c:pt>
                <c:pt idx="969">
                  <c:v>140.12763236146202</c:v>
                </c:pt>
                <c:pt idx="970">
                  <c:v>140.1438834431527</c:v>
                </c:pt>
                <c:pt idx="971">
                  <c:v>140.18051692619142</c:v>
                </c:pt>
                <c:pt idx="972">
                  <c:v>140.21785874125973</c:v>
                </c:pt>
                <c:pt idx="973">
                  <c:v>140.28320665358714</c:v>
                </c:pt>
                <c:pt idx="974">
                  <c:v>140.29845499089572</c:v>
                </c:pt>
                <c:pt idx="975">
                  <c:v>140.31926355151666</c:v>
                </c:pt>
                <c:pt idx="976">
                  <c:v>140.3393432995006</c:v>
                </c:pt>
                <c:pt idx="977">
                  <c:v>140.35655018680049</c:v>
                </c:pt>
                <c:pt idx="978">
                  <c:v>140.36686248213871</c:v>
                </c:pt>
                <c:pt idx="979">
                  <c:v>140.40217882682754</c:v>
                </c:pt>
                <c:pt idx="980">
                  <c:v>140.4323278224947</c:v>
                </c:pt>
                <c:pt idx="981">
                  <c:v>140.45025825339641</c:v>
                </c:pt>
                <c:pt idx="982">
                  <c:v>140.51089955197236</c:v>
                </c:pt>
                <c:pt idx="983">
                  <c:v>140.62521310921622</c:v>
                </c:pt>
                <c:pt idx="984">
                  <c:v>140.63032181727482</c:v>
                </c:pt>
                <c:pt idx="985">
                  <c:v>140.64791394166735</c:v>
                </c:pt>
                <c:pt idx="986">
                  <c:v>141.0083654994155</c:v>
                </c:pt>
                <c:pt idx="987">
                  <c:v>141.08465385305215</c:v>
                </c:pt>
                <c:pt idx="988">
                  <c:v>141.09815525860535</c:v>
                </c:pt>
                <c:pt idx="989">
                  <c:v>141.10000203916692</c:v>
                </c:pt>
                <c:pt idx="990">
                  <c:v>141.1919809082205</c:v>
                </c:pt>
                <c:pt idx="991">
                  <c:v>141.24392578061628</c:v>
                </c:pt>
                <c:pt idx="992">
                  <c:v>141.31499660480773</c:v>
                </c:pt>
                <c:pt idx="993">
                  <c:v>141.47127296007756</c:v>
                </c:pt>
                <c:pt idx="994">
                  <c:v>141.55700030650027</c:v>
                </c:pt>
                <c:pt idx="995">
                  <c:v>141.563853964717</c:v>
                </c:pt>
                <c:pt idx="996">
                  <c:v>141.66972018217035</c:v>
                </c:pt>
                <c:pt idx="997">
                  <c:v>141.78472452332298</c:v>
                </c:pt>
                <c:pt idx="998">
                  <c:v>141.91095434471714</c:v>
                </c:pt>
                <c:pt idx="999">
                  <c:v>141.91683364482395</c:v>
                </c:pt>
                <c:pt idx="1000">
                  <c:v>142.02209967100117</c:v>
                </c:pt>
                <c:pt idx="1001">
                  <c:v>142.11013766013912</c:v>
                </c:pt>
                <c:pt idx="1002">
                  <c:v>142.16152575114972</c:v>
                </c:pt>
                <c:pt idx="1003">
                  <c:v>142.21683136356404</c:v>
                </c:pt>
                <c:pt idx="1004">
                  <c:v>142.22413449694946</c:v>
                </c:pt>
                <c:pt idx="1005">
                  <c:v>142.28234853215619</c:v>
                </c:pt>
                <c:pt idx="1006">
                  <c:v>142.3458836751914</c:v>
                </c:pt>
                <c:pt idx="1007">
                  <c:v>142.43613161312891</c:v>
                </c:pt>
                <c:pt idx="1008">
                  <c:v>142.44142630739498</c:v>
                </c:pt>
                <c:pt idx="1009">
                  <c:v>142.44352898729898</c:v>
                </c:pt>
                <c:pt idx="1010">
                  <c:v>142.4648240763874</c:v>
                </c:pt>
                <c:pt idx="1011">
                  <c:v>142.58044865652425</c:v>
                </c:pt>
                <c:pt idx="1012">
                  <c:v>142.59180019810265</c:v>
                </c:pt>
                <c:pt idx="1013">
                  <c:v>142.62742447431077</c:v>
                </c:pt>
                <c:pt idx="1014">
                  <c:v>142.639481805678</c:v>
                </c:pt>
                <c:pt idx="1015">
                  <c:v>142.70477328482463</c:v>
                </c:pt>
                <c:pt idx="1016">
                  <c:v>142.73459992217869</c:v>
                </c:pt>
                <c:pt idx="1017">
                  <c:v>142.8483441063608</c:v>
                </c:pt>
                <c:pt idx="1018">
                  <c:v>142.87106904995636</c:v>
                </c:pt>
                <c:pt idx="1019">
                  <c:v>142.89090544855816</c:v>
                </c:pt>
                <c:pt idx="1020">
                  <c:v>142.96251174798556</c:v>
                </c:pt>
                <c:pt idx="1021">
                  <c:v>142.98683343156088</c:v>
                </c:pt>
                <c:pt idx="1022">
                  <c:v>143.02906590446605</c:v>
                </c:pt>
                <c:pt idx="1023">
                  <c:v>143.04137202695449</c:v>
                </c:pt>
                <c:pt idx="1024">
                  <c:v>143.06739621725876</c:v>
                </c:pt>
                <c:pt idx="1025">
                  <c:v>143.09647996283627</c:v>
                </c:pt>
                <c:pt idx="1026">
                  <c:v>143.09654428262638</c:v>
                </c:pt>
                <c:pt idx="1027">
                  <c:v>143.1139111744875</c:v>
                </c:pt>
                <c:pt idx="1028">
                  <c:v>143.14464670900983</c:v>
                </c:pt>
                <c:pt idx="1029">
                  <c:v>143.33820811882461</c:v>
                </c:pt>
                <c:pt idx="1030">
                  <c:v>143.403307118306</c:v>
                </c:pt>
                <c:pt idx="1031">
                  <c:v>143.49231658591214</c:v>
                </c:pt>
                <c:pt idx="1032">
                  <c:v>143.5225878610245</c:v>
                </c:pt>
                <c:pt idx="1033">
                  <c:v>144.00874418034249</c:v>
                </c:pt>
                <c:pt idx="1034">
                  <c:v>144.04044921225287</c:v>
                </c:pt>
                <c:pt idx="1035">
                  <c:v>144.24268548450857</c:v>
                </c:pt>
                <c:pt idx="1036">
                  <c:v>144.29914356034422</c:v>
                </c:pt>
                <c:pt idx="1037">
                  <c:v>144.45961298062423</c:v>
                </c:pt>
                <c:pt idx="1038">
                  <c:v>144.54341747078502</c:v>
                </c:pt>
                <c:pt idx="1039">
                  <c:v>144.66200030494613</c:v>
                </c:pt>
                <c:pt idx="1040">
                  <c:v>144.69001693065346</c:v>
                </c:pt>
                <c:pt idx="1041">
                  <c:v>144.73838747523689</c:v>
                </c:pt>
                <c:pt idx="1042">
                  <c:v>144.75268878830286</c:v>
                </c:pt>
                <c:pt idx="1043">
                  <c:v>144.75821589207976</c:v>
                </c:pt>
                <c:pt idx="1044">
                  <c:v>144.80886894833549</c:v>
                </c:pt>
                <c:pt idx="1045">
                  <c:v>144.87590664833175</c:v>
                </c:pt>
                <c:pt idx="1046">
                  <c:v>144.8779980580897</c:v>
                </c:pt>
                <c:pt idx="1047">
                  <c:v>144.88328465779233</c:v>
                </c:pt>
                <c:pt idx="1048">
                  <c:v>144.89790027973936</c:v>
                </c:pt>
                <c:pt idx="1049">
                  <c:v>144.98011138783772</c:v>
                </c:pt>
                <c:pt idx="1050">
                  <c:v>145.01420420759166</c:v>
                </c:pt>
                <c:pt idx="1051">
                  <c:v>145.05294237086582</c:v>
                </c:pt>
                <c:pt idx="1052">
                  <c:v>145.08506699501908</c:v>
                </c:pt>
                <c:pt idx="1053">
                  <c:v>145.11038403886491</c:v>
                </c:pt>
                <c:pt idx="1054">
                  <c:v>145.21555679872174</c:v>
                </c:pt>
                <c:pt idx="1055">
                  <c:v>145.23815053530856</c:v>
                </c:pt>
                <c:pt idx="1056">
                  <c:v>145.28219216485294</c:v>
                </c:pt>
                <c:pt idx="1057">
                  <c:v>145.30410123872812</c:v>
                </c:pt>
                <c:pt idx="1058">
                  <c:v>145.35009116035323</c:v>
                </c:pt>
                <c:pt idx="1059">
                  <c:v>145.3548690218548</c:v>
                </c:pt>
                <c:pt idx="1060">
                  <c:v>145.46310235213807</c:v>
                </c:pt>
                <c:pt idx="1061">
                  <c:v>145.54691615590252</c:v>
                </c:pt>
                <c:pt idx="1062">
                  <c:v>145.57474646185449</c:v>
                </c:pt>
                <c:pt idx="1063">
                  <c:v>145.69626655625535</c:v>
                </c:pt>
                <c:pt idx="1064">
                  <c:v>145.72952489158064</c:v>
                </c:pt>
                <c:pt idx="1065">
                  <c:v>145.8029943453742</c:v>
                </c:pt>
                <c:pt idx="1066">
                  <c:v>145.81112999143897</c:v>
                </c:pt>
                <c:pt idx="1067">
                  <c:v>145.88812088084799</c:v>
                </c:pt>
                <c:pt idx="1068">
                  <c:v>145.94331375063939</c:v>
                </c:pt>
                <c:pt idx="1069">
                  <c:v>145.9505571677289</c:v>
                </c:pt>
                <c:pt idx="1070">
                  <c:v>146.18828396208636</c:v>
                </c:pt>
                <c:pt idx="1071">
                  <c:v>146.19880855574252</c:v>
                </c:pt>
                <c:pt idx="1072">
                  <c:v>146.2550055337561</c:v>
                </c:pt>
                <c:pt idx="1073">
                  <c:v>146.27967608315473</c:v>
                </c:pt>
                <c:pt idx="1074">
                  <c:v>146.40393528078985</c:v>
                </c:pt>
                <c:pt idx="1075">
                  <c:v>146.44965147702419</c:v>
                </c:pt>
                <c:pt idx="1076">
                  <c:v>146.47960744082795</c:v>
                </c:pt>
                <c:pt idx="1077">
                  <c:v>146.55707597718549</c:v>
                </c:pt>
                <c:pt idx="1078">
                  <c:v>146.6451448556632</c:v>
                </c:pt>
                <c:pt idx="1079">
                  <c:v>146.70529465290679</c:v>
                </c:pt>
                <c:pt idx="1080">
                  <c:v>146.79473463008213</c:v>
                </c:pt>
                <c:pt idx="1081">
                  <c:v>146.82316604053034</c:v>
                </c:pt>
                <c:pt idx="1082">
                  <c:v>146.8617430896569</c:v>
                </c:pt>
                <c:pt idx="1083">
                  <c:v>146.88795809432634</c:v>
                </c:pt>
                <c:pt idx="1084">
                  <c:v>146.89403162941284</c:v>
                </c:pt>
                <c:pt idx="1085">
                  <c:v>146.9576077080244</c:v>
                </c:pt>
                <c:pt idx="1086">
                  <c:v>147.03279589961647</c:v>
                </c:pt>
                <c:pt idx="1087">
                  <c:v>147.12345494331603</c:v>
                </c:pt>
                <c:pt idx="1088">
                  <c:v>147.13906730500918</c:v>
                </c:pt>
                <c:pt idx="1089">
                  <c:v>147.36622223844398</c:v>
                </c:pt>
                <c:pt idx="1090">
                  <c:v>147.40705554901575</c:v>
                </c:pt>
                <c:pt idx="1091">
                  <c:v>147.46502958209746</c:v>
                </c:pt>
                <c:pt idx="1092">
                  <c:v>147.54416757362139</c:v>
                </c:pt>
                <c:pt idx="1093">
                  <c:v>147.55023175653474</c:v>
                </c:pt>
                <c:pt idx="1094">
                  <c:v>147.59527289351939</c:v>
                </c:pt>
                <c:pt idx="1095">
                  <c:v>147.62142239001031</c:v>
                </c:pt>
                <c:pt idx="1096">
                  <c:v>147.65949776797135</c:v>
                </c:pt>
                <c:pt idx="1097">
                  <c:v>147.68541567343379</c:v>
                </c:pt>
                <c:pt idx="1098">
                  <c:v>147.77855291306702</c:v>
                </c:pt>
                <c:pt idx="1099">
                  <c:v>147.81526350353224</c:v>
                </c:pt>
                <c:pt idx="1100">
                  <c:v>147.83445323583823</c:v>
                </c:pt>
                <c:pt idx="1101">
                  <c:v>147.87719455709541</c:v>
                </c:pt>
                <c:pt idx="1102">
                  <c:v>147.98145833563132</c:v>
                </c:pt>
                <c:pt idx="1103">
                  <c:v>148.00044532752753</c:v>
                </c:pt>
                <c:pt idx="1104">
                  <c:v>148.04265804385187</c:v>
                </c:pt>
                <c:pt idx="1105">
                  <c:v>148.16799325922494</c:v>
                </c:pt>
                <c:pt idx="1106">
                  <c:v>148.23047445673757</c:v>
                </c:pt>
                <c:pt idx="1107">
                  <c:v>148.27256606449285</c:v>
                </c:pt>
                <c:pt idx="1108">
                  <c:v>148.36907365108314</c:v>
                </c:pt>
                <c:pt idx="1109">
                  <c:v>148.5235403461779</c:v>
                </c:pt>
                <c:pt idx="1110">
                  <c:v>148.59947755491856</c:v>
                </c:pt>
                <c:pt idx="1111">
                  <c:v>148.64338892219823</c:v>
                </c:pt>
                <c:pt idx="1112">
                  <c:v>148.67664503034655</c:v>
                </c:pt>
                <c:pt idx="1113">
                  <c:v>148.73686794869315</c:v>
                </c:pt>
                <c:pt idx="1114">
                  <c:v>149.06158034800166</c:v>
                </c:pt>
                <c:pt idx="1115">
                  <c:v>149.10692490239904</c:v>
                </c:pt>
                <c:pt idx="1116">
                  <c:v>149.15264189159279</c:v>
                </c:pt>
                <c:pt idx="1117">
                  <c:v>149.35274852431573</c:v>
                </c:pt>
                <c:pt idx="1118">
                  <c:v>149.37996356755451</c:v>
                </c:pt>
                <c:pt idx="1119">
                  <c:v>149.40537846889623</c:v>
                </c:pt>
                <c:pt idx="1120">
                  <c:v>149.48055563649285</c:v>
                </c:pt>
                <c:pt idx="1121">
                  <c:v>149.5142385758142</c:v>
                </c:pt>
                <c:pt idx="1122">
                  <c:v>149.52704888051505</c:v>
                </c:pt>
                <c:pt idx="1123">
                  <c:v>149.56776309980063</c:v>
                </c:pt>
                <c:pt idx="1124">
                  <c:v>149.66869823285057</c:v>
                </c:pt>
                <c:pt idx="1125">
                  <c:v>149.75132040521237</c:v>
                </c:pt>
                <c:pt idx="1126">
                  <c:v>149.80340894175566</c:v>
                </c:pt>
                <c:pt idx="1127">
                  <c:v>149.90583921844956</c:v>
                </c:pt>
                <c:pt idx="1128">
                  <c:v>150.05544408734346</c:v>
                </c:pt>
                <c:pt idx="1129">
                  <c:v>150.06498328799728</c:v>
                </c:pt>
                <c:pt idx="1130">
                  <c:v>150.17067140999166</c:v>
                </c:pt>
                <c:pt idx="1131">
                  <c:v>150.19451643253251</c:v>
                </c:pt>
                <c:pt idx="1132">
                  <c:v>150.20468986009917</c:v>
                </c:pt>
                <c:pt idx="1133">
                  <c:v>150.20576096732717</c:v>
                </c:pt>
                <c:pt idx="1134">
                  <c:v>150.20651102399927</c:v>
                </c:pt>
                <c:pt idx="1135">
                  <c:v>150.26261695067782</c:v>
                </c:pt>
                <c:pt idx="1136">
                  <c:v>150.29208918178264</c:v>
                </c:pt>
                <c:pt idx="1137">
                  <c:v>150.2983013908742</c:v>
                </c:pt>
                <c:pt idx="1138">
                  <c:v>150.29963703382197</c:v>
                </c:pt>
                <c:pt idx="1139">
                  <c:v>150.34348261171704</c:v>
                </c:pt>
                <c:pt idx="1140">
                  <c:v>150.37813527762768</c:v>
                </c:pt>
                <c:pt idx="1141">
                  <c:v>150.38803327057173</c:v>
                </c:pt>
                <c:pt idx="1142">
                  <c:v>150.38911150214705</c:v>
                </c:pt>
                <c:pt idx="1143">
                  <c:v>150.43126751023678</c:v>
                </c:pt>
                <c:pt idx="1144">
                  <c:v>150.5761615848034</c:v>
                </c:pt>
                <c:pt idx="1145">
                  <c:v>150.58536090684274</c:v>
                </c:pt>
                <c:pt idx="1146">
                  <c:v>150.58708075688361</c:v>
                </c:pt>
                <c:pt idx="1147">
                  <c:v>150.60108078403928</c:v>
                </c:pt>
                <c:pt idx="1148">
                  <c:v>150.71225271622694</c:v>
                </c:pt>
                <c:pt idx="1149">
                  <c:v>150.7378181977102</c:v>
                </c:pt>
                <c:pt idx="1150">
                  <c:v>150.76231051738804</c:v>
                </c:pt>
                <c:pt idx="1151">
                  <c:v>150.76806363802075</c:v>
                </c:pt>
                <c:pt idx="1152">
                  <c:v>150.80093520234936</c:v>
                </c:pt>
                <c:pt idx="1153">
                  <c:v>151.0422410808859</c:v>
                </c:pt>
                <c:pt idx="1154">
                  <c:v>151.07464358964899</c:v>
                </c:pt>
                <c:pt idx="1155">
                  <c:v>151.08057679455766</c:v>
                </c:pt>
                <c:pt idx="1156">
                  <c:v>151.10010381760952</c:v>
                </c:pt>
                <c:pt idx="1157">
                  <c:v>151.10885661610143</c:v>
                </c:pt>
                <c:pt idx="1158">
                  <c:v>151.12310555631319</c:v>
                </c:pt>
                <c:pt idx="1159">
                  <c:v>151.15475168133497</c:v>
                </c:pt>
                <c:pt idx="1160">
                  <c:v>151.24381916569592</c:v>
                </c:pt>
                <c:pt idx="1161">
                  <c:v>151.31307932540687</c:v>
                </c:pt>
                <c:pt idx="1162">
                  <c:v>151.32325055302638</c:v>
                </c:pt>
                <c:pt idx="1163">
                  <c:v>151.33195371478598</c:v>
                </c:pt>
                <c:pt idx="1164">
                  <c:v>151.45279925836604</c:v>
                </c:pt>
                <c:pt idx="1165">
                  <c:v>151.48815223553731</c:v>
                </c:pt>
                <c:pt idx="1166">
                  <c:v>151.52272570810027</c:v>
                </c:pt>
                <c:pt idx="1167">
                  <c:v>151.57529200424932</c:v>
                </c:pt>
                <c:pt idx="1168">
                  <c:v>151.66061571749478</c:v>
                </c:pt>
                <c:pt idx="1169">
                  <c:v>151.72172391863407</c:v>
                </c:pt>
                <c:pt idx="1170">
                  <c:v>151.86632877435352</c:v>
                </c:pt>
                <c:pt idx="1171">
                  <c:v>151.92381709354686</c:v>
                </c:pt>
                <c:pt idx="1172">
                  <c:v>152.065529611378</c:v>
                </c:pt>
                <c:pt idx="1173">
                  <c:v>152.06970441128706</c:v>
                </c:pt>
                <c:pt idx="1174">
                  <c:v>152.12764262231053</c:v>
                </c:pt>
                <c:pt idx="1175">
                  <c:v>152.13072738490314</c:v>
                </c:pt>
                <c:pt idx="1176">
                  <c:v>152.2933689889241</c:v>
                </c:pt>
                <c:pt idx="1177">
                  <c:v>152.31059811980955</c:v>
                </c:pt>
                <c:pt idx="1178">
                  <c:v>152.34948387801359</c:v>
                </c:pt>
                <c:pt idx="1179">
                  <c:v>152.39294505169681</c:v>
                </c:pt>
                <c:pt idx="1180">
                  <c:v>152.4004695688896</c:v>
                </c:pt>
                <c:pt idx="1181">
                  <c:v>152.40754712341618</c:v>
                </c:pt>
                <c:pt idx="1182">
                  <c:v>152.41052479442186</c:v>
                </c:pt>
                <c:pt idx="1183">
                  <c:v>152.41851587086512</c:v>
                </c:pt>
                <c:pt idx="1184">
                  <c:v>152.52358706406062</c:v>
                </c:pt>
                <c:pt idx="1185">
                  <c:v>152.59865678144203</c:v>
                </c:pt>
                <c:pt idx="1186">
                  <c:v>152.62225472522343</c:v>
                </c:pt>
                <c:pt idx="1187">
                  <c:v>152.62684327668569</c:v>
                </c:pt>
                <c:pt idx="1188">
                  <c:v>152.71645494684961</c:v>
                </c:pt>
                <c:pt idx="1189">
                  <c:v>152.8064354906623</c:v>
                </c:pt>
                <c:pt idx="1190">
                  <c:v>152.8225946619404</c:v>
                </c:pt>
                <c:pt idx="1191">
                  <c:v>152.8586435653749</c:v>
                </c:pt>
                <c:pt idx="1192">
                  <c:v>152.91844182631849</c:v>
                </c:pt>
                <c:pt idx="1193">
                  <c:v>152.96736245342947</c:v>
                </c:pt>
                <c:pt idx="1194">
                  <c:v>153.02053694842937</c:v>
                </c:pt>
                <c:pt idx="1195">
                  <c:v>153.07487650108027</c:v>
                </c:pt>
                <c:pt idx="1196">
                  <c:v>153.21351739755605</c:v>
                </c:pt>
                <c:pt idx="1197">
                  <c:v>153.22493120126796</c:v>
                </c:pt>
                <c:pt idx="1198">
                  <c:v>153.23691058346822</c:v>
                </c:pt>
                <c:pt idx="1199">
                  <c:v>153.24680016464072</c:v>
                </c:pt>
                <c:pt idx="1200">
                  <c:v>153.26344421159462</c:v>
                </c:pt>
                <c:pt idx="1201">
                  <c:v>153.30553245729141</c:v>
                </c:pt>
                <c:pt idx="1202">
                  <c:v>153.36411654647472</c:v>
                </c:pt>
                <c:pt idx="1203">
                  <c:v>153.44481229735342</c:v>
                </c:pt>
                <c:pt idx="1204">
                  <c:v>153.53485265178134</c:v>
                </c:pt>
                <c:pt idx="1205">
                  <c:v>153.55533632390924</c:v>
                </c:pt>
                <c:pt idx="1206">
                  <c:v>153.55636990449679</c:v>
                </c:pt>
                <c:pt idx="1207">
                  <c:v>153.6109375082911</c:v>
                </c:pt>
                <c:pt idx="1208">
                  <c:v>153.65541156902097</c:v>
                </c:pt>
                <c:pt idx="1209">
                  <c:v>153.67376177372191</c:v>
                </c:pt>
                <c:pt idx="1210">
                  <c:v>153.69722971872028</c:v>
                </c:pt>
                <c:pt idx="1211">
                  <c:v>153.7624230950438</c:v>
                </c:pt>
                <c:pt idx="1212">
                  <c:v>153.76485920248768</c:v>
                </c:pt>
                <c:pt idx="1213">
                  <c:v>153.83746135390427</c:v>
                </c:pt>
                <c:pt idx="1214">
                  <c:v>153.91725559954233</c:v>
                </c:pt>
                <c:pt idx="1215">
                  <c:v>153.97657247334669</c:v>
                </c:pt>
                <c:pt idx="1216">
                  <c:v>154.01307490529533</c:v>
                </c:pt>
                <c:pt idx="1217">
                  <c:v>154.02338722080611</c:v>
                </c:pt>
                <c:pt idx="1218">
                  <c:v>154.06486027513242</c:v>
                </c:pt>
                <c:pt idx="1219">
                  <c:v>154.07856280068447</c:v>
                </c:pt>
                <c:pt idx="1220">
                  <c:v>154.11049188666692</c:v>
                </c:pt>
                <c:pt idx="1221">
                  <c:v>154.13725475026661</c:v>
                </c:pt>
                <c:pt idx="1222">
                  <c:v>154.14553092290751</c:v>
                </c:pt>
                <c:pt idx="1223">
                  <c:v>154.21922536849021</c:v>
                </c:pt>
                <c:pt idx="1224">
                  <c:v>154.51951610412425</c:v>
                </c:pt>
                <c:pt idx="1225">
                  <c:v>154.52355112261677</c:v>
                </c:pt>
                <c:pt idx="1226">
                  <c:v>154.54023244386264</c:v>
                </c:pt>
                <c:pt idx="1227">
                  <c:v>154.56380608313901</c:v>
                </c:pt>
                <c:pt idx="1228">
                  <c:v>154.57595662976195</c:v>
                </c:pt>
                <c:pt idx="1229">
                  <c:v>154.67905129334937</c:v>
                </c:pt>
                <c:pt idx="1230">
                  <c:v>154.71031359689042</c:v>
                </c:pt>
                <c:pt idx="1231">
                  <c:v>154.84080162918636</c:v>
                </c:pt>
                <c:pt idx="1232">
                  <c:v>154.97856631532639</c:v>
                </c:pt>
                <c:pt idx="1233">
                  <c:v>155.00711357357778</c:v>
                </c:pt>
                <c:pt idx="1234">
                  <c:v>155.04177137928821</c:v>
                </c:pt>
                <c:pt idx="1235">
                  <c:v>155.09754259914797</c:v>
                </c:pt>
                <c:pt idx="1236">
                  <c:v>155.24478987261088</c:v>
                </c:pt>
                <c:pt idx="1237">
                  <c:v>155.24792566174784</c:v>
                </c:pt>
                <c:pt idx="1238">
                  <c:v>155.34693415380229</c:v>
                </c:pt>
                <c:pt idx="1239">
                  <c:v>155.35514015193331</c:v>
                </c:pt>
                <c:pt idx="1240">
                  <c:v>155.36017277642875</c:v>
                </c:pt>
                <c:pt idx="1241">
                  <c:v>155.38413578694346</c:v>
                </c:pt>
                <c:pt idx="1242">
                  <c:v>155.44231248032506</c:v>
                </c:pt>
                <c:pt idx="1243">
                  <c:v>155.48465929947201</c:v>
                </c:pt>
                <c:pt idx="1244">
                  <c:v>155.50877018321751</c:v>
                </c:pt>
                <c:pt idx="1245">
                  <c:v>155.59551247795289</c:v>
                </c:pt>
                <c:pt idx="1246">
                  <c:v>155.60126274549475</c:v>
                </c:pt>
                <c:pt idx="1247">
                  <c:v>155.60233944224785</c:v>
                </c:pt>
                <c:pt idx="1248">
                  <c:v>155.71151525535009</c:v>
                </c:pt>
                <c:pt idx="1249">
                  <c:v>155.75921179882675</c:v>
                </c:pt>
                <c:pt idx="1250">
                  <c:v>155.78274651278772</c:v>
                </c:pt>
                <c:pt idx="1251">
                  <c:v>155.92097714345653</c:v>
                </c:pt>
                <c:pt idx="1252">
                  <c:v>156.04074298298232</c:v>
                </c:pt>
                <c:pt idx="1253">
                  <c:v>156.1075064032951</c:v>
                </c:pt>
                <c:pt idx="1254">
                  <c:v>156.11265286915432</c:v>
                </c:pt>
                <c:pt idx="1255">
                  <c:v>156.17104454129577</c:v>
                </c:pt>
                <c:pt idx="1256">
                  <c:v>156.20166052728436</c:v>
                </c:pt>
                <c:pt idx="1257">
                  <c:v>156.30678219540599</c:v>
                </c:pt>
                <c:pt idx="1258">
                  <c:v>156.3999395247051</c:v>
                </c:pt>
                <c:pt idx="1259">
                  <c:v>156.4548232366817</c:v>
                </c:pt>
                <c:pt idx="1260">
                  <c:v>156.4625609785993</c:v>
                </c:pt>
                <c:pt idx="1261">
                  <c:v>156.47614317218176</c:v>
                </c:pt>
                <c:pt idx="1262">
                  <c:v>156.48730268573121</c:v>
                </c:pt>
                <c:pt idx="1263">
                  <c:v>156.49302186518599</c:v>
                </c:pt>
                <c:pt idx="1264">
                  <c:v>156.51533451004337</c:v>
                </c:pt>
                <c:pt idx="1265">
                  <c:v>156.57114057954249</c:v>
                </c:pt>
                <c:pt idx="1266">
                  <c:v>156.58170567134101</c:v>
                </c:pt>
                <c:pt idx="1267">
                  <c:v>156.59599467375855</c:v>
                </c:pt>
                <c:pt idx="1268">
                  <c:v>156.63763325954002</c:v>
                </c:pt>
                <c:pt idx="1269">
                  <c:v>156.65205451555076</c:v>
                </c:pt>
                <c:pt idx="1270">
                  <c:v>156.70838986620726</c:v>
                </c:pt>
                <c:pt idx="1271">
                  <c:v>156.84108377342949</c:v>
                </c:pt>
                <c:pt idx="1272">
                  <c:v>156.9597102119277</c:v>
                </c:pt>
                <c:pt idx="1273">
                  <c:v>156.9803577763453</c:v>
                </c:pt>
                <c:pt idx="1274">
                  <c:v>157.00024147527742</c:v>
                </c:pt>
                <c:pt idx="1275">
                  <c:v>157.00348956314971</c:v>
                </c:pt>
                <c:pt idx="1276">
                  <c:v>157.01610448214163</c:v>
                </c:pt>
                <c:pt idx="1277">
                  <c:v>157.05516678192953</c:v>
                </c:pt>
                <c:pt idx="1278">
                  <c:v>157.06113506814816</c:v>
                </c:pt>
                <c:pt idx="1279">
                  <c:v>157.08059792084561</c:v>
                </c:pt>
                <c:pt idx="1280">
                  <c:v>157.1011756306138</c:v>
                </c:pt>
                <c:pt idx="1281">
                  <c:v>157.13735147719791</c:v>
                </c:pt>
                <c:pt idx="1282">
                  <c:v>157.2314516946135</c:v>
                </c:pt>
                <c:pt idx="1283">
                  <c:v>157.23989379714152</c:v>
                </c:pt>
                <c:pt idx="1284">
                  <c:v>157.2408366421285</c:v>
                </c:pt>
                <c:pt idx="1285">
                  <c:v>157.25095749128732</c:v>
                </c:pt>
                <c:pt idx="1286">
                  <c:v>157.27285618985573</c:v>
                </c:pt>
                <c:pt idx="1287">
                  <c:v>157.32478134506184</c:v>
                </c:pt>
                <c:pt idx="1288">
                  <c:v>157.330298971274</c:v>
                </c:pt>
                <c:pt idx="1289">
                  <c:v>157.33238728873945</c:v>
                </c:pt>
                <c:pt idx="1290">
                  <c:v>157.3631187788809</c:v>
                </c:pt>
                <c:pt idx="1291">
                  <c:v>157.42672048867507</c:v>
                </c:pt>
                <c:pt idx="1292">
                  <c:v>157.43595920057135</c:v>
                </c:pt>
                <c:pt idx="1293">
                  <c:v>157.46168959198334</c:v>
                </c:pt>
                <c:pt idx="1294">
                  <c:v>157.52039142829449</c:v>
                </c:pt>
                <c:pt idx="1295">
                  <c:v>157.60388995087624</c:v>
                </c:pt>
                <c:pt idx="1296">
                  <c:v>157.66698267701179</c:v>
                </c:pt>
                <c:pt idx="1297">
                  <c:v>157.76859992249621</c:v>
                </c:pt>
                <c:pt idx="1298">
                  <c:v>157.89819772086054</c:v>
                </c:pt>
                <c:pt idx="1299">
                  <c:v>157.96355002882873</c:v>
                </c:pt>
                <c:pt idx="1300">
                  <c:v>157.97107755499684</c:v>
                </c:pt>
                <c:pt idx="1301">
                  <c:v>157.98382244606316</c:v>
                </c:pt>
                <c:pt idx="1302">
                  <c:v>158.02532404843288</c:v>
                </c:pt>
                <c:pt idx="1303">
                  <c:v>158.10127735748893</c:v>
                </c:pt>
                <c:pt idx="1304">
                  <c:v>158.25442453856527</c:v>
                </c:pt>
                <c:pt idx="1305">
                  <c:v>158.27570483127298</c:v>
                </c:pt>
                <c:pt idx="1306">
                  <c:v>158.28816952210286</c:v>
                </c:pt>
                <c:pt idx="1307">
                  <c:v>158.31667017166913</c:v>
                </c:pt>
                <c:pt idx="1308">
                  <c:v>158.36505819651404</c:v>
                </c:pt>
                <c:pt idx="1309">
                  <c:v>158.64980920182168</c:v>
                </c:pt>
                <c:pt idx="1310">
                  <c:v>158.75420192328255</c:v>
                </c:pt>
                <c:pt idx="1311">
                  <c:v>158.82915657670867</c:v>
                </c:pt>
                <c:pt idx="1312">
                  <c:v>158.82977954093283</c:v>
                </c:pt>
                <c:pt idx="1313">
                  <c:v>158.89619837218225</c:v>
                </c:pt>
                <c:pt idx="1314">
                  <c:v>158.91934815314829</c:v>
                </c:pt>
                <c:pt idx="1315">
                  <c:v>158.9458629587136</c:v>
                </c:pt>
                <c:pt idx="1316">
                  <c:v>158.95465124765104</c:v>
                </c:pt>
                <c:pt idx="1317">
                  <c:v>158.98555144153897</c:v>
                </c:pt>
                <c:pt idx="1318">
                  <c:v>159.16185411037085</c:v>
                </c:pt>
                <c:pt idx="1319">
                  <c:v>159.16613266628249</c:v>
                </c:pt>
                <c:pt idx="1320">
                  <c:v>159.20562398914655</c:v>
                </c:pt>
                <c:pt idx="1321">
                  <c:v>159.31459843050357</c:v>
                </c:pt>
                <c:pt idx="1322">
                  <c:v>159.40868412588401</c:v>
                </c:pt>
                <c:pt idx="1323">
                  <c:v>159.42406748305069</c:v>
                </c:pt>
                <c:pt idx="1324">
                  <c:v>159.42524091382671</c:v>
                </c:pt>
                <c:pt idx="1325">
                  <c:v>159.48126934645637</c:v>
                </c:pt>
                <c:pt idx="1326">
                  <c:v>159.55413444282587</c:v>
                </c:pt>
                <c:pt idx="1327">
                  <c:v>159.58781138564368</c:v>
                </c:pt>
                <c:pt idx="1328">
                  <c:v>159.67491955384799</c:v>
                </c:pt>
                <c:pt idx="1329">
                  <c:v>159.71995136097445</c:v>
                </c:pt>
                <c:pt idx="1330">
                  <c:v>159.72139334164592</c:v>
                </c:pt>
                <c:pt idx="1331">
                  <c:v>159.78466305383631</c:v>
                </c:pt>
                <c:pt idx="1332">
                  <c:v>159.79148993733708</c:v>
                </c:pt>
                <c:pt idx="1333">
                  <c:v>159.89482984387391</c:v>
                </c:pt>
                <c:pt idx="1334">
                  <c:v>159.98955680393794</c:v>
                </c:pt>
                <c:pt idx="1335">
                  <c:v>160.03005863746728</c:v>
                </c:pt>
                <c:pt idx="1336">
                  <c:v>160.09522872472127</c:v>
                </c:pt>
                <c:pt idx="1337">
                  <c:v>160.13992470890707</c:v>
                </c:pt>
                <c:pt idx="1338">
                  <c:v>160.14952190541274</c:v>
                </c:pt>
                <c:pt idx="1339">
                  <c:v>160.15179684631227</c:v>
                </c:pt>
                <c:pt idx="1340">
                  <c:v>160.16718678241799</c:v>
                </c:pt>
                <c:pt idx="1341">
                  <c:v>160.21195152874762</c:v>
                </c:pt>
                <c:pt idx="1342">
                  <c:v>160.22330924935306</c:v>
                </c:pt>
                <c:pt idx="1343">
                  <c:v>160.22602690210286</c:v>
                </c:pt>
                <c:pt idx="1344">
                  <c:v>160.27550418973874</c:v>
                </c:pt>
                <c:pt idx="1345">
                  <c:v>160.31438320202096</c:v>
                </c:pt>
                <c:pt idx="1346">
                  <c:v>160.32451532756184</c:v>
                </c:pt>
                <c:pt idx="1347">
                  <c:v>160.34427210351765</c:v>
                </c:pt>
                <c:pt idx="1348">
                  <c:v>160.3535423343979</c:v>
                </c:pt>
                <c:pt idx="1349">
                  <c:v>160.37647746722132</c:v>
                </c:pt>
                <c:pt idx="1350">
                  <c:v>160.40447345189676</c:v>
                </c:pt>
                <c:pt idx="1351">
                  <c:v>160.40507286561515</c:v>
                </c:pt>
                <c:pt idx="1352">
                  <c:v>160.45934419043448</c:v>
                </c:pt>
                <c:pt idx="1353">
                  <c:v>160.52329657819433</c:v>
                </c:pt>
                <c:pt idx="1354">
                  <c:v>160.52991983898727</c:v>
                </c:pt>
                <c:pt idx="1355">
                  <c:v>160.54864709948245</c:v>
                </c:pt>
                <c:pt idx="1356">
                  <c:v>160.54970223723839</c:v>
                </c:pt>
                <c:pt idx="1357">
                  <c:v>160.55947846997543</c:v>
                </c:pt>
                <c:pt idx="1358">
                  <c:v>160.56282064110434</c:v>
                </c:pt>
                <c:pt idx="1359">
                  <c:v>160.59011400687311</c:v>
                </c:pt>
                <c:pt idx="1360">
                  <c:v>160.60294350795385</c:v>
                </c:pt>
                <c:pt idx="1361">
                  <c:v>160.62020251354028</c:v>
                </c:pt>
                <c:pt idx="1362">
                  <c:v>160.63349542935237</c:v>
                </c:pt>
                <c:pt idx="1363">
                  <c:v>160.63922961365265</c:v>
                </c:pt>
                <c:pt idx="1364">
                  <c:v>160.67730717040845</c:v>
                </c:pt>
                <c:pt idx="1365">
                  <c:v>160.72928892915169</c:v>
                </c:pt>
                <c:pt idx="1366">
                  <c:v>160.75997634496184</c:v>
                </c:pt>
                <c:pt idx="1367">
                  <c:v>160.90805678242947</c:v>
                </c:pt>
                <c:pt idx="1368">
                  <c:v>160.91800342477208</c:v>
                </c:pt>
                <c:pt idx="1369">
                  <c:v>160.92542925579548</c:v>
                </c:pt>
                <c:pt idx="1370">
                  <c:v>160.9480067164838</c:v>
                </c:pt>
                <c:pt idx="1371">
                  <c:v>161.0026188667731</c:v>
                </c:pt>
                <c:pt idx="1372">
                  <c:v>161.12337765794035</c:v>
                </c:pt>
                <c:pt idx="1373">
                  <c:v>161.16930695192377</c:v>
                </c:pt>
                <c:pt idx="1374">
                  <c:v>161.21274474303911</c:v>
                </c:pt>
                <c:pt idx="1375">
                  <c:v>161.25931749452184</c:v>
                </c:pt>
                <c:pt idx="1376">
                  <c:v>161.26813421079029</c:v>
                </c:pt>
                <c:pt idx="1377">
                  <c:v>161.32792393595997</c:v>
                </c:pt>
                <c:pt idx="1378">
                  <c:v>161.39541053314053</c:v>
                </c:pt>
                <c:pt idx="1379">
                  <c:v>161.42028412745395</c:v>
                </c:pt>
                <c:pt idx="1380">
                  <c:v>161.5314585803369</c:v>
                </c:pt>
                <c:pt idx="1381">
                  <c:v>161.63917028749745</c:v>
                </c:pt>
                <c:pt idx="1382">
                  <c:v>161.65722694529757</c:v>
                </c:pt>
                <c:pt idx="1383">
                  <c:v>161.72530801135957</c:v>
                </c:pt>
                <c:pt idx="1384">
                  <c:v>161.7457954641983</c:v>
                </c:pt>
                <c:pt idx="1385">
                  <c:v>161.7875941808781</c:v>
                </c:pt>
                <c:pt idx="1386">
                  <c:v>161.83060277396558</c:v>
                </c:pt>
                <c:pt idx="1387">
                  <c:v>161.85785276498729</c:v>
                </c:pt>
                <c:pt idx="1388">
                  <c:v>162.09632085903408</c:v>
                </c:pt>
                <c:pt idx="1389">
                  <c:v>162.24983593185101</c:v>
                </c:pt>
                <c:pt idx="1390">
                  <c:v>162.26032250258902</c:v>
                </c:pt>
                <c:pt idx="1391">
                  <c:v>162.41155977614713</c:v>
                </c:pt>
                <c:pt idx="1392">
                  <c:v>162.53587557728451</c:v>
                </c:pt>
                <c:pt idx="1393">
                  <c:v>162.59326771762957</c:v>
                </c:pt>
                <c:pt idx="1394">
                  <c:v>162.60185603728914</c:v>
                </c:pt>
                <c:pt idx="1395">
                  <c:v>162.61294607964811</c:v>
                </c:pt>
                <c:pt idx="1396">
                  <c:v>162.64019560285976</c:v>
                </c:pt>
                <c:pt idx="1397">
                  <c:v>162.70241865184013</c:v>
                </c:pt>
                <c:pt idx="1398">
                  <c:v>162.70286740970391</c:v>
                </c:pt>
                <c:pt idx="1399">
                  <c:v>162.76605311418461</c:v>
                </c:pt>
                <c:pt idx="1400">
                  <c:v>162.78555784484567</c:v>
                </c:pt>
                <c:pt idx="1401">
                  <c:v>162.78899539511866</c:v>
                </c:pt>
                <c:pt idx="1402">
                  <c:v>162.79344226321433</c:v>
                </c:pt>
                <c:pt idx="1403">
                  <c:v>162.85824448373742</c:v>
                </c:pt>
                <c:pt idx="1404">
                  <c:v>162.88396153510189</c:v>
                </c:pt>
                <c:pt idx="1405">
                  <c:v>162.90796294975891</c:v>
                </c:pt>
                <c:pt idx="1406">
                  <c:v>163.0168622580029</c:v>
                </c:pt>
                <c:pt idx="1407">
                  <c:v>163.08642332282642</c:v>
                </c:pt>
                <c:pt idx="1408">
                  <c:v>163.15489072054754</c:v>
                </c:pt>
                <c:pt idx="1409">
                  <c:v>163.22501892704801</c:v>
                </c:pt>
                <c:pt idx="1410">
                  <c:v>163.22766249022948</c:v>
                </c:pt>
                <c:pt idx="1411">
                  <c:v>163.23902755547221</c:v>
                </c:pt>
                <c:pt idx="1412">
                  <c:v>163.24490375316276</c:v>
                </c:pt>
                <c:pt idx="1413">
                  <c:v>163.30787450658354</c:v>
                </c:pt>
                <c:pt idx="1414">
                  <c:v>163.40990353198356</c:v>
                </c:pt>
                <c:pt idx="1415">
                  <c:v>163.52050474463573</c:v>
                </c:pt>
                <c:pt idx="1416">
                  <c:v>163.64859867506686</c:v>
                </c:pt>
                <c:pt idx="1417">
                  <c:v>163.68370052703483</c:v>
                </c:pt>
                <c:pt idx="1418">
                  <c:v>163.68379779028169</c:v>
                </c:pt>
                <c:pt idx="1419">
                  <c:v>163.7072433419757</c:v>
                </c:pt>
                <c:pt idx="1420">
                  <c:v>163.71898025106208</c:v>
                </c:pt>
                <c:pt idx="1421">
                  <c:v>163.72016879055204</c:v>
                </c:pt>
                <c:pt idx="1422">
                  <c:v>163.72372425937127</c:v>
                </c:pt>
                <c:pt idx="1423">
                  <c:v>163.74740883635491</c:v>
                </c:pt>
                <c:pt idx="1424">
                  <c:v>163.80628194277583</c:v>
                </c:pt>
                <c:pt idx="1425">
                  <c:v>163.86638180500722</c:v>
                </c:pt>
                <c:pt idx="1426">
                  <c:v>163.92198762057811</c:v>
                </c:pt>
                <c:pt idx="1427">
                  <c:v>163.93777088273407</c:v>
                </c:pt>
                <c:pt idx="1428">
                  <c:v>163.95521680504038</c:v>
                </c:pt>
                <c:pt idx="1429">
                  <c:v>163.95663406244728</c:v>
                </c:pt>
                <c:pt idx="1430">
                  <c:v>164.02419698666102</c:v>
                </c:pt>
                <c:pt idx="1431">
                  <c:v>164.02460740013245</c:v>
                </c:pt>
                <c:pt idx="1432">
                  <c:v>164.08556920576598</c:v>
                </c:pt>
                <c:pt idx="1433">
                  <c:v>164.1305439458134</c:v>
                </c:pt>
                <c:pt idx="1434">
                  <c:v>164.14163441066773</c:v>
                </c:pt>
                <c:pt idx="1435">
                  <c:v>164.15539420771751</c:v>
                </c:pt>
                <c:pt idx="1436">
                  <c:v>164.16083031139033</c:v>
                </c:pt>
                <c:pt idx="1437">
                  <c:v>164.26321591189031</c:v>
                </c:pt>
                <c:pt idx="1438">
                  <c:v>164.28524478677576</c:v>
                </c:pt>
                <c:pt idx="1439">
                  <c:v>164.30179426773503</c:v>
                </c:pt>
                <c:pt idx="1440">
                  <c:v>164.34964860214234</c:v>
                </c:pt>
                <c:pt idx="1441">
                  <c:v>164.42903377079642</c:v>
                </c:pt>
                <c:pt idx="1442">
                  <c:v>164.43682274267914</c:v>
                </c:pt>
                <c:pt idx="1443">
                  <c:v>164.43862363313087</c:v>
                </c:pt>
                <c:pt idx="1444">
                  <c:v>164.45654653370406</c:v>
                </c:pt>
                <c:pt idx="1445">
                  <c:v>164.49774560126005</c:v>
                </c:pt>
                <c:pt idx="1446">
                  <c:v>164.5269907214545</c:v>
                </c:pt>
                <c:pt idx="1447">
                  <c:v>164.54570865142597</c:v>
                </c:pt>
                <c:pt idx="1448">
                  <c:v>164.54831522922683</c:v>
                </c:pt>
                <c:pt idx="1449">
                  <c:v>164.57782908285762</c:v>
                </c:pt>
                <c:pt idx="1450">
                  <c:v>164.59092763585443</c:v>
                </c:pt>
                <c:pt idx="1451">
                  <c:v>164.6379390334593</c:v>
                </c:pt>
                <c:pt idx="1452">
                  <c:v>164.65119241784191</c:v>
                </c:pt>
                <c:pt idx="1453">
                  <c:v>164.6547206112192</c:v>
                </c:pt>
                <c:pt idx="1454">
                  <c:v>164.6786708718231</c:v>
                </c:pt>
                <c:pt idx="1455">
                  <c:v>164.70664096086915</c:v>
                </c:pt>
                <c:pt idx="1456">
                  <c:v>164.72907235712017</c:v>
                </c:pt>
                <c:pt idx="1457">
                  <c:v>164.87558023590873</c:v>
                </c:pt>
                <c:pt idx="1458">
                  <c:v>164.93902332114584</c:v>
                </c:pt>
                <c:pt idx="1459">
                  <c:v>164.9939617864602</c:v>
                </c:pt>
                <c:pt idx="1460">
                  <c:v>165.02505565211351</c:v>
                </c:pt>
                <c:pt idx="1461">
                  <c:v>165.175506814041</c:v>
                </c:pt>
                <c:pt idx="1462">
                  <c:v>165.58542596268273</c:v>
                </c:pt>
                <c:pt idx="1463">
                  <c:v>165.60976893146753</c:v>
                </c:pt>
                <c:pt idx="1464">
                  <c:v>165.63770988383465</c:v>
                </c:pt>
                <c:pt idx="1465">
                  <c:v>165.68061029147506</c:v>
                </c:pt>
                <c:pt idx="1466">
                  <c:v>165.6871325419622</c:v>
                </c:pt>
                <c:pt idx="1467">
                  <c:v>165.73381690033295</c:v>
                </c:pt>
                <c:pt idx="1468">
                  <c:v>165.74358219892926</c:v>
                </c:pt>
                <c:pt idx="1469">
                  <c:v>165.77042869492951</c:v>
                </c:pt>
                <c:pt idx="1470">
                  <c:v>165.82391575373003</c:v>
                </c:pt>
                <c:pt idx="1471">
                  <c:v>165.90587190264</c:v>
                </c:pt>
                <c:pt idx="1472">
                  <c:v>165.9609414342271</c:v>
                </c:pt>
                <c:pt idx="1473">
                  <c:v>166.02853002679973</c:v>
                </c:pt>
                <c:pt idx="1474">
                  <c:v>166.06676039219209</c:v>
                </c:pt>
                <c:pt idx="1475">
                  <c:v>166.08907398049661</c:v>
                </c:pt>
                <c:pt idx="1476">
                  <c:v>166.09780236433016</c:v>
                </c:pt>
                <c:pt idx="1477">
                  <c:v>166.11080919538264</c:v>
                </c:pt>
                <c:pt idx="1478">
                  <c:v>166.12091762795933</c:v>
                </c:pt>
                <c:pt idx="1479">
                  <c:v>166.13288056874615</c:v>
                </c:pt>
                <c:pt idx="1480">
                  <c:v>166.14776369001086</c:v>
                </c:pt>
                <c:pt idx="1481">
                  <c:v>166.14900138760714</c:v>
                </c:pt>
                <c:pt idx="1482">
                  <c:v>166.17255527361581</c:v>
                </c:pt>
                <c:pt idx="1483">
                  <c:v>166.29343658479718</c:v>
                </c:pt>
                <c:pt idx="1484">
                  <c:v>166.31663579877898</c:v>
                </c:pt>
                <c:pt idx="1485">
                  <c:v>166.33063055107232</c:v>
                </c:pt>
                <c:pt idx="1486">
                  <c:v>166.46399410809323</c:v>
                </c:pt>
                <c:pt idx="1487">
                  <c:v>166.55895302637822</c:v>
                </c:pt>
                <c:pt idx="1488">
                  <c:v>166.61216214930431</c:v>
                </c:pt>
                <c:pt idx="1489">
                  <c:v>166.70834412553126</c:v>
                </c:pt>
                <c:pt idx="1490">
                  <c:v>166.73657075697059</c:v>
                </c:pt>
                <c:pt idx="1491">
                  <c:v>166.75314650749854</c:v>
                </c:pt>
                <c:pt idx="1492">
                  <c:v>166.77790896359386</c:v>
                </c:pt>
                <c:pt idx="1493">
                  <c:v>166.82676835734799</c:v>
                </c:pt>
                <c:pt idx="1494">
                  <c:v>166.82729138380705</c:v>
                </c:pt>
                <c:pt idx="1495">
                  <c:v>167.05642699743578</c:v>
                </c:pt>
                <c:pt idx="1496">
                  <c:v>167.13943090625003</c:v>
                </c:pt>
                <c:pt idx="1497">
                  <c:v>167.20897191386348</c:v>
                </c:pt>
                <c:pt idx="1498">
                  <c:v>167.37867600194926</c:v>
                </c:pt>
                <c:pt idx="1499">
                  <c:v>167.4192755305682</c:v>
                </c:pt>
                <c:pt idx="1500">
                  <c:v>167.54019866712531</c:v>
                </c:pt>
                <c:pt idx="1501">
                  <c:v>167.54877692702695</c:v>
                </c:pt>
                <c:pt idx="1502">
                  <c:v>167.5547348906012</c:v>
                </c:pt>
                <c:pt idx="1503">
                  <c:v>167.56553148198219</c:v>
                </c:pt>
                <c:pt idx="1504">
                  <c:v>167.64598961134709</c:v>
                </c:pt>
                <c:pt idx="1505">
                  <c:v>167.64715739647357</c:v>
                </c:pt>
                <c:pt idx="1506">
                  <c:v>167.69096081739144</c:v>
                </c:pt>
                <c:pt idx="1507">
                  <c:v>167.70316423485463</c:v>
                </c:pt>
                <c:pt idx="1508">
                  <c:v>167.71336227436825</c:v>
                </c:pt>
                <c:pt idx="1509">
                  <c:v>167.73554313350022</c:v>
                </c:pt>
                <c:pt idx="1510">
                  <c:v>167.73657923482125</c:v>
                </c:pt>
                <c:pt idx="1511">
                  <c:v>167.84832992253686</c:v>
                </c:pt>
                <c:pt idx="1512">
                  <c:v>167.86919742212987</c:v>
                </c:pt>
                <c:pt idx="1513">
                  <c:v>167.87966966712295</c:v>
                </c:pt>
                <c:pt idx="1514">
                  <c:v>167.91892449988998</c:v>
                </c:pt>
                <c:pt idx="1515">
                  <c:v>167.95990544132187</c:v>
                </c:pt>
                <c:pt idx="1516">
                  <c:v>167.979009719473</c:v>
                </c:pt>
                <c:pt idx="1517">
                  <c:v>167.98470439945112</c:v>
                </c:pt>
                <c:pt idx="1518">
                  <c:v>168.01406375087817</c:v>
                </c:pt>
                <c:pt idx="1519">
                  <c:v>168.15079976245852</c:v>
                </c:pt>
                <c:pt idx="1520">
                  <c:v>168.2681435180391</c:v>
                </c:pt>
                <c:pt idx="1521">
                  <c:v>168.28819894593349</c:v>
                </c:pt>
                <c:pt idx="1522">
                  <c:v>168.31011659854329</c:v>
                </c:pt>
                <c:pt idx="1523">
                  <c:v>168.38617814888309</c:v>
                </c:pt>
                <c:pt idx="1524">
                  <c:v>168.42426830118598</c:v>
                </c:pt>
                <c:pt idx="1525">
                  <c:v>168.42725079366335</c:v>
                </c:pt>
                <c:pt idx="1526">
                  <c:v>168.44284516157077</c:v>
                </c:pt>
                <c:pt idx="1527">
                  <c:v>168.47207531891488</c:v>
                </c:pt>
                <c:pt idx="1528">
                  <c:v>168.49625383072981</c:v>
                </c:pt>
                <c:pt idx="1529">
                  <c:v>168.49816579072095</c:v>
                </c:pt>
                <c:pt idx="1530">
                  <c:v>168.51957502239867</c:v>
                </c:pt>
                <c:pt idx="1531">
                  <c:v>168.52703952233537</c:v>
                </c:pt>
                <c:pt idx="1532">
                  <c:v>168.57876887464812</c:v>
                </c:pt>
                <c:pt idx="1533">
                  <c:v>168.59637087991811</c:v>
                </c:pt>
                <c:pt idx="1534">
                  <c:v>168.63295473136031</c:v>
                </c:pt>
                <c:pt idx="1535">
                  <c:v>168.63693893825447</c:v>
                </c:pt>
                <c:pt idx="1536">
                  <c:v>168.67496878891561</c:v>
                </c:pt>
                <c:pt idx="1537">
                  <c:v>168.75142283099825</c:v>
                </c:pt>
                <c:pt idx="1538">
                  <c:v>168.88972949275785</c:v>
                </c:pt>
                <c:pt idx="1539">
                  <c:v>169.04737821579823</c:v>
                </c:pt>
                <c:pt idx="1540">
                  <c:v>169.0964731770944</c:v>
                </c:pt>
                <c:pt idx="1541">
                  <c:v>169.25416019424793</c:v>
                </c:pt>
                <c:pt idx="1542">
                  <c:v>169.26928819052597</c:v>
                </c:pt>
                <c:pt idx="1543">
                  <c:v>169.29726711038643</c:v>
                </c:pt>
                <c:pt idx="1544">
                  <c:v>169.33764197461937</c:v>
                </c:pt>
                <c:pt idx="1545">
                  <c:v>169.34448796857095</c:v>
                </c:pt>
                <c:pt idx="1546">
                  <c:v>169.40470308656714</c:v>
                </c:pt>
                <c:pt idx="1547">
                  <c:v>169.41153535434793</c:v>
                </c:pt>
                <c:pt idx="1548">
                  <c:v>169.42649207201322</c:v>
                </c:pt>
                <c:pt idx="1549">
                  <c:v>169.43255734091733</c:v>
                </c:pt>
                <c:pt idx="1550">
                  <c:v>169.52792731706134</c:v>
                </c:pt>
                <c:pt idx="1551">
                  <c:v>169.62098747040224</c:v>
                </c:pt>
                <c:pt idx="1552">
                  <c:v>169.65917091981407</c:v>
                </c:pt>
                <c:pt idx="1553">
                  <c:v>169.67167576971607</c:v>
                </c:pt>
                <c:pt idx="1554">
                  <c:v>169.69736779928155</c:v>
                </c:pt>
                <c:pt idx="1555">
                  <c:v>169.88851128204408</c:v>
                </c:pt>
                <c:pt idx="1556">
                  <c:v>169.94758753005286</c:v>
                </c:pt>
                <c:pt idx="1557">
                  <c:v>169.96130315366347</c:v>
                </c:pt>
                <c:pt idx="1558">
                  <c:v>169.97325016493474</c:v>
                </c:pt>
                <c:pt idx="1559">
                  <c:v>170.00807712786377</c:v>
                </c:pt>
                <c:pt idx="1560">
                  <c:v>170.04423596468399</c:v>
                </c:pt>
                <c:pt idx="1561">
                  <c:v>170.09592846903084</c:v>
                </c:pt>
                <c:pt idx="1562">
                  <c:v>170.17978099322437</c:v>
                </c:pt>
                <c:pt idx="1563">
                  <c:v>170.19934757555356</c:v>
                </c:pt>
                <c:pt idx="1564">
                  <c:v>170.22152351329203</c:v>
                </c:pt>
                <c:pt idx="1565">
                  <c:v>170.3755427969204</c:v>
                </c:pt>
                <c:pt idx="1566">
                  <c:v>170.53725176859695</c:v>
                </c:pt>
                <c:pt idx="1567">
                  <c:v>170.62952060966336</c:v>
                </c:pt>
                <c:pt idx="1568">
                  <c:v>170.64986843925504</c:v>
                </c:pt>
                <c:pt idx="1569">
                  <c:v>170.69219930097844</c:v>
                </c:pt>
                <c:pt idx="1570">
                  <c:v>170.81316650546276</c:v>
                </c:pt>
                <c:pt idx="1571">
                  <c:v>170.82759944438678</c:v>
                </c:pt>
                <c:pt idx="1572">
                  <c:v>170.87320485472583</c:v>
                </c:pt>
                <c:pt idx="1573">
                  <c:v>170.93812808276766</c:v>
                </c:pt>
                <c:pt idx="1574">
                  <c:v>171.04890071217551</c:v>
                </c:pt>
                <c:pt idx="1575">
                  <c:v>171.13507274534305</c:v>
                </c:pt>
                <c:pt idx="1576">
                  <c:v>171.18568818985884</c:v>
                </c:pt>
                <c:pt idx="1577">
                  <c:v>171.22863563678311</c:v>
                </c:pt>
                <c:pt idx="1578">
                  <c:v>171.2620576616207</c:v>
                </c:pt>
                <c:pt idx="1579">
                  <c:v>171.39474281193191</c:v>
                </c:pt>
                <c:pt idx="1580">
                  <c:v>171.44556371298654</c:v>
                </c:pt>
                <c:pt idx="1581">
                  <c:v>171.44706653045228</c:v>
                </c:pt>
                <c:pt idx="1582">
                  <c:v>171.52025949172364</c:v>
                </c:pt>
                <c:pt idx="1583">
                  <c:v>171.60674427519234</c:v>
                </c:pt>
                <c:pt idx="1584">
                  <c:v>171.60717755306439</c:v>
                </c:pt>
                <c:pt idx="1585">
                  <c:v>171.61924338815916</c:v>
                </c:pt>
                <c:pt idx="1586">
                  <c:v>171.64356947495446</c:v>
                </c:pt>
                <c:pt idx="1587">
                  <c:v>171.71303201549955</c:v>
                </c:pt>
                <c:pt idx="1588">
                  <c:v>171.81630789312024</c:v>
                </c:pt>
                <c:pt idx="1589">
                  <c:v>171.85696111442743</c:v>
                </c:pt>
                <c:pt idx="1590">
                  <c:v>171.956873916398</c:v>
                </c:pt>
                <c:pt idx="1591">
                  <c:v>172.00345443880849</c:v>
                </c:pt>
                <c:pt idx="1592">
                  <c:v>172.01265993099148</c:v>
                </c:pt>
                <c:pt idx="1593">
                  <c:v>172.02810020201355</c:v>
                </c:pt>
                <c:pt idx="1594">
                  <c:v>172.04078751885481</c:v>
                </c:pt>
                <c:pt idx="1595">
                  <c:v>172.05936296982043</c:v>
                </c:pt>
                <c:pt idx="1596">
                  <c:v>172.24901147659912</c:v>
                </c:pt>
                <c:pt idx="1597">
                  <c:v>172.2643298437896</c:v>
                </c:pt>
                <c:pt idx="1598">
                  <c:v>172.26962331272358</c:v>
                </c:pt>
                <c:pt idx="1599">
                  <c:v>172.27941087026679</c:v>
                </c:pt>
                <c:pt idx="1600">
                  <c:v>172.33153728773306</c:v>
                </c:pt>
                <c:pt idx="1601">
                  <c:v>172.35838988466713</c:v>
                </c:pt>
                <c:pt idx="1602">
                  <c:v>172.45720669908866</c:v>
                </c:pt>
                <c:pt idx="1603">
                  <c:v>172.47010881892001</c:v>
                </c:pt>
                <c:pt idx="1604">
                  <c:v>172.80260804196428</c:v>
                </c:pt>
                <c:pt idx="1605">
                  <c:v>172.82503111296398</c:v>
                </c:pt>
                <c:pt idx="1606">
                  <c:v>172.84500866571213</c:v>
                </c:pt>
                <c:pt idx="1607">
                  <c:v>172.86752302026213</c:v>
                </c:pt>
                <c:pt idx="1608">
                  <c:v>172.87209357042423</c:v>
                </c:pt>
                <c:pt idx="1609">
                  <c:v>172.90256367584658</c:v>
                </c:pt>
                <c:pt idx="1610">
                  <c:v>172.92148773147085</c:v>
                </c:pt>
                <c:pt idx="1611">
                  <c:v>172.96330581719846</c:v>
                </c:pt>
                <c:pt idx="1612">
                  <c:v>172.9661074294701</c:v>
                </c:pt>
                <c:pt idx="1613">
                  <c:v>172.99103240164743</c:v>
                </c:pt>
                <c:pt idx="1614">
                  <c:v>173.0666306263708</c:v>
                </c:pt>
                <c:pt idx="1615">
                  <c:v>173.08564868045994</c:v>
                </c:pt>
                <c:pt idx="1616">
                  <c:v>173.09237980975405</c:v>
                </c:pt>
                <c:pt idx="1617">
                  <c:v>173.14166766243403</c:v>
                </c:pt>
                <c:pt idx="1618">
                  <c:v>173.15258014693879</c:v>
                </c:pt>
                <c:pt idx="1619">
                  <c:v>173.19574366785585</c:v>
                </c:pt>
                <c:pt idx="1620">
                  <c:v>173.23724563883115</c:v>
                </c:pt>
                <c:pt idx="1621">
                  <c:v>173.27592180878261</c:v>
                </c:pt>
                <c:pt idx="1622">
                  <c:v>173.29231257880406</c:v>
                </c:pt>
                <c:pt idx="1623">
                  <c:v>173.33038270952699</c:v>
                </c:pt>
                <c:pt idx="1624">
                  <c:v>173.33100445996712</c:v>
                </c:pt>
                <c:pt idx="1625">
                  <c:v>173.35282930558671</c:v>
                </c:pt>
                <c:pt idx="1626">
                  <c:v>173.37060489771477</c:v>
                </c:pt>
                <c:pt idx="1627">
                  <c:v>173.39128649431683</c:v>
                </c:pt>
                <c:pt idx="1628">
                  <c:v>173.4110877128652</c:v>
                </c:pt>
                <c:pt idx="1629">
                  <c:v>173.41759875203283</c:v>
                </c:pt>
                <c:pt idx="1630">
                  <c:v>173.45279564138764</c:v>
                </c:pt>
                <c:pt idx="1631">
                  <c:v>173.4957026004995</c:v>
                </c:pt>
                <c:pt idx="1632">
                  <c:v>173.50557507298117</c:v>
                </c:pt>
                <c:pt idx="1633">
                  <c:v>173.51468700418869</c:v>
                </c:pt>
                <c:pt idx="1634">
                  <c:v>173.51703050446196</c:v>
                </c:pt>
                <c:pt idx="1635">
                  <c:v>173.59619618603784</c:v>
                </c:pt>
                <c:pt idx="1636">
                  <c:v>173.64133161949329</c:v>
                </c:pt>
                <c:pt idx="1637">
                  <c:v>173.67119439295217</c:v>
                </c:pt>
                <c:pt idx="1638">
                  <c:v>173.71313629008014</c:v>
                </c:pt>
                <c:pt idx="1639">
                  <c:v>173.72554818720596</c:v>
                </c:pt>
                <c:pt idx="1640">
                  <c:v>173.72744338641331</c:v>
                </c:pt>
                <c:pt idx="1641">
                  <c:v>173.8276057854109</c:v>
                </c:pt>
                <c:pt idx="1642">
                  <c:v>174.01294977746187</c:v>
                </c:pt>
                <c:pt idx="1643">
                  <c:v>174.04878529635405</c:v>
                </c:pt>
                <c:pt idx="1644">
                  <c:v>174.07980929169349</c:v>
                </c:pt>
                <c:pt idx="1645">
                  <c:v>174.12223261544682</c:v>
                </c:pt>
                <c:pt idx="1646">
                  <c:v>174.13128637247166</c:v>
                </c:pt>
                <c:pt idx="1647">
                  <c:v>174.17229934234598</c:v>
                </c:pt>
                <c:pt idx="1648">
                  <c:v>174.28191351696537</c:v>
                </c:pt>
                <c:pt idx="1649">
                  <c:v>174.44874643592311</c:v>
                </c:pt>
                <c:pt idx="1650">
                  <c:v>174.45022194300904</c:v>
                </c:pt>
                <c:pt idx="1651">
                  <c:v>174.46105549722608</c:v>
                </c:pt>
                <c:pt idx="1652">
                  <c:v>174.50501348118797</c:v>
                </c:pt>
                <c:pt idx="1653">
                  <c:v>174.61707928990575</c:v>
                </c:pt>
                <c:pt idx="1654">
                  <c:v>174.69093837189649</c:v>
                </c:pt>
                <c:pt idx="1655">
                  <c:v>174.71051125417767</c:v>
                </c:pt>
                <c:pt idx="1656">
                  <c:v>174.89940577972871</c:v>
                </c:pt>
                <c:pt idx="1657">
                  <c:v>174.92593867402235</c:v>
                </c:pt>
                <c:pt idx="1658">
                  <c:v>174.96142283429703</c:v>
                </c:pt>
                <c:pt idx="1659">
                  <c:v>174.96892542390987</c:v>
                </c:pt>
                <c:pt idx="1660">
                  <c:v>175.03492736507752</c:v>
                </c:pt>
                <c:pt idx="1661">
                  <c:v>175.062898888295</c:v>
                </c:pt>
                <c:pt idx="1662">
                  <c:v>175.06601890961426</c:v>
                </c:pt>
                <c:pt idx="1663">
                  <c:v>175.09140443718627</c:v>
                </c:pt>
                <c:pt idx="1664">
                  <c:v>175.21184731044917</c:v>
                </c:pt>
                <c:pt idx="1665">
                  <c:v>175.2792501315613</c:v>
                </c:pt>
                <c:pt idx="1666">
                  <c:v>175.38472073882122</c:v>
                </c:pt>
                <c:pt idx="1667">
                  <c:v>175.45470615940079</c:v>
                </c:pt>
                <c:pt idx="1668">
                  <c:v>175.4986752789294</c:v>
                </c:pt>
                <c:pt idx="1669">
                  <c:v>175.56568501781521</c:v>
                </c:pt>
                <c:pt idx="1670">
                  <c:v>175.60526578336055</c:v>
                </c:pt>
                <c:pt idx="1671">
                  <c:v>175.65622173786562</c:v>
                </c:pt>
                <c:pt idx="1672">
                  <c:v>175.6733216986178</c:v>
                </c:pt>
                <c:pt idx="1673">
                  <c:v>175.74560273768313</c:v>
                </c:pt>
                <c:pt idx="1674">
                  <c:v>175.77042966809626</c:v>
                </c:pt>
                <c:pt idx="1675">
                  <c:v>175.83006263013078</c:v>
                </c:pt>
                <c:pt idx="1676">
                  <c:v>175.83753336401458</c:v>
                </c:pt>
                <c:pt idx="1677">
                  <c:v>175.87547694694322</c:v>
                </c:pt>
                <c:pt idx="1678">
                  <c:v>175.91807632083325</c:v>
                </c:pt>
                <c:pt idx="1679">
                  <c:v>176.02307600336394</c:v>
                </c:pt>
                <c:pt idx="1680">
                  <c:v>176.04188330866475</c:v>
                </c:pt>
                <c:pt idx="1681">
                  <c:v>176.08763369569948</c:v>
                </c:pt>
                <c:pt idx="1682">
                  <c:v>176.11275989470641</c:v>
                </c:pt>
                <c:pt idx="1683">
                  <c:v>176.16854166044402</c:v>
                </c:pt>
                <c:pt idx="1684">
                  <c:v>176.1690896742974</c:v>
                </c:pt>
                <c:pt idx="1685">
                  <c:v>176.26326624090419</c:v>
                </c:pt>
                <c:pt idx="1686">
                  <c:v>176.27816409051988</c:v>
                </c:pt>
                <c:pt idx="1687">
                  <c:v>176.43186151921452</c:v>
                </c:pt>
                <c:pt idx="1688">
                  <c:v>176.44735482064641</c:v>
                </c:pt>
                <c:pt idx="1689">
                  <c:v>176.47039633218381</c:v>
                </c:pt>
                <c:pt idx="1690">
                  <c:v>176.49702178549867</c:v>
                </c:pt>
                <c:pt idx="1691">
                  <c:v>176.52201342763436</c:v>
                </c:pt>
                <c:pt idx="1692">
                  <c:v>176.63633568530088</c:v>
                </c:pt>
                <c:pt idx="1693">
                  <c:v>176.63719386853225</c:v>
                </c:pt>
                <c:pt idx="1694">
                  <c:v>176.68599244597661</c:v>
                </c:pt>
                <c:pt idx="1695">
                  <c:v>176.73545911544204</c:v>
                </c:pt>
                <c:pt idx="1696">
                  <c:v>176.77747652322427</c:v>
                </c:pt>
                <c:pt idx="1697">
                  <c:v>176.7990099592256</c:v>
                </c:pt>
                <c:pt idx="1698">
                  <c:v>176.81620866445743</c:v>
                </c:pt>
                <c:pt idx="1699">
                  <c:v>176.84046574242225</c:v>
                </c:pt>
                <c:pt idx="1700">
                  <c:v>176.85604301603155</c:v>
                </c:pt>
                <c:pt idx="1701">
                  <c:v>176.90787640036794</c:v>
                </c:pt>
                <c:pt idx="1702">
                  <c:v>176.96156206670292</c:v>
                </c:pt>
                <c:pt idx="1703">
                  <c:v>176.9892870737107</c:v>
                </c:pt>
                <c:pt idx="1704">
                  <c:v>177.05061018258061</c:v>
                </c:pt>
                <c:pt idx="1705">
                  <c:v>177.26939471257867</c:v>
                </c:pt>
                <c:pt idx="1706">
                  <c:v>177.27312109599535</c:v>
                </c:pt>
                <c:pt idx="1707">
                  <c:v>177.28555237816593</c:v>
                </c:pt>
                <c:pt idx="1708">
                  <c:v>177.36612422633411</c:v>
                </c:pt>
                <c:pt idx="1709">
                  <c:v>177.39009328378631</c:v>
                </c:pt>
                <c:pt idx="1710">
                  <c:v>177.42818321687221</c:v>
                </c:pt>
                <c:pt idx="1711">
                  <c:v>177.53981049913568</c:v>
                </c:pt>
                <c:pt idx="1712">
                  <c:v>177.57120922806502</c:v>
                </c:pt>
                <c:pt idx="1713">
                  <c:v>177.5751938977061</c:v>
                </c:pt>
                <c:pt idx="1714">
                  <c:v>177.57542448277241</c:v>
                </c:pt>
                <c:pt idx="1715">
                  <c:v>177.60064354944927</c:v>
                </c:pt>
                <c:pt idx="1716">
                  <c:v>177.62532142092346</c:v>
                </c:pt>
                <c:pt idx="1717">
                  <c:v>177.62746456313599</c:v>
                </c:pt>
                <c:pt idx="1718">
                  <c:v>177.74330731819578</c:v>
                </c:pt>
                <c:pt idx="1719">
                  <c:v>177.80048502319755</c:v>
                </c:pt>
                <c:pt idx="1720">
                  <c:v>177.80663343222838</c:v>
                </c:pt>
                <c:pt idx="1721">
                  <c:v>177.81618214123517</c:v>
                </c:pt>
                <c:pt idx="1722">
                  <c:v>177.83295997616767</c:v>
                </c:pt>
                <c:pt idx="1723">
                  <c:v>177.85709854689924</c:v>
                </c:pt>
                <c:pt idx="1724">
                  <c:v>177.86509471074285</c:v>
                </c:pt>
                <c:pt idx="1725">
                  <c:v>177.9346404956039</c:v>
                </c:pt>
                <c:pt idx="1726">
                  <c:v>177.95189360267076</c:v>
                </c:pt>
                <c:pt idx="1727">
                  <c:v>177.95563299466522</c:v>
                </c:pt>
                <c:pt idx="1728">
                  <c:v>177.96643594928898</c:v>
                </c:pt>
                <c:pt idx="1729">
                  <c:v>178.01008365050762</c:v>
                </c:pt>
                <c:pt idx="1730">
                  <c:v>178.0516044591115</c:v>
                </c:pt>
                <c:pt idx="1731">
                  <c:v>178.05825462695691</c:v>
                </c:pt>
                <c:pt idx="1732">
                  <c:v>178.0778575526943</c:v>
                </c:pt>
                <c:pt idx="1733">
                  <c:v>178.09840282543269</c:v>
                </c:pt>
                <c:pt idx="1734">
                  <c:v>178.11806385374911</c:v>
                </c:pt>
                <c:pt idx="1735">
                  <c:v>178.12608610814746</c:v>
                </c:pt>
                <c:pt idx="1736">
                  <c:v>178.22089952790981</c:v>
                </c:pt>
                <c:pt idx="1737">
                  <c:v>178.23327548650195</c:v>
                </c:pt>
                <c:pt idx="1738">
                  <c:v>178.29034060212464</c:v>
                </c:pt>
                <c:pt idx="1739">
                  <c:v>178.32691309613594</c:v>
                </c:pt>
                <c:pt idx="1740">
                  <c:v>178.41822053568939</c:v>
                </c:pt>
                <c:pt idx="1741">
                  <c:v>178.44140207395725</c:v>
                </c:pt>
                <c:pt idx="1742">
                  <c:v>178.48214517903347</c:v>
                </c:pt>
                <c:pt idx="1743">
                  <c:v>178.4858808901341</c:v>
                </c:pt>
                <c:pt idx="1744">
                  <c:v>178.49634853736586</c:v>
                </c:pt>
                <c:pt idx="1745">
                  <c:v>178.50530256828426</c:v>
                </c:pt>
                <c:pt idx="1746">
                  <c:v>178.59575283134689</c:v>
                </c:pt>
                <c:pt idx="1747">
                  <c:v>178.67061998177746</c:v>
                </c:pt>
                <c:pt idx="1748">
                  <c:v>178.70264914460284</c:v>
                </c:pt>
                <c:pt idx="1749">
                  <c:v>178.7449739581966</c:v>
                </c:pt>
                <c:pt idx="1750">
                  <c:v>178.75866722109686</c:v>
                </c:pt>
                <c:pt idx="1751">
                  <c:v>178.7786687151887</c:v>
                </c:pt>
                <c:pt idx="1752">
                  <c:v>178.79332792505346</c:v>
                </c:pt>
                <c:pt idx="1753">
                  <c:v>178.88592339414703</c:v>
                </c:pt>
                <c:pt idx="1754">
                  <c:v>178.89480954165498</c:v>
                </c:pt>
                <c:pt idx="1755">
                  <c:v>178.93314484915049</c:v>
                </c:pt>
                <c:pt idx="1756">
                  <c:v>178.95439932386358</c:v>
                </c:pt>
                <c:pt idx="1757">
                  <c:v>179.03038146347993</c:v>
                </c:pt>
                <c:pt idx="1758">
                  <c:v>179.03099325966238</c:v>
                </c:pt>
                <c:pt idx="1759">
                  <c:v>179.08765388666839</c:v>
                </c:pt>
                <c:pt idx="1760">
                  <c:v>179.13306398616081</c:v>
                </c:pt>
                <c:pt idx="1761">
                  <c:v>179.13793299534925</c:v>
                </c:pt>
                <c:pt idx="1762">
                  <c:v>179.2095776247408</c:v>
                </c:pt>
                <c:pt idx="1763">
                  <c:v>179.23247336527197</c:v>
                </c:pt>
                <c:pt idx="1764">
                  <c:v>179.23322133708379</c:v>
                </c:pt>
                <c:pt idx="1765">
                  <c:v>179.28277116190773</c:v>
                </c:pt>
                <c:pt idx="1766">
                  <c:v>179.30041078573387</c:v>
                </c:pt>
                <c:pt idx="1767">
                  <c:v>179.32728653653209</c:v>
                </c:pt>
                <c:pt idx="1768">
                  <c:v>179.3327055805328</c:v>
                </c:pt>
                <c:pt idx="1769">
                  <c:v>179.33473593956555</c:v>
                </c:pt>
                <c:pt idx="1770">
                  <c:v>179.35530303751744</c:v>
                </c:pt>
                <c:pt idx="1771">
                  <c:v>179.37804815529296</c:v>
                </c:pt>
                <c:pt idx="1772">
                  <c:v>179.44117916535163</c:v>
                </c:pt>
                <c:pt idx="1773">
                  <c:v>179.50887679137591</c:v>
                </c:pt>
                <c:pt idx="1774">
                  <c:v>179.59214089399171</c:v>
                </c:pt>
                <c:pt idx="1775">
                  <c:v>179.59842960224282</c:v>
                </c:pt>
                <c:pt idx="1776">
                  <c:v>179.7912149513914</c:v>
                </c:pt>
                <c:pt idx="1777">
                  <c:v>179.79157916201279</c:v>
                </c:pt>
                <c:pt idx="1778">
                  <c:v>179.89547221340786</c:v>
                </c:pt>
                <c:pt idx="1779">
                  <c:v>179.93399294648142</c:v>
                </c:pt>
                <c:pt idx="1780">
                  <c:v>179.94883945580668</c:v>
                </c:pt>
                <c:pt idx="1781">
                  <c:v>180.03923845396383</c:v>
                </c:pt>
                <c:pt idx="1782">
                  <c:v>180.05587438185833</c:v>
                </c:pt>
                <c:pt idx="1783">
                  <c:v>180.08390252389356</c:v>
                </c:pt>
                <c:pt idx="1784">
                  <c:v>180.09479802919716</c:v>
                </c:pt>
                <c:pt idx="1785">
                  <c:v>180.26750088539535</c:v>
                </c:pt>
                <c:pt idx="1786">
                  <c:v>180.32212740411893</c:v>
                </c:pt>
                <c:pt idx="1787">
                  <c:v>180.38083750327701</c:v>
                </c:pt>
                <c:pt idx="1788">
                  <c:v>180.38652926444306</c:v>
                </c:pt>
                <c:pt idx="1789">
                  <c:v>180.42996238968388</c:v>
                </c:pt>
                <c:pt idx="1790">
                  <c:v>180.43299976688641</c:v>
                </c:pt>
                <c:pt idx="1791">
                  <c:v>180.50623226675097</c:v>
                </c:pt>
                <c:pt idx="1792">
                  <c:v>180.62084833034797</c:v>
                </c:pt>
                <c:pt idx="1793">
                  <c:v>180.69840397577735</c:v>
                </c:pt>
                <c:pt idx="1794">
                  <c:v>180.69970860746974</c:v>
                </c:pt>
                <c:pt idx="1795">
                  <c:v>180.74989771814296</c:v>
                </c:pt>
                <c:pt idx="1796">
                  <c:v>180.84572600735487</c:v>
                </c:pt>
                <c:pt idx="1797">
                  <c:v>180.86470730857945</c:v>
                </c:pt>
                <c:pt idx="1798">
                  <c:v>180.91161671907636</c:v>
                </c:pt>
                <c:pt idx="1799">
                  <c:v>180.93586829707743</c:v>
                </c:pt>
                <c:pt idx="1800">
                  <c:v>180.96917103478967</c:v>
                </c:pt>
                <c:pt idx="1801">
                  <c:v>181.05142028376065</c:v>
                </c:pt>
                <c:pt idx="1802">
                  <c:v>181.05584949007402</c:v>
                </c:pt>
                <c:pt idx="1803">
                  <c:v>181.05943822984418</c:v>
                </c:pt>
                <c:pt idx="1804">
                  <c:v>181.06874467518116</c:v>
                </c:pt>
                <c:pt idx="1805">
                  <c:v>181.07455048178969</c:v>
                </c:pt>
                <c:pt idx="1806">
                  <c:v>181.10522526187447</c:v>
                </c:pt>
                <c:pt idx="1807">
                  <c:v>181.23979682337782</c:v>
                </c:pt>
                <c:pt idx="1808">
                  <c:v>181.30828650058066</c:v>
                </c:pt>
                <c:pt idx="1809">
                  <c:v>181.46536915371433</c:v>
                </c:pt>
                <c:pt idx="1810">
                  <c:v>181.51293276942857</c:v>
                </c:pt>
                <c:pt idx="1811">
                  <c:v>181.51363722706171</c:v>
                </c:pt>
                <c:pt idx="1812">
                  <c:v>181.51547003461769</c:v>
                </c:pt>
                <c:pt idx="1813">
                  <c:v>181.59552191163732</c:v>
                </c:pt>
                <c:pt idx="1814">
                  <c:v>181.61823239269577</c:v>
                </c:pt>
                <c:pt idx="1815">
                  <c:v>181.63686501138608</c:v>
                </c:pt>
                <c:pt idx="1816">
                  <c:v>181.70991240606452</c:v>
                </c:pt>
                <c:pt idx="1817">
                  <c:v>181.71219373891395</c:v>
                </c:pt>
                <c:pt idx="1818">
                  <c:v>181.74598996329883</c:v>
                </c:pt>
                <c:pt idx="1819">
                  <c:v>181.77377593186114</c:v>
                </c:pt>
                <c:pt idx="1820">
                  <c:v>181.81770509841783</c:v>
                </c:pt>
                <c:pt idx="1821">
                  <c:v>181.96561859321449</c:v>
                </c:pt>
                <c:pt idx="1822">
                  <c:v>182.01547801806498</c:v>
                </c:pt>
                <c:pt idx="1823">
                  <c:v>182.02032354281238</c:v>
                </c:pt>
                <c:pt idx="1824">
                  <c:v>182.02644346703855</c:v>
                </c:pt>
                <c:pt idx="1825">
                  <c:v>182.03043214630304</c:v>
                </c:pt>
                <c:pt idx="1826">
                  <c:v>182.04637927049095</c:v>
                </c:pt>
                <c:pt idx="1827">
                  <c:v>182.05806647550517</c:v>
                </c:pt>
                <c:pt idx="1828">
                  <c:v>182.06578118497731</c:v>
                </c:pt>
                <c:pt idx="1829">
                  <c:v>182.13877222852778</c:v>
                </c:pt>
                <c:pt idx="1830">
                  <c:v>182.17477002932463</c:v>
                </c:pt>
                <c:pt idx="1831">
                  <c:v>182.2187686828965</c:v>
                </c:pt>
                <c:pt idx="1832">
                  <c:v>182.23385803292001</c:v>
                </c:pt>
                <c:pt idx="1833">
                  <c:v>182.27085697952296</c:v>
                </c:pt>
                <c:pt idx="1834">
                  <c:v>182.33235340231158</c:v>
                </c:pt>
                <c:pt idx="1835">
                  <c:v>182.37449176216188</c:v>
                </c:pt>
                <c:pt idx="1836">
                  <c:v>182.44130515309593</c:v>
                </c:pt>
                <c:pt idx="1837">
                  <c:v>182.49187925371882</c:v>
                </c:pt>
                <c:pt idx="1838">
                  <c:v>182.50219998769055</c:v>
                </c:pt>
                <c:pt idx="1839">
                  <c:v>182.60843644522419</c:v>
                </c:pt>
                <c:pt idx="1840">
                  <c:v>182.61043886234035</c:v>
                </c:pt>
                <c:pt idx="1841">
                  <c:v>182.66103573021977</c:v>
                </c:pt>
                <c:pt idx="1842">
                  <c:v>182.69615657082156</c:v>
                </c:pt>
                <c:pt idx="1843">
                  <c:v>182.70825395088568</c:v>
                </c:pt>
                <c:pt idx="1844">
                  <c:v>182.71831660152475</c:v>
                </c:pt>
                <c:pt idx="1845">
                  <c:v>182.77005786375395</c:v>
                </c:pt>
                <c:pt idx="1846">
                  <c:v>182.7868138656541</c:v>
                </c:pt>
                <c:pt idx="1847">
                  <c:v>182.93229810796879</c:v>
                </c:pt>
                <c:pt idx="1848">
                  <c:v>182.94473695740288</c:v>
                </c:pt>
                <c:pt idx="1849">
                  <c:v>183.03476662671414</c:v>
                </c:pt>
                <c:pt idx="1850">
                  <c:v>183.03954835423809</c:v>
                </c:pt>
                <c:pt idx="1851">
                  <c:v>183.08261083992281</c:v>
                </c:pt>
                <c:pt idx="1852">
                  <c:v>183.12175924889641</c:v>
                </c:pt>
                <c:pt idx="1853">
                  <c:v>183.2169031960845</c:v>
                </c:pt>
                <c:pt idx="1854">
                  <c:v>183.23450949148119</c:v>
                </c:pt>
                <c:pt idx="1855">
                  <c:v>183.26408176950005</c:v>
                </c:pt>
                <c:pt idx="1856">
                  <c:v>183.29187832518591</c:v>
                </c:pt>
                <c:pt idx="1857">
                  <c:v>183.29351750323508</c:v>
                </c:pt>
                <c:pt idx="1858">
                  <c:v>183.31866941459262</c:v>
                </c:pt>
                <c:pt idx="1859">
                  <c:v>183.33976137712511</c:v>
                </c:pt>
                <c:pt idx="1860">
                  <c:v>183.3678596342657</c:v>
                </c:pt>
                <c:pt idx="1861">
                  <c:v>183.51615164189127</c:v>
                </c:pt>
                <c:pt idx="1862">
                  <c:v>183.64801812841307</c:v>
                </c:pt>
                <c:pt idx="1863">
                  <c:v>183.66456398575673</c:v>
                </c:pt>
                <c:pt idx="1864">
                  <c:v>183.78401394220185</c:v>
                </c:pt>
                <c:pt idx="1865">
                  <c:v>183.82455919270072</c:v>
                </c:pt>
                <c:pt idx="1866">
                  <c:v>183.92631280688778</c:v>
                </c:pt>
                <c:pt idx="1867">
                  <c:v>183.95131546241606</c:v>
                </c:pt>
                <c:pt idx="1868">
                  <c:v>183.97155765372034</c:v>
                </c:pt>
                <c:pt idx="1869">
                  <c:v>183.9724570578243</c:v>
                </c:pt>
                <c:pt idx="1870">
                  <c:v>184.11569220219579</c:v>
                </c:pt>
                <c:pt idx="1871">
                  <c:v>184.13977536383251</c:v>
                </c:pt>
                <c:pt idx="1872">
                  <c:v>184.17367331096401</c:v>
                </c:pt>
                <c:pt idx="1873">
                  <c:v>184.21687402848292</c:v>
                </c:pt>
                <c:pt idx="1874">
                  <c:v>184.2792886334517</c:v>
                </c:pt>
                <c:pt idx="1875">
                  <c:v>184.29628949454366</c:v>
                </c:pt>
                <c:pt idx="1876">
                  <c:v>184.37714020617389</c:v>
                </c:pt>
                <c:pt idx="1877">
                  <c:v>184.41188778766843</c:v>
                </c:pt>
                <c:pt idx="1878">
                  <c:v>184.43692966184858</c:v>
                </c:pt>
                <c:pt idx="1879">
                  <c:v>184.44548917322155</c:v>
                </c:pt>
                <c:pt idx="1880">
                  <c:v>184.44898207665779</c:v>
                </c:pt>
                <c:pt idx="1881">
                  <c:v>184.45005707746807</c:v>
                </c:pt>
                <c:pt idx="1882">
                  <c:v>184.48747876531573</c:v>
                </c:pt>
                <c:pt idx="1883">
                  <c:v>184.51582873985143</c:v>
                </c:pt>
                <c:pt idx="1884">
                  <c:v>184.65741693630758</c:v>
                </c:pt>
                <c:pt idx="1885">
                  <c:v>184.68202185346149</c:v>
                </c:pt>
                <c:pt idx="1886">
                  <c:v>184.69741152943618</c:v>
                </c:pt>
                <c:pt idx="1887">
                  <c:v>184.74351554538569</c:v>
                </c:pt>
                <c:pt idx="1888">
                  <c:v>184.80372740551144</c:v>
                </c:pt>
                <c:pt idx="1889">
                  <c:v>184.84585774722569</c:v>
                </c:pt>
                <c:pt idx="1890">
                  <c:v>184.86790343882313</c:v>
                </c:pt>
                <c:pt idx="1891">
                  <c:v>184.89524411895175</c:v>
                </c:pt>
                <c:pt idx="1892">
                  <c:v>184.90423082994246</c:v>
                </c:pt>
                <c:pt idx="1893">
                  <c:v>184.91991800041214</c:v>
                </c:pt>
                <c:pt idx="1894">
                  <c:v>184.92072714184681</c:v>
                </c:pt>
                <c:pt idx="1895">
                  <c:v>185.04309060655675</c:v>
                </c:pt>
                <c:pt idx="1896">
                  <c:v>185.04657637000949</c:v>
                </c:pt>
                <c:pt idx="1897">
                  <c:v>185.07433936652427</c:v>
                </c:pt>
                <c:pt idx="1898">
                  <c:v>185.17561369524617</c:v>
                </c:pt>
                <c:pt idx="1899">
                  <c:v>185.24836591069874</c:v>
                </c:pt>
                <c:pt idx="1900">
                  <c:v>185.27230122358236</c:v>
                </c:pt>
                <c:pt idx="1901">
                  <c:v>185.28765261066795</c:v>
                </c:pt>
                <c:pt idx="1902">
                  <c:v>185.29321081426153</c:v>
                </c:pt>
                <c:pt idx="1903">
                  <c:v>185.36525911117903</c:v>
                </c:pt>
                <c:pt idx="1904">
                  <c:v>185.43523012250787</c:v>
                </c:pt>
                <c:pt idx="1905">
                  <c:v>185.47458849674862</c:v>
                </c:pt>
                <c:pt idx="1906">
                  <c:v>185.48917565072381</c:v>
                </c:pt>
                <c:pt idx="1907">
                  <c:v>185.51445804585876</c:v>
                </c:pt>
                <c:pt idx="1908">
                  <c:v>185.51923191798903</c:v>
                </c:pt>
                <c:pt idx="1909">
                  <c:v>185.62668315290975</c:v>
                </c:pt>
                <c:pt idx="1910">
                  <c:v>185.70202567284753</c:v>
                </c:pt>
                <c:pt idx="1911">
                  <c:v>185.75185880954649</c:v>
                </c:pt>
                <c:pt idx="1912">
                  <c:v>185.78066121120213</c:v>
                </c:pt>
                <c:pt idx="1913">
                  <c:v>185.79048908799447</c:v>
                </c:pt>
                <c:pt idx="1914">
                  <c:v>185.80238465449384</c:v>
                </c:pt>
                <c:pt idx="1915">
                  <c:v>185.81435548608712</c:v>
                </c:pt>
                <c:pt idx="1916">
                  <c:v>185.83205155481588</c:v>
                </c:pt>
                <c:pt idx="1917">
                  <c:v>185.85258986632789</c:v>
                </c:pt>
                <c:pt idx="1918">
                  <c:v>185.92469232818536</c:v>
                </c:pt>
                <c:pt idx="1919">
                  <c:v>185.98588029630687</c:v>
                </c:pt>
                <c:pt idx="1920">
                  <c:v>186.09715170059667</c:v>
                </c:pt>
                <c:pt idx="1921">
                  <c:v>186.10673595860754</c:v>
                </c:pt>
                <c:pt idx="1922">
                  <c:v>186.16502263620364</c:v>
                </c:pt>
                <c:pt idx="1923">
                  <c:v>186.26245104723577</c:v>
                </c:pt>
                <c:pt idx="1924">
                  <c:v>186.31010227059434</c:v>
                </c:pt>
                <c:pt idx="1925">
                  <c:v>186.31117957031</c:v>
                </c:pt>
                <c:pt idx="1926">
                  <c:v>186.35041462107566</c:v>
                </c:pt>
                <c:pt idx="1927">
                  <c:v>186.38410752643546</c:v>
                </c:pt>
                <c:pt idx="1928">
                  <c:v>186.38580843176598</c:v>
                </c:pt>
                <c:pt idx="1929">
                  <c:v>186.43370583297394</c:v>
                </c:pt>
                <c:pt idx="1930">
                  <c:v>186.46798828831325</c:v>
                </c:pt>
                <c:pt idx="1931">
                  <c:v>186.61997622164503</c:v>
                </c:pt>
                <c:pt idx="1932">
                  <c:v>186.62774719330193</c:v>
                </c:pt>
                <c:pt idx="1933">
                  <c:v>186.69803366186272</c:v>
                </c:pt>
                <c:pt idx="1934">
                  <c:v>186.70624212756525</c:v>
                </c:pt>
                <c:pt idx="1935">
                  <c:v>186.78626313330403</c:v>
                </c:pt>
                <c:pt idx="1936">
                  <c:v>186.84531489597623</c:v>
                </c:pt>
                <c:pt idx="1937">
                  <c:v>186.85535684054122</c:v>
                </c:pt>
                <c:pt idx="1938">
                  <c:v>186.87342911260475</c:v>
                </c:pt>
                <c:pt idx="1939">
                  <c:v>186.98635372249205</c:v>
                </c:pt>
                <c:pt idx="1940">
                  <c:v>187.01644994114847</c:v>
                </c:pt>
                <c:pt idx="1941">
                  <c:v>187.02488462976231</c:v>
                </c:pt>
                <c:pt idx="1942">
                  <c:v>187.09797148620055</c:v>
                </c:pt>
                <c:pt idx="1943">
                  <c:v>187.10606064075267</c:v>
                </c:pt>
                <c:pt idx="1944">
                  <c:v>187.11426112244698</c:v>
                </c:pt>
                <c:pt idx="1945">
                  <c:v>187.15788190501797</c:v>
                </c:pt>
                <c:pt idx="1946">
                  <c:v>187.16762080151807</c:v>
                </c:pt>
                <c:pt idx="1947">
                  <c:v>187.26511736894798</c:v>
                </c:pt>
                <c:pt idx="1948">
                  <c:v>187.31854309686122</c:v>
                </c:pt>
                <c:pt idx="1949">
                  <c:v>187.36808795889763</c:v>
                </c:pt>
                <c:pt idx="1950">
                  <c:v>187.4208223830675</c:v>
                </c:pt>
                <c:pt idx="1951">
                  <c:v>187.42408280117803</c:v>
                </c:pt>
                <c:pt idx="1952">
                  <c:v>187.49089542013382</c:v>
                </c:pt>
                <c:pt idx="1953">
                  <c:v>187.491701951718</c:v>
                </c:pt>
                <c:pt idx="1954">
                  <c:v>187.51394882587869</c:v>
                </c:pt>
                <c:pt idx="1955">
                  <c:v>187.53519018759454</c:v>
                </c:pt>
                <c:pt idx="1956">
                  <c:v>187.55772059710401</c:v>
                </c:pt>
                <c:pt idx="1957">
                  <c:v>187.59242469740113</c:v>
                </c:pt>
                <c:pt idx="1958">
                  <c:v>187.59539519270203</c:v>
                </c:pt>
                <c:pt idx="1959">
                  <c:v>187.64704758535001</c:v>
                </c:pt>
                <c:pt idx="1960">
                  <c:v>187.66179258689303</c:v>
                </c:pt>
                <c:pt idx="1961">
                  <c:v>187.6995135673269</c:v>
                </c:pt>
                <c:pt idx="1962">
                  <c:v>187.71431925608886</c:v>
                </c:pt>
                <c:pt idx="1963">
                  <c:v>187.76477450063851</c:v>
                </c:pt>
                <c:pt idx="1964">
                  <c:v>187.78459211949954</c:v>
                </c:pt>
                <c:pt idx="1965">
                  <c:v>187.82526801147543</c:v>
                </c:pt>
                <c:pt idx="1966">
                  <c:v>187.8498355373855</c:v>
                </c:pt>
                <c:pt idx="1967">
                  <c:v>187.87813412511036</c:v>
                </c:pt>
                <c:pt idx="1968">
                  <c:v>187.88679826232607</c:v>
                </c:pt>
                <c:pt idx="1969">
                  <c:v>187.96987941863989</c:v>
                </c:pt>
                <c:pt idx="1970">
                  <c:v>187.99998717385554</c:v>
                </c:pt>
                <c:pt idx="1971">
                  <c:v>188.07021639275754</c:v>
                </c:pt>
                <c:pt idx="1972">
                  <c:v>188.07385140320883</c:v>
                </c:pt>
                <c:pt idx="1973">
                  <c:v>188.08592728369268</c:v>
                </c:pt>
                <c:pt idx="1974">
                  <c:v>188.12421725705201</c:v>
                </c:pt>
                <c:pt idx="1975">
                  <c:v>188.17426577227545</c:v>
                </c:pt>
                <c:pt idx="1976">
                  <c:v>188.22666464206208</c:v>
                </c:pt>
                <c:pt idx="1977">
                  <c:v>188.25439316811929</c:v>
                </c:pt>
                <c:pt idx="1978">
                  <c:v>188.30205425815004</c:v>
                </c:pt>
                <c:pt idx="1979">
                  <c:v>188.30249134915837</c:v>
                </c:pt>
                <c:pt idx="1980">
                  <c:v>188.31102460688095</c:v>
                </c:pt>
                <c:pt idx="1981">
                  <c:v>188.36709501154792</c:v>
                </c:pt>
                <c:pt idx="1982">
                  <c:v>188.36803526509686</c:v>
                </c:pt>
                <c:pt idx="1983">
                  <c:v>188.39258073697459</c:v>
                </c:pt>
                <c:pt idx="1984">
                  <c:v>188.44500859708981</c:v>
                </c:pt>
                <c:pt idx="1985">
                  <c:v>188.48289553265045</c:v>
                </c:pt>
                <c:pt idx="1986">
                  <c:v>188.50891916856764</c:v>
                </c:pt>
                <c:pt idx="1987">
                  <c:v>188.61123744041342</c:v>
                </c:pt>
                <c:pt idx="1988">
                  <c:v>188.63727052265801</c:v>
                </c:pt>
                <c:pt idx="1989">
                  <c:v>188.63882802432693</c:v>
                </c:pt>
                <c:pt idx="1990">
                  <c:v>188.68931643585088</c:v>
                </c:pt>
                <c:pt idx="1991">
                  <c:v>188.77268818952322</c:v>
                </c:pt>
                <c:pt idx="1992">
                  <c:v>188.79159581724301</c:v>
                </c:pt>
                <c:pt idx="1993">
                  <c:v>188.94381746906757</c:v>
                </c:pt>
                <c:pt idx="1994">
                  <c:v>188.9601260989526</c:v>
                </c:pt>
                <c:pt idx="1995">
                  <c:v>188.97012608126812</c:v>
                </c:pt>
                <c:pt idx="1996">
                  <c:v>189.06342331727575</c:v>
                </c:pt>
                <c:pt idx="1997">
                  <c:v>189.11245905475673</c:v>
                </c:pt>
                <c:pt idx="1998">
                  <c:v>189.1526730786284</c:v>
                </c:pt>
                <c:pt idx="1999">
                  <c:v>189.15502451718032</c:v>
                </c:pt>
                <c:pt idx="2000">
                  <c:v>189.22659343656701</c:v>
                </c:pt>
                <c:pt idx="2001">
                  <c:v>189.2748009272928</c:v>
                </c:pt>
                <c:pt idx="2002">
                  <c:v>189.27674630900825</c:v>
                </c:pt>
                <c:pt idx="2003">
                  <c:v>189.28382683785392</c:v>
                </c:pt>
                <c:pt idx="2004">
                  <c:v>189.31885773601596</c:v>
                </c:pt>
                <c:pt idx="2005">
                  <c:v>189.38328259022154</c:v>
                </c:pt>
                <c:pt idx="2006">
                  <c:v>189.39749470098855</c:v>
                </c:pt>
                <c:pt idx="2007">
                  <c:v>189.44612758439143</c:v>
                </c:pt>
                <c:pt idx="2008">
                  <c:v>189.47246700590821</c:v>
                </c:pt>
                <c:pt idx="2009">
                  <c:v>189.473298380263</c:v>
                </c:pt>
                <c:pt idx="2010">
                  <c:v>189.48655061198116</c:v>
                </c:pt>
                <c:pt idx="2011">
                  <c:v>189.51179171886764</c:v>
                </c:pt>
                <c:pt idx="2012">
                  <c:v>189.55113472517345</c:v>
                </c:pt>
                <c:pt idx="2013">
                  <c:v>189.56834904557996</c:v>
                </c:pt>
                <c:pt idx="2014">
                  <c:v>189.62015017765037</c:v>
                </c:pt>
                <c:pt idx="2015">
                  <c:v>189.62148375926245</c:v>
                </c:pt>
                <c:pt idx="2016">
                  <c:v>189.65201254606961</c:v>
                </c:pt>
                <c:pt idx="2017">
                  <c:v>189.73517451788393</c:v>
                </c:pt>
                <c:pt idx="2018">
                  <c:v>189.92523663408264</c:v>
                </c:pt>
                <c:pt idx="2019">
                  <c:v>189.974145265711</c:v>
                </c:pt>
                <c:pt idx="2020">
                  <c:v>190.00022233465964</c:v>
                </c:pt>
                <c:pt idx="2021">
                  <c:v>190.06088653561497</c:v>
                </c:pt>
                <c:pt idx="2022">
                  <c:v>190.07393663542416</c:v>
                </c:pt>
                <c:pt idx="2023">
                  <c:v>190.14729052114757</c:v>
                </c:pt>
                <c:pt idx="2024">
                  <c:v>190.19718972093375</c:v>
                </c:pt>
                <c:pt idx="2025">
                  <c:v>190.23271459301014</c:v>
                </c:pt>
                <c:pt idx="2026">
                  <c:v>190.34814257514725</c:v>
                </c:pt>
                <c:pt idx="2027">
                  <c:v>190.42538696401419</c:v>
                </c:pt>
                <c:pt idx="2028">
                  <c:v>190.42794176919318</c:v>
                </c:pt>
                <c:pt idx="2029">
                  <c:v>190.53389940526014</c:v>
                </c:pt>
                <c:pt idx="2030">
                  <c:v>190.57435983933487</c:v>
                </c:pt>
                <c:pt idx="2031">
                  <c:v>190.59117852963777</c:v>
                </c:pt>
                <c:pt idx="2032">
                  <c:v>190.64549781771549</c:v>
                </c:pt>
                <c:pt idx="2033">
                  <c:v>190.66570380990083</c:v>
                </c:pt>
                <c:pt idx="2034">
                  <c:v>190.6927213807061</c:v>
                </c:pt>
                <c:pt idx="2035">
                  <c:v>190.69669334288272</c:v>
                </c:pt>
                <c:pt idx="2036">
                  <c:v>190.78269290564725</c:v>
                </c:pt>
                <c:pt idx="2037">
                  <c:v>190.84501999209263</c:v>
                </c:pt>
                <c:pt idx="2038">
                  <c:v>190.86847850230137</c:v>
                </c:pt>
                <c:pt idx="2039">
                  <c:v>190.9081953711796</c:v>
                </c:pt>
                <c:pt idx="2040">
                  <c:v>190.99532998675858</c:v>
                </c:pt>
                <c:pt idx="2041">
                  <c:v>191.02494474503624</c:v>
                </c:pt>
                <c:pt idx="2042">
                  <c:v>191.03177724695109</c:v>
                </c:pt>
                <c:pt idx="2043">
                  <c:v>191.06193027116544</c:v>
                </c:pt>
                <c:pt idx="2044">
                  <c:v>191.11004048000154</c:v>
                </c:pt>
                <c:pt idx="2045">
                  <c:v>191.11684219316709</c:v>
                </c:pt>
                <c:pt idx="2046">
                  <c:v>191.11879893709016</c:v>
                </c:pt>
                <c:pt idx="2047">
                  <c:v>191.12741595758308</c:v>
                </c:pt>
                <c:pt idx="2048">
                  <c:v>191.16477300734755</c:v>
                </c:pt>
                <c:pt idx="2049">
                  <c:v>191.22053191778301</c:v>
                </c:pt>
                <c:pt idx="2050">
                  <c:v>191.2494976888124</c:v>
                </c:pt>
                <c:pt idx="2051">
                  <c:v>191.2824726091047</c:v>
                </c:pt>
                <c:pt idx="2052">
                  <c:v>191.31945998167754</c:v>
                </c:pt>
                <c:pt idx="2053">
                  <c:v>191.36274265799651</c:v>
                </c:pt>
                <c:pt idx="2054">
                  <c:v>191.37505003417428</c:v>
                </c:pt>
                <c:pt idx="2055">
                  <c:v>191.41160222210556</c:v>
                </c:pt>
                <c:pt idx="2056">
                  <c:v>191.41384287348495</c:v>
                </c:pt>
                <c:pt idx="2057">
                  <c:v>191.43711824203714</c:v>
                </c:pt>
                <c:pt idx="2058">
                  <c:v>191.44568284873324</c:v>
                </c:pt>
                <c:pt idx="2059">
                  <c:v>191.54282403571719</c:v>
                </c:pt>
                <c:pt idx="2060">
                  <c:v>191.55904297719275</c:v>
                </c:pt>
                <c:pt idx="2061">
                  <c:v>191.61167046255389</c:v>
                </c:pt>
                <c:pt idx="2062">
                  <c:v>191.67603757346512</c:v>
                </c:pt>
                <c:pt idx="2063">
                  <c:v>191.68266626573669</c:v>
                </c:pt>
                <c:pt idx="2064">
                  <c:v>191.82613222317369</c:v>
                </c:pt>
                <c:pt idx="2065">
                  <c:v>192.02133594720311</c:v>
                </c:pt>
                <c:pt idx="2066">
                  <c:v>192.02369737963153</c:v>
                </c:pt>
                <c:pt idx="2067">
                  <c:v>192.07076165996469</c:v>
                </c:pt>
                <c:pt idx="2068">
                  <c:v>192.09954959762192</c:v>
                </c:pt>
                <c:pt idx="2069">
                  <c:v>192.15716519372214</c:v>
                </c:pt>
                <c:pt idx="2070">
                  <c:v>192.17710738466724</c:v>
                </c:pt>
                <c:pt idx="2071">
                  <c:v>192.18977915244278</c:v>
                </c:pt>
                <c:pt idx="2072">
                  <c:v>192.21268797215649</c:v>
                </c:pt>
                <c:pt idx="2073">
                  <c:v>192.23141725355481</c:v>
                </c:pt>
                <c:pt idx="2074">
                  <c:v>192.23258594725195</c:v>
                </c:pt>
                <c:pt idx="2075">
                  <c:v>192.25273263408573</c:v>
                </c:pt>
                <c:pt idx="2076">
                  <c:v>192.26320903728018</c:v>
                </c:pt>
                <c:pt idx="2077">
                  <c:v>192.28943578794804</c:v>
                </c:pt>
                <c:pt idx="2078">
                  <c:v>192.31663114304314</c:v>
                </c:pt>
                <c:pt idx="2079">
                  <c:v>192.32746028477877</c:v>
                </c:pt>
                <c:pt idx="2080">
                  <c:v>192.34066524244429</c:v>
                </c:pt>
                <c:pt idx="2081">
                  <c:v>192.40227921874177</c:v>
                </c:pt>
                <c:pt idx="2082">
                  <c:v>192.44859285028451</c:v>
                </c:pt>
                <c:pt idx="2083">
                  <c:v>192.48809783795278</c:v>
                </c:pt>
                <c:pt idx="2084">
                  <c:v>192.55643083947805</c:v>
                </c:pt>
                <c:pt idx="2085">
                  <c:v>192.56343273379744</c:v>
                </c:pt>
                <c:pt idx="2086">
                  <c:v>192.5730992799142</c:v>
                </c:pt>
                <c:pt idx="2087">
                  <c:v>192.62065275860397</c:v>
                </c:pt>
                <c:pt idx="2088">
                  <c:v>192.62325769406408</c:v>
                </c:pt>
                <c:pt idx="2089">
                  <c:v>192.62501424982202</c:v>
                </c:pt>
                <c:pt idx="2090">
                  <c:v>192.67192650281552</c:v>
                </c:pt>
                <c:pt idx="2091">
                  <c:v>192.67267314470888</c:v>
                </c:pt>
                <c:pt idx="2092">
                  <c:v>192.69568763096555</c:v>
                </c:pt>
                <c:pt idx="2093">
                  <c:v>192.76426494992037</c:v>
                </c:pt>
                <c:pt idx="2094">
                  <c:v>192.76669574693597</c:v>
                </c:pt>
                <c:pt idx="2095">
                  <c:v>192.79389112840471</c:v>
                </c:pt>
                <c:pt idx="2096">
                  <c:v>192.92278781763895</c:v>
                </c:pt>
                <c:pt idx="2097">
                  <c:v>192.95549807446025</c:v>
                </c:pt>
                <c:pt idx="2098">
                  <c:v>193.02759427195014</c:v>
                </c:pt>
                <c:pt idx="2099">
                  <c:v>193.06374604188576</c:v>
                </c:pt>
                <c:pt idx="2100">
                  <c:v>193.07478132095014</c:v>
                </c:pt>
                <c:pt idx="2101">
                  <c:v>193.09316447661462</c:v>
                </c:pt>
                <c:pt idx="2102">
                  <c:v>193.09367670937388</c:v>
                </c:pt>
                <c:pt idx="2103">
                  <c:v>193.17973979954951</c:v>
                </c:pt>
                <c:pt idx="2104">
                  <c:v>193.18045632649731</c:v>
                </c:pt>
                <c:pt idx="2105">
                  <c:v>193.20256625916525</c:v>
                </c:pt>
                <c:pt idx="2106">
                  <c:v>193.20849901234521</c:v>
                </c:pt>
                <c:pt idx="2107">
                  <c:v>193.38702675655941</c:v>
                </c:pt>
                <c:pt idx="2108">
                  <c:v>193.38719180176054</c:v>
                </c:pt>
                <c:pt idx="2109">
                  <c:v>193.3908107973412</c:v>
                </c:pt>
                <c:pt idx="2110">
                  <c:v>193.42769088449654</c:v>
                </c:pt>
                <c:pt idx="2111">
                  <c:v>193.45826688342487</c:v>
                </c:pt>
                <c:pt idx="2112">
                  <c:v>193.50659071077052</c:v>
                </c:pt>
                <c:pt idx="2113">
                  <c:v>193.55394773913758</c:v>
                </c:pt>
                <c:pt idx="2114">
                  <c:v>193.63717575273736</c:v>
                </c:pt>
                <c:pt idx="2115">
                  <c:v>193.67914685724224</c:v>
                </c:pt>
                <c:pt idx="2116">
                  <c:v>193.72922804438613</c:v>
                </c:pt>
                <c:pt idx="2117">
                  <c:v>193.7846165353584</c:v>
                </c:pt>
                <c:pt idx="2118">
                  <c:v>193.78958515219119</c:v>
                </c:pt>
                <c:pt idx="2119">
                  <c:v>193.80527874998415</c:v>
                </c:pt>
                <c:pt idx="2120">
                  <c:v>193.85248902506032</c:v>
                </c:pt>
                <c:pt idx="2121">
                  <c:v>193.89445092766618</c:v>
                </c:pt>
                <c:pt idx="2122">
                  <c:v>193.91028498941853</c:v>
                </c:pt>
                <c:pt idx="2123">
                  <c:v>193.94009002119896</c:v>
                </c:pt>
                <c:pt idx="2124">
                  <c:v>193.94879465022035</c:v>
                </c:pt>
                <c:pt idx="2125">
                  <c:v>193.95897764164681</c:v>
                </c:pt>
                <c:pt idx="2126">
                  <c:v>194.03003377763713</c:v>
                </c:pt>
                <c:pt idx="2127">
                  <c:v>194.04879226893001</c:v>
                </c:pt>
                <c:pt idx="2128">
                  <c:v>194.06841067314568</c:v>
                </c:pt>
                <c:pt idx="2129">
                  <c:v>194.07597563699477</c:v>
                </c:pt>
                <c:pt idx="2130">
                  <c:v>194.12102120127594</c:v>
                </c:pt>
                <c:pt idx="2131">
                  <c:v>194.12448896762621</c:v>
                </c:pt>
                <c:pt idx="2132">
                  <c:v>194.13529827737946</c:v>
                </c:pt>
                <c:pt idx="2133">
                  <c:v>194.1527346190579</c:v>
                </c:pt>
                <c:pt idx="2134">
                  <c:v>194.25980052731336</c:v>
                </c:pt>
                <c:pt idx="2135">
                  <c:v>194.2728844415802</c:v>
                </c:pt>
                <c:pt idx="2136">
                  <c:v>194.3334309466164</c:v>
                </c:pt>
                <c:pt idx="2137">
                  <c:v>194.39172981472876</c:v>
                </c:pt>
                <c:pt idx="2138">
                  <c:v>194.41419423472655</c:v>
                </c:pt>
                <c:pt idx="2139">
                  <c:v>194.41932234737084</c:v>
                </c:pt>
                <c:pt idx="2140">
                  <c:v>194.41990072190842</c:v>
                </c:pt>
                <c:pt idx="2141">
                  <c:v>194.45862051326657</c:v>
                </c:pt>
                <c:pt idx="2142">
                  <c:v>194.55584060203466</c:v>
                </c:pt>
                <c:pt idx="2143">
                  <c:v>194.58171600630223</c:v>
                </c:pt>
                <c:pt idx="2144">
                  <c:v>194.61868529356013</c:v>
                </c:pt>
                <c:pt idx="2145">
                  <c:v>194.75741205484752</c:v>
                </c:pt>
                <c:pt idx="2146">
                  <c:v>194.76866096634831</c:v>
                </c:pt>
                <c:pt idx="2147">
                  <c:v>194.77697314813184</c:v>
                </c:pt>
                <c:pt idx="2148">
                  <c:v>194.82159543127747</c:v>
                </c:pt>
                <c:pt idx="2149">
                  <c:v>194.8886614811542</c:v>
                </c:pt>
                <c:pt idx="2150">
                  <c:v>194.89077169757184</c:v>
                </c:pt>
                <c:pt idx="2151">
                  <c:v>194.93859838977201</c:v>
                </c:pt>
                <c:pt idx="2152">
                  <c:v>194.97822290318373</c:v>
                </c:pt>
                <c:pt idx="2153">
                  <c:v>194.9953015994667</c:v>
                </c:pt>
                <c:pt idx="2154">
                  <c:v>195.00106094931468</c:v>
                </c:pt>
                <c:pt idx="2155">
                  <c:v>195.03796825247923</c:v>
                </c:pt>
                <c:pt idx="2156">
                  <c:v>195.1603929933288</c:v>
                </c:pt>
                <c:pt idx="2157">
                  <c:v>195.23298088016537</c:v>
                </c:pt>
                <c:pt idx="2158">
                  <c:v>195.25160567004735</c:v>
                </c:pt>
                <c:pt idx="2159">
                  <c:v>195.33127108586967</c:v>
                </c:pt>
                <c:pt idx="2160">
                  <c:v>195.33734372793805</c:v>
                </c:pt>
                <c:pt idx="2161">
                  <c:v>195.37065233355526</c:v>
                </c:pt>
                <c:pt idx="2162">
                  <c:v>195.52322418372307</c:v>
                </c:pt>
                <c:pt idx="2163">
                  <c:v>195.52346889323823</c:v>
                </c:pt>
                <c:pt idx="2164">
                  <c:v>195.53051488566993</c:v>
                </c:pt>
                <c:pt idx="2165">
                  <c:v>195.54140060041894</c:v>
                </c:pt>
                <c:pt idx="2166">
                  <c:v>195.57752251119524</c:v>
                </c:pt>
                <c:pt idx="2167">
                  <c:v>195.60659990863104</c:v>
                </c:pt>
                <c:pt idx="2168">
                  <c:v>195.64181055339463</c:v>
                </c:pt>
                <c:pt idx="2169">
                  <c:v>195.6936809424017</c:v>
                </c:pt>
                <c:pt idx="2170">
                  <c:v>195.7093335092988</c:v>
                </c:pt>
                <c:pt idx="2171">
                  <c:v>195.72501031418503</c:v>
                </c:pt>
                <c:pt idx="2172">
                  <c:v>195.76424141227636</c:v>
                </c:pt>
                <c:pt idx="2173">
                  <c:v>195.79424442559085</c:v>
                </c:pt>
                <c:pt idx="2174">
                  <c:v>195.82927424537581</c:v>
                </c:pt>
                <c:pt idx="2175">
                  <c:v>195.94649163332858</c:v>
                </c:pt>
                <c:pt idx="2176">
                  <c:v>195.992113371454</c:v>
                </c:pt>
                <c:pt idx="2177">
                  <c:v>195.99662285864571</c:v>
                </c:pt>
                <c:pt idx="2178">
                  <c:v>196.04877996715925</c:v>
                </c:pt>
                <c:pt idx="2179">
                  <c:v>196.1228436606639</c:v>
                </c:pt>
                <c:pt idx="2180">
                  <c:v>196.21981484419825</c:v>
                </c:pt>
                <c:pt idx="2181">
                  <c:v>196.22921626451216</c:v>
                </c:pt>
                <c:pt idx="2182">
                  <c:v>196.2705192208868</c:v>
                </c:pt>
                <c:pt idx="2183">
                  <c:v>196.37825169024708</c:v>
                </c:pt>
                <c:pt idx="2184">
                  <c:v>196.38390977184105</c:v>
                </c:pt>
                <c:pt idx="2185">
                  <c:v>196.38510939640136</c:v>
                </c:pt>
                <c:pt idx="2186">
                  <c:v>196.39952438306281</c:v>
                </c:pt>
                <c:pt idx="2187">
                  <c:v>196.4667642113846</c:v>
                </c:pt>
                <c:pt idx="2188">
                  <c:v>196.49822222888554</c:v>
                </c:pt>
                <c:pt idx="2189">
                  <c:v>196.53008569275454</c:v>
                </c:pt>
                <c:pt idx="2190">
                  <c:v>196.54636312398191</c:v>
                </c:pt>
                <c:pt idx="2191">
                  <c:v>196.57075616009854</c:v>
                </c:pt>
                <c:pt idx="2192">
                  <c:v>196.60958426342862</c:v>
                </c:pt>
                <c:pt idx="2193">
                  <c:v>196.6275074696554</c:v>
                </c:pt>
                <c:pt idx="2194">
                  <c:v>196.69727438814587</c:v>
                </c:pt>
                <c:pt idx="2195">
                  <c:v>196.70167291372715</c:v>
                </c:pt>
                <c:pt idx="2196">
                  <c:v>196.71159316360584</c:v>
                </c:pt>
                <c:pt idx="2197">
                  <c:v>196.73579794084441</c:v>
                </c:pt>
                <c:pt idx="2198">
                  <c:v>196.86035663951836</c:v>
                </c:pt>
                <c:pt idx="2199">
                  <c:v>196.90804797333655</c:v>
                </c:pt>
                <c:pt idx="2200">
                  <c:v>196.92814048257324</c:v>
                </c:pt>
                <c:pt idx="2201">
                  <c:v>196.94754864821246</c:v>
                </c:pt>
                <c:pt idx="2202">
                  <c:v>196.96033441048186</c:v>
                </c:pt>
                <c:pt idx="2203">
                  <c:v>196.98734113665392</c:v>
                </c:pt>
                <c:pt idx="2204">
                  <c:v>197.0223078809943</c:v>
                </c:pt>
                <c:pt idx="2205">
                  <c:v>197.08801825152142</c:v>
                </c:pt>
                <c:pt idx="2206">
                  <c:v>197.10136749487228</c:v>
                </c:pt>
                <c:pt idx="2207">
                  <c:v>197.12394374276215</c:v>
                </c:pt>
                <c:pt idx="2208">
                  <c:v>197.13535906373983</c:v>
                </c:pt>
                <c:pt idx="2209">
                  <c:v>197.14509560128869</c:v>
                </c:pt>
                <c:pt idx="2210">
                  <c:v>197.18886179590044</c:v>
                </c:pt>
                <c:pt idx="2211">
                  <c:v>197.24808062547078</c:v>
                </c:pt>
                <c:pt idx="2212">
                  <c:v>197.27899817953914</c:v>
                </c:pt>
                <c:pt idx="2213">
                  <c:v>197.32939196388477</c:v>
                </c:pt>
                <c:pt idx="2214">
                  <c:v>197.34069450358191</c:v>
                </c:pt>
                <c:pt idx="2215">
                  <c:v>197.34152094028136</c:v>
                </c:pt>
                <c:pt idx="2216">
                  <c:v>197.35470225121247</c:v>
                </c:pt>
                <c:pt idx="2217">
                  <c:v>197.45233022840836</c:v>
                </c:pt>
                <c:pt idx="2218">
                  <c:v>197.49239981878534</c:v>
                </c:pt>
                <c:pt idx="2219">
                  <c:v>197.50894809017265</c:v>
                </c:pt>
                <c:pt idx="2220">
                  <c:v>197.55673545755695</c:v>
                </c:pt>
                <c:pt idx="2221">
                  <c:v>197.605484944956</c:v>
                </c:pt>
                <c:pt idx="2222">
                  <c:v>197.64463081630049</c:v>
                </c:pt>
                <c:pt idx="2223">
                  <c:v>197.69081561589996</c:v>
                </c:pt>
                <c:pt idx="2224">
                  <c:v>197.71164760617199</c:v>
                </c:pt>
                <c:pt idx="2225">
                  <c:v>197.74936992270872</c:v>
                </c:pt>
                <c:pt idx="2226">
                  <c:v>197.77915082088796</c:v>
                </c:pt>
                <c:pt idx="2227">
                  <c:v>197.82131482475586</c:v>
                </c:pt>
                <c:pt idx="2228">
                  <c:v>197.9994021967814</c:v>
                </c:pt>
                <c:pt idx="2229">
                  <c:v>198.00161736331322</c:v>
                </c:pt>
                <c:pt idx="2230">
                  <c:v>198.01740323339649</c:v>
                </c:pt>
                <c:pt idx="2231">
                  <c:v>198.04728334816105</c:v>
                </c:pt>
                <c:pt idx="2232">
                  <c:v>198.05213372756063</c:v>
                </c:pt>
                <c:pt idx="2233">
                  <c:v>198.08624404804985</c:v>
                </c:pt>
                <c:pt idx="2234">
                  <c:v>198.10410183066685</c:v>
                </c:pt>
                <c:pt idx="2235">
                  <c:v>198.13355616048077</c:v>
                </c:pt>
                <c:pt idx="2236">
                  <c:v>198.18723323353163</c:v>
                </c:pt>
                <c:pt idx="2237">
                  <c:v>198.21882259556634</c:v>
                </c:pt>
                <c:pt idx="2238">
                  <c:v>198.22142489133986</c:v>
                </c:pt>
                <c:pt idx="2239">
                  <c:v>198.33400790688682</c:v>
                </c:pt>
                <c:pt idx="2240">
                  <c:v>198.33511929986099</c:v>
                </c:pt>
                <c:pt idx="2241">
                  <c:v>198.36237321549382</c:v>
                </c:pt>
                <c:pt idx="2242">
                  <c:v>198.41323970429494</c:v>
                </c:pt>
                <c:pt idx="2243">
                  <c:v>198.45411757686929</c:v>
                </c:pt>
                <c:pt idx="2244">
                  <c:v>198.62802341038497</c:v>
                </c:pt>
                <c:pt idx="2245">
                  <c:v>198.66151876827976</c:v>
                </c:pt>
                <c:pt idx="2246">
                  <c:v>198.77049163163727</c:v>
                </c:pt>
                <c:pt idx="2247">
                  <c:v>198.78303900790991</c:v>
                </c:pt>
                <c:pt idx="2248">
                  <c:v>198.87726095647761</c:v>
                </c:pt>
                <c:pt idx="2249">
                  <c:v>198.87941640157248</c:v>
                </c:pt>
                <c:pt idx="2250">
                  <c:v>198.8849398850553</c:v>
                </c:pt>
                <c:pt idx="2251">
                  <c:v>198.90505072299797</c:v>
                </c:pt>
                <c:pt idx="2252">
                  <c:v>198.94455264864649</c:v>
                </c:pt>
                <c:pt idx="2253">
                  <c:v>198.99258737884296</c:v>
                </c:pt>
                <c:pt idx="2254">
                  <c:v>199.00595556844337</c:v>
                </c:pt>
                <c:pt idx="2255">
                  <c:v>199.03865872172543</c:v>
                </c:pt>
                <c:pt idx="2256">
                  <c:v>199.06074539273402</c:v>
                </c:pt>
                <c:pt idx="2257">
                  <c:v>199.13583322728573</c:v>
                </c:pt>
                <c:pt idx="2258">
                  <c:v>199.13837869391236</c:v>
                </c:pt>
                <c:pt idx="2259">
                  <c:v>199.18347702943649</c:v>
                </c:pt>
                <c:pt idx="2260">
                  <c:v>199.26072525063142</c:v>
                </c:pt>
                <c:pt idx="2261">
                  <c:v>199.2804226622614</c:v>
                </c:pt>
                <c:pt idx="2262">
                  <c:v>199.28642962689653</c:v>
                </c:pt>
                <c:pt idx="2263">
                  <c:v>199.36719215919561</c:v>
                </c:pt>
                <c:pt idx="2264">
                  <c:v>199.41194463048404</c:v>
                </c:pt>
                <c:pt idx="2265">
                  <c:v>199.42566903802629</c:v>
                </c:pt>
                <c:pt idx="2266">
                  <c:v>199.45339991404092</c:v>
                </c:pt>
                <c:pt idx="2267">
                  <c:v>199.46305779096181</c:v>
                </c:pt>
                <c:pt idx="2268">
                  <c:v>199.46855828935702</c:v>
                </c:pt>
                <c:pt idx="2269">
                  <c:v>199.47836424799357</c:v>
                </c:pt>
                <c:pt idx="2270">
                  <c:v>199.51895623853966</c:v>
                </c:pt>
                <c:pt idx="2271">
                  <c:v>199.52437326152884</c:v>
                </c:pt>
                <c:pt idx="2272">
                  <c:v>199.52967316156415</c:v>
                </c:pt>
                <c:pt idx="2273">
                  <c:v>199.57997034941167</c:v>
                </c:pt>
                <c:pt idx="2274">
                  <c:v>199.62673590757197</c:v>
                </c:pt>
                <c:pt idx="2275">
                  <c:v>199.76754448569343</c:v>
                </c:pt>
                <c:pt idx="2276">
                  <c:v>199.77008391947447</c:v>
                </c:pt>
                <c:pt idx="2277">
                  <c:v>199.81771020022222</c:v>
                </c:pt>
                <c:pt idx="2278">
                  <c:v>199.82048603801073</c:v>
                </c:pt>
                <c:pt idx="2279">
                  <c:v>199.90939409466486</c:v>
                </c:pt>
                <c:pt idx="2280">
                  <c:v>199.91006392652668</c:v>
                </c:pt>
                <c:pt idx="2281">
                  <c:v>199.96954949263102</c:v>
                </c:pt>
                <c:pt idx="2282">
                  <c:v>200.01182765005052</c:v>
                </c:pt>
                <c:pt idx="2283">
                  <c:v>200.05506665949466</c:v>
                </c:pt>
                <c:pt idx="2284">
                  <c:v>200.05951897634381</c:v>
                </c:pt>
                <c:pt idx="2285">
                  <c:v>200.17807516334355</c:v>
                </c:pt>
                <c:pt idx="2286">
                  <c:v>200.20851655991902</c:v>
                </c:pt>
                <c:pt idx="2287">
                  <c:v>200.21011367730634</c:v>
                </c:pt>
                <c:pt idx="2288">
                  <c:v>200.25281078239868</c:v>
                </c:pt>
                <c:pt idx="2289">
                  <c:v>200.25527488053032</c:v>
                </c:pt>
                <c:pt idx="2290">
                  <c:v>200.25655409708989</c:v>
                </c:pt>
                <c:pt idx="2291">
                  <c:v>200.34322055799004</c:v>
                </c:pt>
                <c:pt idx="2292">
                  <c:v>200.40089408838108</c:v>
                </c:pt>
                <c:pt idx="2293">
                  <c:v>200.45455712861224</c:v>
                </c:pt>
                <c:pt idx="2294">
                  <c:v>200.45633167523138</c:v>
                </c:pt>
                <c:pt idx="2295">
                  <c:v>200.48130204534931</c:v>
                </c:pt>
                <c:pt idx="2296">
                  <c:v>200.53919415010967</c:v>
                </c:pt>
                <c:pt idx="2297">
                  <c:v>200.57153950923572</c:v>
                </c:pt>
                <c:pt idx="2298">
                  <c:v>200.5888005052619</c:v>
                </c:pt>
                <c:pt idx="2299">
                  <c:v>200.61897869269836</c:v>
                </c:pt>
                <c:pt idx="2300">
                  <c:v>200.65117731634675</c:v>
                </c:pt>
                <c:pt idx="2301">
                  <c:v>200.65441644199399</c:v>
                </c:pt>
                <c:pt idx="2302">
                  <c:v>200.65655362774393</c:v>
                </c:pt>
                <c:pt idx="2303">
                  <c:v>200.66638183251749</c:v>
                </c:pt>
                <c:pt idx="2304">
                  <c:v>200.66985119625798</c:v>
                </c:pt>
                <c:pt idx="2305">
                  <c:v>200.69974170126599</c:v>
                </c:pt>
                <c:pt idx="2306">
                  <c:v>200.70182647060062</c:v>
                </c:pt>
                <c:pt idx="2307">
                  <c:v>200.71031979701846</c:v>
                </c:pt>
                <c:pt idx="2308">
                  <c:v>200.72622109899862</c:v>
                </c:pt>
                <c:pt idx="2309">
                  <c:v>200.72920823748441</c:v>
                </c:pt>
                <c:pt idx="2310">
                  <c:v>200.7732730031351</c:v>
                </c:pt>
                <c:pt idx="2311">
                  <c:v>200.82113083253233</c:v>
                </c:pt>
                <c:pt idx="2312">
                  <c:v>200.83375906617619</c:v>
                </c:pt>
                <c:pt idx="2313">
                  <c:v>200.84986038332201</c:v>
                </c:pt>
                <c:pt idx="2314">
                  <c:v>200.85146444608156</c:v>
                </c:pt>
                <c:pt idx="2315">
                  <c:v>200.91259276708229</c:v>
                </c:pt>
                <c:pt idx="2316">
                  <c:v>200.92300636352189</c:v>
                </c:pt>
                <c:pt idx="2317">
                  <c:v>200.952724064969</c:v>
                </c:pt>
                <c:pt idx="2318">
                  <c:v>200.98319383367684</c:v>
                </c:pt>
                <c:pt idx="2319">
                  <c:v>201.19529287894721</c:v>
                </c:pt>
                <c:pt idx="2320">
                  <c:v>201.23182004299366</c:v>
                </c:pt>
                <c:pt idx="2321">
                  <c:v>201.25672423923498</c:v>
                </c:pt>
                <c:pt idx="2322">
                  <c:v>201.36121261501995</c:v>
                </c:pt>
                <c:pt idx="2323">
                  <c:v>201.38149860200514</c:v>
                </c:pt>
                <c:pt idx="2324">
                  <c:v>201.38438386348301</c:v>
                </c:pt>
                <c:pt idx="2325">
                  <c:v>201.38763873986761</c:v>
                </c:pt>
                <c:pt idx="2326">
                  <c:v>201.44812486428111</c:v>
                </c:pt>
                <c:pt idx="2327">
                  <c:v>201.50019590059335</c:v>
                </c:pt>
                <c:pt idx="2328">
                  <c:v>201.5331038184847</c:v>
                </c:pt>
                <c:pt idx="2329">
                  <c:v>201.54777135575736</c:v>
                </c:pt>
                <c:pt idx="2330">
                  <c:v>201.56672607583002</c:v>
                </c:pt>
                <c:pt idx="2331">
                  <c:v>201.58199986606826</c:v>
                </c:pt>
                <c:pt idx="2332">
                  <c:v>201.60168837510363</c:v>
                </c:pt>
                <c:pt idx="2333">
                  <c:v>201.67321687436089</c:v>
                </c:pt>
                <c:pt idx="2334">
                  <c:v>201.79589263692753</c:v>
                </c:pt>
                <c:pt idx="2335">
                  <c:v>201.81861546724232</c:v>
                </c:pt>
                <c:pt idx="2336">
                  <c:v>201.82910807169628</c:v>
                </c:pt>
                <c:pt idx="2337">
                  <c:v>201.85122062650555</c:v>
                </c:pt>
                <c:pt idx="2338">
                  <c:v>201.87100578162475</c:v>
                </c:pt>
                <c:pt idx="2339">
                  <c:v>201.88194788445699</c:v>
                </c:pt>
                <c:pt idx="2340">
                  <c:v>201.88257962403679</c:v>
                </c:pt>
                <c:pt idx="2341">
                  <c:v>201.89978607026435</c:v>
                </c:pt>
                <c:pt idx="2342">
                  <c:v>201.94818882466581</c:v>
                </c:pt>
                <c:pt idx="2343">
                  <c:v>201.95837804151216</c:v>
                </c:pt>
                <c:pt idx="2344">
                  <c:v>201.98620339672331</c:v>
                </c:pt>
                <c:pt idx="2345">
                  <c:v>202.04162090279465</c:v>
                </c:pt>
                <c:pt idx="2346">
                  <c:v>202.09094704783053</c:v>
                </c:pt>
                <c:pt idx="2347">
                  <c:v>202.11228858784807</c:v>
                </c:pt>
                <c:pt idx="2348">
                  <c:v>202.16478885611892</c:v>
                </c:pt>
                <c:pt idx="2349">
                  <c:v>202.18484509676409</c:v>
                </c:pt>
                <c:pt idx="2350">
                  <c:v>202.34371551834477</c:v>
                </c:pt>
                <c:pt idx="2351">
                  <c:v>202.40823874071023</c:v>
                </c:pt>
                <c:pt idx="2352">
                  <c:v>202.55638100642574</c:v>
                </c:pt>
                <c:pt idx="2353">
                  <c:v>202.60811118123891</c:v>
                </c:pt>
                <c:pt idx="2354">
                  <c:v>202.64606365898683</c:v>
                </c:pt>
                <c:pt idx="2355">
                  <c:v>202.738883441079</c:v>
                </c:pt>
                <c:pt idx="2356">
                  <c:v>202.7435454856786</c:v>
                </c:pt>
                <c:pt idx="2357">
                  <c:v>202.77321812012926</c:v>
                </c:pt>
                <c:pt idx="2358">
                  <c:v>202.78788811198677</c:v>
                </c:pt>
                <c:pt idx="2359">
                  <c:v>202.81272174013287</c:v>
                </c:pt>
                <c:pt idx="2360">
                  <c:v>202.81492184790201</c:v>
                </c:pt>
                <c:pt idx="2361">
                  <c:v>202.82202067303388</c:v>
                </c:pt>
                <c:pt idx="2362">
                  <c:v>202.96789837059853</c:v>
                </c:pt>
                <c:pt idx="2363">
                  <c:v>203.03100189352628</c:v>
                </c:pt>
                <c:pt idx="2364">
                  <c:v>203.08876969958177</c:v>
                </c:pt>
                <c:pt idx="2365">
                  <c:v>203.10695709084999</c:v>
                </c:pt>
                <c:pt idx="2366">
                  <c:v>203.21542579142883</c:v>
                </c:pt>
                <c:pt idx="2367">
                  <c:v>203.25454390183336</c:v>
                </c:pt>
                <c:pt idx="2368">
                  <c:v>203.27344657168624</c:v>
                </c:pt>
                <c:pt idx="2369">
                  <c:v>203.31920944023449</c:v>
                </c:pt>
                <c:pt idx="2370">
                  <c:v>203.32441871488638</c:v>
                </c:pt>
                <c:pt idx="2371">
                  <c:v>203.3335571626892</c:v>
                </c:pt>
                <c:pt idx="2372">
                  <c:v>203.34638985521994</c:v>
                </c:pt>
                <c:pt idx="2373">
                  <c:v>203.35723284077372</c:v>
                </c:pt>
                <c:pt idx="2374">
                  <c:v>203.40237197698295</c:v>
                </c:pt>
                <c:pt idx="2375">
                  <c:v>203.41985045372985</c:v>
                </c:pt>
                <c:pt idx="2376">
                  <c:v>203.55899398754366</c:v>
                </c:pt>
                <c:pt idx="2377">
                  <c:v>203.56317288481748</c:v>
                </c:pt>
                <c:pt idx="2378">
                  <c:v>203.56618476675033</c:v>
                </c:pt>
                <c:pt idx="2379">
                  <c:v>203.63020373095168</c:v>
                </c:pt>
                <c:pt idx="2380">
                  <c:v>203.66408808774818</c:v>
                </c:pt>
                <c:pt idx="2381">
                  <c:v>203.7420064807755</c:v>
                </c:pt>
                <c:pt idx="2382">
                  <c:v>203.77806365422276</c:v>
                </c:pt>
                <c:pt idx="2383">
                  <c:v>203.92160094052991</c:v>
                </c:pt>
                <c:pt idx="2384">
                  <c:v>203.93619175967535</c:v>
                </c:pt>
                <c:pt idx="2385">
                  <c:v>203.99608637187751</c:v>
                </c:pt>
                <c:pt idx="2386">
                  <c:v>204.03529619087746</c:v>
                </c:pt>
                <c:pt idx="2387">
                  <c:v>204.06199978677856</c:v>
                </c:pt>
                <c:pt idx="2388">
                  <c:v>204.06822379022049</c:v>
                </c:pt>
                <c:pt idx="2389">
                  <c:v>204.07181861166507</c:v>
                </c:pt>
                <c:pt idx="2390">
                  <c:v>204.1744334797165</c:v>
                </c:pt>
                <c:pt idx="2391">
                  <c:v>204.19978630332602</c:v>
                </c:pt>
                <c:pt idx="2392">
                  <c:v>204.21163990852213</c:v>
                </c:pt>
                <c:pt idx="2393">
                  <c:v>204.29737280307495</c:v>
                </c:pt>
                <c:pt idx="2394">
                  <c:v>204.4484793865779</c:v>
                </c:pt>
                <c:pt idx="2395">
                  <c:v>204.54761454889695</c:v>
                </c:pt>
                <c:pt idx="2396">
                  <c:v>204.59478536880118</c:v>
                </c:pt>
                <c:pt idx="2397">
                  <c:v>204.64682262206929</c:v>
                </c:pt>
                <c:pt idx="2398">
                  <c:v>204.6793529170254</c:v>
                </c:pt>
                <c:pt idx="2399">
                  <c:v>204.8076923435658</c:v>
                </c:pt>
                <c:pt idx="2400">
                  <c:v>204.86799860611018</c:v>
                </c:pt>
                <c:pt idx="2401">
                  <c:v>204.90724515027142</c:v>
                </c:pt>
                <c:pt idx="2402">
                  <c:v>204.94241314606501</c:v>
                </c:pt>
                <c:pt idx="2403">
                  <c:v>204.9692447170421</c:v>
                </c:pt>
                <c:pt idx="2404">
                  <c:v>205.00553875601184</c:v>
                </c:pt>
                <c:pt idx="2405">
                  <c:v>205.0474396288931</c:v>
                </c:pt>
                <c:pt idx="2406">
                  <c:v>205.05446898409596</c:v>
                </c:pt>
                <c:pt idx="2407">
                  <c:v>205.13519483508585</c:v>
                </c:pt>
                <c:pt idx="2408">
                  <c:v>205.14819742210781</c:v>
                </c:pt>
                <c:pt idx="2409">
                  <c:v>205.17957949462016</c:v>
                </c:pt>
                <c:pt idx="2410">
                  <c:v>205.19922936230699</c:v>
                </c:pt>
                <c:pt idx="2411">
                  <c:v>205.21082198146078</c:v>
                </c:pt>
                <c:pt idx="2412">
                  <c:v>205.24287522793594</c:v>
                </c:pt>
                <c:pt idx="2413">
                  <c:v>205.25382423234242</c:v>
                </c:pt>
                <c:pt idx="2414">
                  <c:v>205.42204816689031</c:v>
                </c:pt>
                <c:pt idx="2415">
                  <c:v>205.48838153646543</c:v>
                </c:pt>
                <c:pt idx="2416">
                  <c:v>205.57233467377463</c:v>
                </c:pt>
                <c:pt idx="2417">
                  <c:v>205.64413029460295</c:v>
                </c:pt>
                <c:pt idx="2418">
                  <c:v>205.64530500596254</c:v>
                </c:pt>
                <c:pt idx="2419">
                  <c:v>205.71743397927798</c:v>
                </c:pt>
                <c:pt idx="2420">
                  <c:v>205.73807074784006</c:v>
                </c:pt>
                <c:pt idx="2421">
                  <c:v>205.8199153211705</c:v>
                </c:pt>
                <c:pt idx="2422">
                  <c:v>205.8687042473552</c:v>
                </c:pt>
                <c:pt idx="2423">
                  <c:v>205.9494290148296</c:v>
                </c:pt>
                <c:pt idx="2424">
                  <c:v>205.97623577848447</c:v>
                </c:pt>
                <c:pt idx="2425">
                  <c:v>205.97849980610954</c:v>
                </c:pt>
                <c:pt idx="2426">
                  <c:v>206.00480891257837</c:v>
                </c:pt>
                <c:pt idx="2427">
                  <c:v>206.04060568483928</c:v>
                </c:pt>
                <c:pt idx="2428">
                  <c:v>206.04377917045977</c:v>
                </c:pt>
                <c:pt idx="2429">
                  <c:v>206.06538096650007</c:v>
                </c:pt>
                <c:pt idx="2430">
                  <c:v>206.06749304512496</c:v>
                </c:pt>
                <c:pt idx="2431">
                  <c:v>206.08266230068932</c:v>
                </c:pt>
                <c:pt idx="2432">
                  <c:v>206.12244224792278</c:v>
                </c:pt>
                <c:pt idx="2433">
                  <c:v>206.15936790778596</c:v>
                </c:pt>
                <c:pt idx="2434">
                  <c:v>206.1814615742779</c:v>
                </c:pt>
                <c:pt idx="2435">
                  <c:v>206.19263408905005</c:v>
                </c:pt>
                <c:pt idx="2436">
                  <c:v>206.19330505633482</c:v>
                </c:pt>
                <c:pt idx="2437">
                  <c:v>206.2065562849827</c:v>
                </c:pt>
                <c:pt idx="2438">
                  <c:v>206.27222656959782</c:v>
                </c:pt>
                <c:pt idx="2439">
                  <c:v>206.28748195201712</c:v>
                </c:pt>
                <c:pt idx="2440">
                  <c:v>206.38276605638077</c:v>
                </c:pt>
                <c:pt idx="2441">
                  <c:v>206.38995398618044</c:v>
                </c:pt>
                <c:pt idx="2442">
                  <c:v>206.46096559362667</c:v>
                </c:pt>
                <c:pt idx="2443">
                  <c:v>206.48253778501066</c:v>
                </c:pt>
                <c:pt idx="2444">
                  <c:v>206.49566027667794</c:v>
                </c:pt>
                <c:pt idx="2445">
                  <c:v>206.55361494289087</c:v>
                </c:pt>
                <c:pt idx="2446">
                  <c:v>206.603800368522</c:v>
                </c:pt>
                <c:pt idx="2447">
                  <c:v>206.65786304265265</c:v>
                </c:pt>
                <c:pt idx="2448">
                  <c:v>206.66007764394553</c:v>
                </c:pt>
                <c:pt idx="2449">
                  <c:v>206.70049996580775</c:v>
                </c:pt>
                <c:pt idx="2450">
                  <c:v>206.76629658298185</c:v>
                </c:pt>
                <c:pt idx="2451">
                  <c:v>206.82071213534522</c:v>
                </c:pt>
                <c:pt idx="2452">
                  <c:v>206.92244838190959</c:v>
                </c:pt>
                <c:pt idx="2453">
                  <c:v>207.04710311189808</c:v>
                </c:pt>
                <c:pt idx="2454">
                  <c:v>207.12902231406017</c:v>
                </c:pt>
                <c:pt idx="2455">
                  <c:v>207.19213678236312</c:v>
                </c:pt>
                <c:pt idx="2456">
                  <c:v>207.22565759842635</c:v>
                </c:pt>
                <c:pt idx="2457">
                  <c:v>207.22772482741982</c:v>
                </c:pt>
                <c:pt idx="2458">
                  <c:v>207.23197919682707</c:v>
                </c:pt>
                <c:pt idx="2459">
                  <c:v>207.23967999123832</c:v>
                </c:pt>
                <c:pt idx="2460">
                  <c:v>207.30920886867878</c:v>
                </c:pt>
                <c:pt idx="2461">
                  <c:v>207.31540629857938</c:v>
                </c:pt>
                <c:pt idx="2462">
                  <c:v>207.34932844549016</c:v>
                </c:pt>
                <c:pt idx="2463">
                  <c:v>207.55131335757841</c:v>
                </c:pt>
                <c:pt idx="2464">
                  <c:v>207.57406546971731</c:v>
                </c:pt>
                <c:pt idx="2465">
                  <c:v>207.57451247804826</c:v>
                </c:pt>
                <c:pt idx="2466">
                  <c:v>207.63009109396751</c:v>
                </c:pt>
                <c:pt idx="2467">
                  <c:v>207.64505053263457</c:v>
                </c:pt>
                <c:pt idx="2468">
                  <c:v>207.81481350879145</c:v>
                </c:pt>
                <c:pt idx="2469">
                  <c:v>207.89447157700567</c:v>
                </c:pt>
                <c:pt idx="2470">
                  <c:v>207.93010346835737</c:v>
                </c:pt>
                <c:pt idx="2471">
                  <c:v>207.97647029407472</c:v>
                </c:pt>
                <c:pt idx="2472">
                  <c:v>207.978561982152</c:v>
                </c:pt>
                <c:pt idx="2473">
                  <c:v>207.99648451217465</c:v>
                </c:pt>
                <c:pt idx="2474">
                  <c:v>208.01656847147638</c:v>
                </c:pt>
                <c:pt idx="2475">
                  <c:v>208.04217980614689</c:v>
                </c:pt>
                <c:pt idx="2476">
                  <c:v>208.0708108582848</c:v>
                </c:pt>
                <c:pt idx="2477">
                  <c:v>208.08381637923233</c:v>
                </c:pt>
                <c:pt idx="2478">
                  <c:v>208.14250543977963</c:v>
                </c:pt>
                <c:pt idx="2479">
                  <c:v>208.19983654960856</c:v>
                </c:pt>
                <c:pt idx="2480">
                  <c:v>208.27034731358182</c:v>
                </c:pt>
                <c:pt idx="2481">
                  <c:v>208.27502903601183</c:v>
                </c:pt>
                <c:pt idx="2482">
                  <c:v>208.39441659561746</c:v>
                </c:pt>
                <c:pt idx="2483">
                  <c:v>208.40877284179385</c:v>
                </c:pt>
                <c:pt idx="2484">
                  <c:v>208.40913874585746</c:v>
                </c:pt>
                <c:pt idx="2485">
                  <c:v>208.4406435744641</c:v>
                </c:pt>
                <c:pt idx="2486">
                  <c:v>208.51781791202319</c:v>
                </c:pt>
                <c:pt idx="2487">
                  <c:v>208.59903290034555</c:v>
                </c:pt>
                <c:pt idx="2488">
                  <c:v>208.66269737570369</c:v>
                </c:pt>
                <c:pt idx="2489">
                  <c:v>208.68253005853032</c:v>
                </c:pt>
                <c:pt idx="2490">
                  <c:v>208.7089694460482</c:v>
                </c:pt>
                <c:pt idx="2491">
                  <c:v>208.73986754076583</c:v>
                </c:pt>
                <c:pt idx="2492">
                  <c:v>208.76691814540916</c:v>
                </c:pt>
                <c:pt idx="2493">
                  <c:v>208.80162930662641</c:v>
                </c:pt>
                <c:pt idx="2494">
                  <c:v>208.81195249214363</c:v>
                </c:pt>
                <c:pt idx="2495">
                  <c:v>208.84825145928022</c:v>
                </c:pt>
                <c:pt idx="2496">
                  <c:v>208.88299207478417</c:v>
                </c:pt>
                <c:pt idx="2497">
                  <c:v>208.91635153616176</c:v>
                </c:pt>
                <c:pt idx="2498">
                  <c:v>208.97884829986154</c:v>
                </c:pt>
                <c:pt idx="2499">
                  <c:v>209.0150383110539</c:v>
                </c:pt>
                <c:pt idx="2500">
                  <c:v>209.0274169254692</c:v>
                </c:pt>
                <c:pt idx="2501">
                  <c:v>209.04621578942593</c:v>
                </c:pt>
                <c:pt idx="2502">
                  <c:v>209.11071036960752</c:v>
                </c:pt>
                <c:pt idx="2503">
                  <c:v>209.13702136371899</c:v>
                </c:pt>
                <c:pt idx="2504">
                  <c:v>209.14809854260713</c:v>
                </c:pt>
                <c:pt idx="2505">
                  <c:v>209.2570180883915</c:v>
                </c:pt>
                <c:pt idx="2506">
                  <c:v>209.34377697307613</c:v>
                </c:pt>
                <c:pt idx="2507">
                  <c:v>209.3648721297568</c:v>
                </c:pt>
                <c:pt idx="2508">
                  <c:v>209.40116529899282</c:v>
                </c:pt>
                <c:pt idx="2509">
                  <c:v>209.44833930128328</c:v>
                </c:pt>
                <c:pt idx="2510">
                  <c:v>209.45912857976788</c:v>
                </c:pt>
                <c:pt idx="2511">
                  <c:v>209.53574696953814</c:v>
                </c:pt>
                <c:pt idx="2512">
                  <c:v>209.63826547967622</c:v>
                </c:pt>
                <c:pt idx="2513">
                  <c:v>209.66482065041885</c:v>
                </c:pt>
                <c:pt idx="2514">
                  <c:v>209.68584021652549</c:v>
                </c:pt>
                <c:pt idx="2515">
                  <c:v>209.69328048153432</c:v>
                </c:pt>
                <c:pt idx="2516">
                  <c:v>209.84531119743812</c:v>
                </c:pt>
                <c:pt idx="2517">
                  <c:v>209.85902178830233</c:v>
                </c:pt>
                <c:pt idx="2518">
                  <c:v>209.86585079030019</c:v>
                </c:pt>
                <c:pt idx="2519">
                  <c:v>209.94547500971626</c:v>
                </c:pt>
                <c:pt idx="2520">
                  <c:v>209.95224521922552</c:v>
                </c:pt>
                <c:pt idx="2521">
                  <c:v>209.97693692249118</c:v>
                </c:pt>
                <c:pt idx="2522">
                  <c:v>210.05628413306817</c:v>
                </c:pt>
                <c:pt idx="2523">
                  <c:v>210.10503976645691</c:v>
                </c:pt>
                <c:pt idx="2524">
                  <c:v>210.11795110509547</c:v>
                </c:pt>
                <c:pt idx="2525">
                  <c:v>210.13983358408575</c:v>
                </c:pt>
                <c:pt idx="2526">
                  <c:v>210.15392427285099</c:v>
                </c:pt>
                <c:pt idx="2527">
                  <c:v>210.1574377040387</c:v>
                </c:pt>
                <c:pt idx="2528">
                  <c:v>210.17061381353113</c:v>
                </c:pt>
                <c:pt idx="2529">
                  <c:v>210.26468753550427</c:v>
                </c:pt>
                <c:pt idx="2530">
                  <c:v>210.29516301611591</c:v>
                </c:pt>
                <c:pt idx="2531">
                  <c:v>210.36063660065687</c:v>
                </c:pt>
                <c:pt idx="2532">
                  <c:v>210.40714493312981</c:v>
                </c:pt>
                <c:pt idx="2533">
                  <c:v>210.45339906678493</c:v>
                </c:pt>
                <c:pt idx="2534">
                  <c:v>210.46682835376603</c:v>
                </c:pt>
                <c:pt idx="2535">
                  <c:v>210.49367036195034</c:v>
                </c:pt>
                <c:pt idx="2536">
                  <c:v>210.58127126211244</c:v>
                </c:pt>
                <c:pt idx="2537">
                  <c:v>210.6225087750847</c:v>
                </c:pt>
                <c:pt idx="2538">
                  <c:v>210.71438750607675</c:v>
                </c:pt>
                <c:pt idx="2539">
                  <c:v>210.71857944401268</c:v>
                </c:pt>
                <c:pt idx="2540">
                  <c:v>210.76793975136471</c:v>
                </c:pt>
                <c:pt idx="2541">
                  <c:v>210.86615102084801</c:v>
                </c:pt>
                <c:pt idx="2542">
                  <c:v>210.91214764464371</c:v>
                </c:pt>
                <c:pt idx="2543">
                  <c:v>210.9211554769347</c:v>
                </c:pt>
                <c:pt idx="2544">
                  <c:v>210.92683889472193</c:v>
                </c:pt>
                <c:pt idx="2545">
                  <c:v>210.97338815927384</c:v>
                </c:pt>
                <c:pt idx="2546">
                  <c:v>211.02366533708769</c:v>
                </c:pt>
                <c:pt idx="2547">
                  <c:v>211.0346082444359</c:v>
                </c:pt>
                <c:pt idx="2548">
                  <c:v>211.03976896744254</c:v>
                </c:pt>
                <c:pt idx="2549">
                  <c:v>211.10857127798948</c:v>
                </c:pt>
                <c:pt idx="2550">
                  <c:v>211.12490056927899</c:v>
                </c:pt>
                <c:pt idx="2551">
                  <c:v>211.22901838779995</c:v>
                </c:pt>
                <c:pt idx="2552">
                  <c:v>211.23115142432303</c:v>
                </c:pt>
                <c:pt idx="2553">
                  <c:v>211.23602858136218</c:v>
                </c:pt>
                <c:pt idx="2554">
                  <c:v>211.2530872238429</c:v>
                </c:pt>
                <c:pt idx="2555">
                  <c:v>211.26975717830899</c:v>
                </c:pt>
                <c:pt idx="2556">
                  <c:v>211.31112127893914</c:v>
                </c:pt>
                <c:pt idx="2557">
                  <c:v>211.34892328511546</c:v>
                </c:pt>
                <c:pt idx="2558">
                  <c:v>211.38055307582351</c:v>
                </c:pt>
                <c:pt idx="2559">
                  <c:v>211.39606023087629</c:v>
                </c:pt>
                <c:pt idx="2560">
                  <c:v>211.49259918546991</c:v>
                </c:pt>
                <c:pt idx="2561">
                  <c:v>211.523729802871</c:v>
                </c:pt>
                <c:pt idx="2562">
                  <c:v>211.57530192787004</c:v>
                </c:pt>
                <c:pt idx="2563">
                  <c:v>211.59156617405819</c:v>
                </c:pt>
                <c:pt idx="2564">
                  <c:v>211.64211959887473</c:v>
                </c:pt>
                <c:pt idx="2565">
                  <c:v>211.7248330811689</c:v>
                </c:pt>
                <c:pt idx="2566">
                  <c:v>211.76956641846326</c:v>
                </c:pt>
                <c:pt idx="2567">
                  <c:v>211.77253858827075</c:v>
                </c:pt>
                <c:pt idx="2568">
                  <c:v>211.88832187116134</c:v>
                </c:pt>
                <c:pt idx="2569">
                  <c:v>211.90480281663724</c:v>
                </c:pt>
                <c:pt idx="2570">
                  <c:v>211.90796122643138</c:v>
                </c:pt>
                <c:pt idx="2571">
                  <c:v>211.93096949108053</c:v>
                </c:pt>
                <c:pt idx="2572">
                  <c:v>211.94390207193052</c:v>
                </c:pt>
                <c:pt idx="2573">
                  <c:v>212.03293441777859</c:v>
                </c:pt>
                <c:pt idx="2574">
                  <c:v>212.03493423892868</c:v>
                </c:pt>
                <c:pt idx="2575">
                  <c:v>212.03815471093716</c:v>
                </c:pt>
                <c:pt idx="2576">
                  <c:v>212.13309012712503</c:v>
                </c:pt>
                <c:pt idx="2577">
                  <c:v>212.27246125623782</c:v>
                </c:pt>
                <c:pt idx="2578">
                  <c:v>212.30852414278743</c:v>
                </c:pt>
                <c:pt idx="2579">
                  <c:v>212.31239179080151</c:v>
                </c:pt>
                <c:pt idx="2580">
                  <c:v>212.36624678583394</c:v>
                </c:pt>
                <c:pt idx="2581">
                  <c:v>212.43909201244142</c:v>
                </c:pt>
                <c:pt idx="2582">
                  <c:v>212.44009197235076</c:v>
                </c:pt>
                <c:pt idx="2583">
                  <c:v>212.49236141288017</c:v>
                </c:pt>
                <c:pt idx="2584">
                  <c:v>212.49955407096647</c:v>
                </c:pt>
                <c:pt idx="2585">
                  <c:v>212.5166361939977</c:v>
                </c:pt>
                <c:pt idx="2586">
                  <c:v>212.55013916496785</c:v>
                </c:pt>
                <c:pt idx="2587">
                  <c:v>212.55337384779651</c:v>
                </c:pt>
                <c:pt idx="2588">
                  <c:v>212.69749820878832</c:v>
                </c:pt>
                <c:pt idx="2589">
                  <c:v>212.72046670468492</c:v>
                </c:pt>
                <c:pt idx="2590">
                  <c:v>212.72474917378267</c:v>
                </c:pt>
                <c:pt idx="2591">
                  <c:v>212.73590640557018</c:v>
                </c:pt>
                <c:pt idx="2592">
                  <c:v>212.7552447047899</c:v>
                </c:pt>
                <c:pt idx="2593">
                  <c:v>212.77595985549164</c:v>
                </c:pt>
                <c:pt idx="2594">
                  <c:v>212.80843902043878</c:v>
                </c:pt>
                <c:pt idx="2595">
                  <c:v>212.84844142638693</c:v>
                </c:pt>
                <c:pt idx="2596">
                  <c:v>212.8668463733548</c:v>
                </c:pt>
                <c:pt idx="2597">
                  <c:v>212.90083242778016</c:v>
                </c:pt>
                <c:pt idx="2598">
                  <c:v>212.90382588521038</c:v>
                </c:pt>
                <c:pt idx="2599">
                  <c:v>212.9058304013794</c:v>
                </c:pt>
                <c:pt idx="2600">
                  <c:v>212.91870685267924</c:v>
                </c:pt>
                <c:pt idx="2601">
                  <c:v>212.92679845373544</c:v>
                </c:pt>
                <c:pt idx="2602">
                  <c:v>212.94253216945793</c:v>
                </c:pt>
                <c:pt idx="2603">
                  <c:v>212.98374711022433</c:v>
                </c:pt>
                <c:pt idx="2604">
                  <c:v>213.14481598979427</c:v>
                </c:pt>
                <c:pt idx="2605">
                  <c:v>213.23505301754329</c:v>
                </c:pt>
                <c:pt idx="2606">
                  <c:v>213.26587699356398</c:v>
                </c:pt>
                <c:pt idx="2607">
                  <c:v>213.30444135204351</c:v>
                </c:pt>
                <c:pt idx="2608">
                  <c:v>213.30554493815791</c:v>
                </c:pt>
                <c:pt idx="2609">
                  <c:v>213.3941825808889</c:v>
                </c:pt>
                <c:pt idx="2610">
                  <c:v>213.39926405071787</c:v>
                </c:pt>
                <c:pt idx="2611">
                  <c:v>213.40558353089475</c:v>
                </c:pt>
                <c:pt idx="2612">
                  <c:v>213.44536915858004</c:v>
                </c:pt>
                <c:pt idx="2613">
                  <c:v>213.45278519923991</c:v>
                </c:pt>
                <c:pt idx="2614">
                  <c:v>213.46435704101106</c:v>
                </c:pt>
                <c:pt idx="2615">
                  <c:v>213.46695061860811</c:v>
                </c:pt>
                <c:pt idx="2616">
                  <c:v>213.48038691038417</c:v>
                </c:pt>
                <c:pt idx="2617">
                  <c:v>213.49546317217673</c:v>
                </c:pt>
                <c:pt idx="2618">
                  <c:v>213.50987624990796</c:v>
                </c:pt>
                <c:pt idx="2619">
                  <c:v>213.51427631712198</c:v>
                </c:pt>
                <c:pt idx="2620">
                  <c:v>213.5178650037852</c:v>
                </c:pt>
                <c:pt idx="2621">
                  <c:v>213.56914616814962</c:v>
                </c:pt>
                <c:pt idx="2622">
                  <c:v>213.57805555871272</c:v>
                </c:pt>
                <c:pt idx="2623">
                  <c:v>213.65994743346835</c:v>
                </c:pt>
                <c:pt idx="2624">
                  <c:v>213.70493825217946</c:v>
                </c:pt>
                <c:pt idx="2625">
                  <c:v>213.74802900071757</c:v>
                </c:pt>
                <c:pt idx="2626">
                  <c:v>213.82189232579344</c:v>
                </c:pt>
                <c:pt idx="2627">
                  <c:v>213.84000157453437</c:v>
                </c:pt>
                <c:pt idx="2628">
                  <c:v>213.85366674349626</c:v>
                </c:pt>
                <c:pt idx="2629">
                  <c:v>213.89227608002432</c:v>
                </c:pt>
                <c:pt idx="2630">
                  <c:v>213.96851367063218</c:v>
                </c:pt>
                <c:pt idx="2631">
                  <c:v>214.12505169579777</c:v>
                </c:pt>
                <c:pt idx="2632">
                  <c:v>214.13411811911101</c:v>
                </c:pt>
                <c:pt idx="2633">
                  <c:v>214.13920090329594</c:v>
                </c:pt>
                <c:pt idx="2634">
                  <c:v>214.16237407650181</c:v>
                </c:pt>
                <c:pt idx="2635">
                  <c:v>214.17370191596393</c:v>
                </c:pt>
                <c:pt idx="2636">
                  <c:v>214.22249946310711</c:v>
                </c:pt>
                <c:pt idx="2637">
                  <c:v>214.25228470236141</c:v>
                </c:pt>
                <c:pt idx="2638">
                  <c:v>214.30657467685919</c:v>
                </c:pt>
                <c:pt idx="2639">
                  <c:v>214.31371592134306</c:v>
                </c:pt>
                <c:pt idx="2640">
                  <c:v>214.46109537963986</c:v>
                </c:pt>
                <c:pt idx="2641">
                  <c:v>214.46174828029407</c:v>
                </c:pt>
                <c:pt idx="2642">
                  <c:v>214.47559338750409</c:v>
                </c:pt>
                <c:pt idx="2643">
                  <c:v>214.58599756752611</c:v>
                </c:pt>
                <c:pt idx="2644">
                  <c:v>214.72492663661021</c:v>
                </c:pt>
                <c:pt idx="2645">
                  <c:v>214.76498208481155</c:v>
                </c:pt>
                <c:pt idx="2646">
                  <c:v>214.76525872592768</c:v>
                </c:pt>
                <c:pt idx="2647">
                  <c:v>214.88245696751551</c:v>
                </c:pt>
                <c:pt idx="2648">
                  <c:v>214.89684025682868</c:v>
                </c:pt>
                <c:pt idx="2649">
                  <c:v>214.955850144012</c:v>
                </c:pt>
                <c:pt idx="2650">
                  <c:v>214.97411257893606</c:v>
                </c:pt>
                <c:pt idx="2651">
                  <c:v>215.05078022417882</c:v>
                </c:pt>
                <c:pt idx="2652">
                  <c:v>215.07171764863878</c:v>
                </c:pt>
                <c:pt idx="2653">
                  <c:v>215.08975298207889</c:v>
                </c:pt>
                <c:pt idx="2654">
                  <c:v>215.17973202143466</c:v>
                </c:pt>
                <c:pt idx="2655">
                  <c:v>215.20176825569365</c:v>
                </c:pt>
                <c:pt idx="2656">
                  <c:v>215.23007063481614</c:v>
                </c:pt>
                <c:pt idx="2657">
                  <c:v>215.32672037660436</c:v>
                </c:pt>
                <c:pt idx="2658">
                  <c:v>215.38955426412207</c:v>
                </c:pt>
                <c:pt idx="2659">
                  <c:v>215.46540556534421</c:v>
                </c:pt>
                <c:pt idx="2660">
                  <c:v>215.49392884805792</c:v>
                </c:pt>
                <c:pt idx="2661">
                  <c:v>215.64877418711765</c:v>
                </c:pt>
                <c:pt idx="2662">
                  <c:v>215.69465415480079</c:v>
                </c:pt>
                <c:pt idx="2663">
                  <c:v>215.7286261487634</c:v>
                </c:pt>
                <c:pt idx="2664">
                  <c:v>215.7369593278774</c:v>
                </c:pt>
                <c:pt idx="2665">
                  <c:v>215.75680323479546</c:v>
                </c:pt>
                <c:pt idx="2666">
                  <c:v>215.78549757052198</c:v>
                </c:pt>
                <c:pt idx="2667">
                  <c:v>215.91532189126795</c:v>
                </c:pt>
                <c:pt idx="2668">
                  <c:v>216.04822310861587</c:v>
                </c:pt>
                <c:pt idx="2669">
                  <c:v>216.06574146615421</c:v>
                </c:pt>
                <c:pt idx="2670">
                  <c:v>216.11486150701552</c:v>
                </c:pt>
                <c:pt idx="2671">
                  <c:v>216.11865364621028</c:v>
                </c:pt>
                <c:pt idx="2672">
                  <c:v>216.14764626069692</c:v>
                </c:pt>
                <c:pt idx="2673">
                  <c:v>216.18908048021592</c:v>
                </c:pt>
                <c:pt idx="2674">
                  <c:v>216.20127472115095</c:v>
                </c:pt>
                <c:pt idx="2675">
                  <c:v>216.21101425083265</c:v>
                </c:pt>
                <c:pt idx="2676">
                  <c:v>216.33121598828797</c:v>
                </c:pt>
                <c:pt idx="2677">
                  <c:v>216.35987239598489</c:v>
                </c:pt>
                <c:pt idx="2678">
                  <c:v>216.40078885662129</c:v>
                </c:pt>
                <c:pt idx="2679">
                  <c:v>216.40374024300411</c:v>
                </c:pt>
                <c:pt idx="2680">
                  <c:v>216.46296672789424</c:v>
                </c:pt>
                <c:pt idx="2681">
                  <c:v>216.48535640735724</c:v>
                </c:pt>
                <c:pt idx="2682">
                  <c:v>216.51167259519923</c:v>
                </c:pt>
                <c:pt idx="2683">
                  <c:v>216.58593072926959</c:v>
                </c:pt>
                <c:pt idx="2684">
                  <c:v>216.60115317912181</c:v>
                </c:pt>
                <c:pt idx="2685">
                  <c:v>216.70357731639035</c:v>
                </c:pt>
                <c:pt idx="2686">
                  <c:v>216.70644036065096</c:v>
                </c:pt>
                <c:pt idx="2687">
                  <c:v>216.71392273064666</c:v>
                </c:pt>
                <c:pt idx="2688">
                  <c:v>216.72935209751114</c:v>
                </c:pt>
                <c:pt idx="2689">
                  <c:v>216.74269208026416</c:v>
                </c:pt>
                <c:pt idx="2690">
                  <c:v>216.74485022634821</c:v>
                </c:pt>
                <c:pt idx="2691">
                  <c:v>216.80395094636373</c:v>
                </c:pt>
                <c:pt idx="2692">
                  <c:v>216.91900664495424</c:v>
                </c:pt>
                <c:pt idx="2693">
                  <c:v>217.01311637311218</c:v>
                </c:pt>
                <c:pt idx="2694">
                  <c:v>217.03151604522418</c:v>
                </c:pt>
                <c:pt idx="2695">
                  <c:v>217.0677672798318</c:v>
                </c:pt>
                <c:pt idx="2696">
                  <c:v>217.08862711941552</c:v>
                </c:pt>
                <c:pt idx="2697">
                  <c:v>217.11858852090222</c:v>
                </c:pt>
                <c:pt idx="2698">
                  <c:v>217.2004279090846</c:v>
                </c:pt>
                <c:pt idx="2699">
                  <c:v>217.32566523432652</c:v>
                </c:pt>
                <c:pt idx="2700">
                  <c:v>217.39679297759801</c:v>
                </c:pt>
                <c:pt idx="2701">
                  <c:v>217.43632924452663</c:v>
                </c:pt>
                <c:pt idx="2702">
                  <c:v>217.48192013619752</c:v>
                </c:pt>
                <c:pt idx="2703">
                  <c:v>217.53676200044583</c:v>
                </c:pt>
                <c:pt idx="2704">
                  <c:v>217.60714143876325</c:v>
                </c:pt>
                <c:pt idx="2705">
                  <c:v>217.63733420547621</c:v>
                </c:pt>
                <c:pt idx="2706">
                  <c:v>217.65393446727239</c:v>
                </c:pt>
                <c:pt idx="2707">
                  <c:v>217.69655406315732</c:v>
                </c:pt>
                <c:pt idx="2708">
                  <c:v>217.74744286349397</c:v>
                </c:pt>
                <c:pt idx="2709">
                  <c:v>217.77129994582924</c:v>
                </c:pt>
                <c:pt idx="2710">
                  <c:v>217.80501328899877</c:v>
                </c:pt>
                <c:pt idx="2711">
                  <c:v>217.84219485558728</c:v>
                </c:pt>
                <c:pt idx="2712">
                  <c:v>217.8590810708661</c:v>
                </c:pt>
                <c:pt idx="2713">
                  <c:v>217.89164526798672</c:v>
                </c:pt>
                <c:pt idx="2714">
                  <c:v>217.89537845061469</c:v>
                </c:pt>
                <c:pt idx="2715">
                  <c:v>217.93067867772464</c:v>
                </c:pt>
                <c:pt idx="2716">
                  <c:v>217.93815703976708</c:v>
                </c:pt>
                <c:pt idx="2717">
                  <c:v>217.9754788638071</c:v>
                </c:pt>
                <c:pt idx="2718">
                  <c:v>218.01388439475392</c:v>
                </c:pt>
                <c:pt idx="2719">
                  <c:v>218.10429974255479</c:v>
                </c:pt>
                <c:pt idx="2720">
                  <c:v>218.19671466856553</c:v>
                </c:pt>
                <c:pt idx="2721">
                  <c:v>218.24990641444364</c:v>
                </c:pt>
                <c:pt idx="2722">
                  <c:v>218.27503245519046</c:v>
                </c:pt>
                <c:pt idx="2723">
                  <c:v>218.27538075688975</c:v>
                </c:pt>
                <c:pt idx="2724">
                  <c:v>218.31596806782403</c:v>
                </c:pt>
                <c:pt idx="2725">
                  <c:v>218.35388553914606</c:v>
                </c:pt>
                <c:pt idx="2726">
                  <c:v>218.40656759712263</c:v>
                </c:pt>
                <c:pt idx="2727">
                  <c:v>218.50526993995348</c:v>
                </c:pt>
                <c:pt idx="2728">
                  <c:v>218.60435031326884</c:v>
                </c:pt>
                <c:pt idx="2729">
                  <c:v>218.64082202037045</c:v>
                </c:pt>
                <c:pt idx="2730">
                  <c:v>218.65714446017091</c:v>
                </c:pt>
                <c:pt idx="2731">
                  <c:v>218.69176355937108</c:v>
                </c:pt>
                <c:pt idx="2732">
                  <c:v>218.74167688833683</c:v>
                </c:pt>
                <c:pt idx="2733">
                  <c:v>218.82473038832197</c:v>
                </c:pt>
                <c:pt idx="2734">
                  <c:v>218.84700580077651</c:v>
                </c:pt>
                <c:pt idx="2735">
                  <c:v>218.89612458581968</c:v>
                </c:pt>
                <c:pt idx="2736">
                  <c:v>218.93446020009122</c:v>
                </c:pt>
                <c:pt idx="2737">
                  <c:v>218.95990569364631</c:v>
                </c:pt>
                <c:pt idx="2738">
                  <c:v>218.96632199243348</c:v>
                </c:pt>
                <c:pt idx="2739">
                  <c:v>219.05609271675195</c:v>
                </c:pt>
                <c:pt idx="2740">
                  <c:v>219.13269510709881</c:v>
                </c:pt>
                <c:pt idx="2741">
                  <c:v>219.3371132467131</c:v>
                </c:pt>
                <c:pt idx="2742">
                  <c:v>219.34826149704142</c:v>
                </c:pt>
                <c:pt idx="2743">
                  <c:v>219.36156408133121</c:v>
                </c:pt>
                <c:pt idx="2744">
                  <c:v>219.37941387317619</c:v>
                </c:pt>
                <c:pt idx="2745">
                  <c:v>219.391388045246</c:v>
                </c:pt>
                <c:pt idx="2746">
                  <c:v>219.5398587449063</c:v>
                </c:pt>
                <c:pt idx="2747">
                  <c:v>219.55445982338762</c:v>
                </c:pt>
                <c:pt idx="2748">
                  <c:v>219.56003796834892</c:v>
                </c:pt>
                <c:pt idx="2749">
                  <c:v>219.5757800830296</c:v>
                </c:pt>
                <c:pt idx="2750">
                  <c:v>219.66084761530016</c:v>
                </c:pt>
                <c:pt idx="2751">
                  <c:v>219.66485783441965</c:v>
                </c:pt>
                <c:pt idx="2752">
                  <c:v>219.68667018502944</c:v>
                </c:pt>
                <c:pt idx="2753">
                  <c:v>219.72952032414099</c:v>
                </c:pt>
                <c:pt idx="2754">
                  <c:v>219.80650189464586</c:v>
                </c:pt>
                <c:pt idx="2755">
                  <c:v>219.85258689035757</c:v>
                </c:pt>
                <c:pt idx="2756">
                  <c:v>219.86141951708217</c:v>
                </c:pt>
                <c:pt idx="2757">
                  <c:v>219.95178232959648</c:v>
                </c:pt>
                <c:pt idx="2758">
                  <c:v>219.97827146483493</c:v>
                </c:pt>
                <c:pt idx="2759">
                  <c:v>220.02619951802723</c:v>
                </c:pt>
                <c:pt idx="2760">
                  <c:v>220.05919621051805</c:v>
                </c:pt>
                <c:pt idx="2761">
                  <c:v>220.07627931671263</c:v>
                </c:pt>
                <c:pt idx="2762">
                  <c:v>220.12849119171747</c:v>
                </c:pt>
                <c:pt idx="2763">
                  <c:v>220.22000998734899</c:v>
                </c:pt>
                <c:pt idx="2764">
                  <c:v>220.22796263631608</c:v>
                </c:pt>
                <c:pt idx="2765">
                  <c:v>220.37262276872792</c:v>
                </c:pt>
                <c:pt idx="2766">
                  <c:v>220.42913395113655</c:v>
                </c:pt>
                <c:pt idx="2767">
                  <c:v>220.46717553804731</c:v>
                </c:pt>
                <c:pt idx="2768">
                  <c:v>220.48183988400643</c:v>
                </c:pt>
                <c:pt idx="2769">
                  <c:v>220.4980241242788</c:v>
                </c:pt>
                <c:pt idx="2770">
                  <c:v>220.58925601683353</c:v>
                </c:pt>
                <c:pt idx="2771">
                  <c:v>220.66029900630531</c:v>
                </c:pt>
                <c:pt idx="2772">
                  <c:v>220.66131014528935</c:v>
                </c:pt>
                <c:pt idx="2773">
                  <c:v>220.69988933949458</c:v>
                </c:pt>
                <c:pt idx="2774">
                  <c:v>220.77717408620805</c:v>
                </c:pt>
                <c:pt idx="2775">
                  <c:v>220.79720025407801</c:v>
                </c:pt>
                <c:pt idx="2776">
                  <c:v>220.8297536717846</c:v>
                </c:pt>
                <c:pt idx="2777">
                  <c:v>220.88998441776374</c:v>
                </c:pt>
                <c:pt idx="2778">
                  <c:v>220.8954959880671</c:v>
                </c:pt>
                <c:pt idx="2779">
                  <c:v>220.91683917921205</c:v>
                </c:pt>
                <c:pt idx="2780">
                  <c:v>220.9172922598091</c:v>
                </c:pt>
                <c:pt idx="2781">
                  <c:v>220.97306956549852</c:v>
                </c:pt>
                <c:pt idx="2782">
                  <c:v>220.98962264521583</c:v>
                </c:pt>
                <c:pt idx="2783">
                  <c:v>220.99267025168939</c:v>
                </c:pt>
                <c:pt idx="2784">
                  <c:v>221.06131790343676</c:v>
                </c:pt>
                <c:pt idx="2785">
                  <c:v>221.11026051888652</c:v>
                </c:pt>
                <c:pt idx="2786">
                  <c:v>221.13960706705731</c:v>
                </c:pt>
                <c:pt idx="2787">
                  <c:v>221.25331643926179</c:v>
                </c:pt>
                <c:pt idx="2788">
                  <c:v>221.40224929318362</c:v>
                </c:pt>
                <c:pt idx="2789">
                  <c:v>221.43022849094024</c:v>
                </c:pt>
                <c:pt idx="2790">
                  <c:v>221.49406465555069</c:v>
                </c:pt>
                <c:pt idx="2791">
                  <c:v>221.57838296501109</c:v>
                </c:pt>
                <c:pt idx="2792">
                  <c:v>221.64237602378316</c:v>
                </c:pt>
                <c:pt idx="2793">
                  <c:v>221.65498312747027</c:v>
                </c:pt>
                <c:pt idx="2794">
                  <c:v>221.67223971457014</c:v>
                </c:pt>
                <c:pt idx="2795">
                  <c:v>221.68981946654233</c:v>
                </c:pt>
                <c:pt idx="2796">
                  <c:v>221.71211193839878</c:v>
                </c:pt>
                <c:pt idx="2797">
                  <c:v>221.71686659188583</c:v>
                </c:pt>
                <c:pt idx="2798">
                  <c:v>221.73345296668694</c:v>
                </c:pt>
                <c:pt idx="2799">
                  <c:v>221.77936223939031</c:v>
                </c:pt>
                <c:pt idx="2800">
                  <c:v>221.79862723512161</c:v>
                </c:pt>
                <c:pt idx="2801">
                  <c:v>221.89872222822348</c:v>
                </c:pt>
                <c:pt idx="2802">
                  <c:v>221.9667414431151</c:v>
                </c:pt>
                <c:pt idx="2803">
                  <c:v>221.97712262261808</c:v>
                </c:pt>
                <c:pt idx="2804">
                  <c:v>221.98824891306867</c:v>
                </c:pt>
                <c:pt idx="2805">
                  <c:v>222.02803289413822</c:v>
                </c:pt>
                <c:pt idx="2806">
                  <c:v>222.04773022120571</c:v>
                </c:pt>
                <c:pt idx="2807">
                  <c:v>222.07795504916078</c:v>
                </c:pt>
                <c:pt idx="2808">
                  <c:v>222.11595460897786</c:v>
                </c:pt>
                <c:pt idx="2809">
                  <c:v>222.12589874768855</c:v>
                </c:pt>
                <c:pt idx="2810">
                  <c:v>222.1371831417583</c:v>
                </c:pt>
                <c:pt idx="2811">
                  <c:v>222.13945911528947</c:v>
                </c:pt>
                <c:pt idx="2812">
                  <c:v>222.1426350882887</c:v>
                </c:pt>
                <c:pt idx="2813">
                  <c:v>222.15566905155373</c:v>
                </c:pt>
                <c:pt idx="2814">
                  <c:v>222.17160662149536</c:v>
                </c:pt>
                <c:pt idx="2815">
                  <c:v>222.28224871094162</c:v>
                </c:pt>
                <c:pt idx="2816">
                  <c:v>222.2853804824282</c:v>
                </c:pt>
                <c:pt idx="2817">
                  <c:v>222.39263774057747</c:v>
                </c:pt>
                <c:pt idx="2818">
                  <c:v>222.52980535212208</c:v>
                </c:pt>
                <c:pt idx="2819">
                  <c:v>222.89263339783804</c:v>
                </c:pt>
                <c:pt idx="2820">
                  <c:v>222.92781447371755</c:v>
                </c:pt>
                <c:pt idx="2821">
                  <c:v>222.93801622521178</c:v>
                </c:pt>
                <c:pt idx="2822">
                  <c:v>222.98111202672879</c:v>
                </c:pt>
                <c:pt idx="2823">
                  <c:v>223.01751312025178</c:v>
                </c:pt>
                <c:pt idx="2824">
                  <c:v>223.08774445988857</c:v>
                </c:pt>
                <c:pt idx="2825">
                  <c:v>223.24947571014897</c:v>
                </c:pt>
                <c:pt idx="2826">
                  <c:v>223.29315735210642</c:v>
                </c:pt>
                <c:pt idx="2827">
                  <c:v>223.30923915587155</c:v>
                </c:pt>
                <c:pt idx="2828">
                  <c:v>223.31099404617066</c:v>
                </c:pt>
                <c:pt idx="2829">
                  <c:v>223.38053527646645</c:v>
                </c:pt>
                <c:pt idx="2830">
                  <c:v>223.38742865963789</c:v>
                </c:pt>
                <c:pt idx="2831">
                  <c:v>223.40836209911387</c:v>
                </c:pt>
                <c:pt idx="2832">
                  <c:v>223.40897946180789</c:v>
                </c:pt>
                <c:pt idx="2833">
                  <c:v>223.46463362268759</c:v>
                </c:pt>
                <c:pt idx="2834">
                  <c:v>223.47799658424506</c:v>
                </c:pt>
                <c:pt idx="2835">
                  <c:v>223.49642174153647</c:v>
                </c:pt>
                <c:pt idx="2836">
                  <c:v>223.53073402920813</c:v>
                </c:pt>
                <c:pt idx="2837">
                  <c:v>223.5557805788597</c:v>
                </c:pt>
                <c:pt idx="2838">
                  <c:v>223.55841019844397</c:v>
                </c:pt>
                <c:pt idx="2839">
                  <c:v>223.55908272173744</c:v>
                </c:pt>
                <c:pt idx="2840">
                  <c:v>223.58023776144387</c:v>
                </c:pt>
                <c:pt idx="2841">
                  <c:v>223.63964361076569</c:v>
                </c:pt>
                <c:pt idx="2842">
                  <c:v>223.67273125647486</c:v>
                </c:pt>
                <c:pt idx="2843">
                  <c:v>223.67628302207797</c:v>
                </c:pt>
                <c:pt idx="2844">
                  <c:v>223.74011622289137</c:v>
                </c:pt>
                <c:pt idx="2845">
                  <c:v>223.76992535538301</c:v>
                </c:pt>
                <c:pt idx="2846">
                  <c:v>223.78291192739599</c:v>
                </c:pt>
                <c:pt idx="2847">
                  <c:v>223.78444421105621</c:v>
                </c:pt>
                <c:pt idx="2848">
                  <c:v>223.8426871510635</c:v>
                </c:pt>
                <c:pt idx="2849">
                  <c:v>223.86699309968316</c:v>
                </c:pt>
                <c:pt idx="2850">
                  <c:v>223.97908538369916</c:v>
                </c:pt>
                <c:pt idx="2851">
                  <c:v>224.02093025826912</c:v>
                </c:pt>
                <c:pt idx="2852">
                  <c:v>224.0260771472542</c:v>
                </c:pt>
                <c:pt idx="2853">
                  <c:v>224.08857690157393</c:v>
                </c:pt>
                <c:pt idx="2854">
                  <c:v>224.13595225771058</c:v>
                </c:pt>
                <c:pt idx="2855">
                  <c:v>224.17567498094502</c:v>
                </c:pt>
                <c:pt idx="2856">
                  <c:v>224.18001838216708</c:v>
                </c:pt>
                <c:pt idx="2857">
                  <c:v>224.18574570770522</c:v>
                </c:pt>
                <c:pt idx="2858">
                  <c:v>224.2422898972149</c:v>
                </c:pt>
                <c:pt idx="2859">
                  <c:v>224.26661430548569</c:v>
                </c:pt>
                <c:pt idx="2860">
                  <c:v>224.29517267416838</c:v>
                </c:pt>
                <c:pt idx="2861">
                  <c:v>224.39560812757475</c:v>
                </c:pt>
                <c:pt idx="2862">
                  <c:v>224.55756411070826</c:v>
                </c:pt>
                <c:pt idx="2863">
                  <c:v>224.62687770402016</c:v>
                </c:pt>
                <c:pt idx="2864">
                  <c:v>224.65763210167802</c:v>
                </c:pt>
                <c:pt idx="2865">
                  <c:v>224.82574830666164</c:v>
                </c:pt>
                <c:pt idx="2866">
                  <c:v>224.85156086845035</c:v>
                </c:pt>
                <c:pt idx="2867">
                  <c:v>224.92485797685578</c:v>
                </c:pt>
                <c:pt idx="2868">
                  <c:v>224.98347997912589</c:v>
                </c:pt>
                <c:pt idx="2869">
                  <c:v>225.04725566936983</c:v>
                </c:pt>
                <c:pt idx="2870">
                  <c:v>225.13417793332067</c:v>
                </c:pt>
                <c:pt idx="2871">
                  <c:v>225.14600384530115</c:v>
                </c:pt>
                <c:pt idx="2872">
                  <c:v>225.15548409784591</c:v>
                </c:pt>
                <c:pt idx="2873">
                  <c:v>225.15783854780264</c:v>
                </c:pt>
                <c:pt idx="2874">
                  <c:v>225.21637658837213</c:v>
                </c:pt>
                <c:pt idx="2875">
                  <c:v>225.24286537214428</c:v>
                </c:pt>
                <c:pt idx="2876">
                  <c:v>225.32640864719298</c:v>
                </c:pt>
                <c:pt idx="2877">
                  <c:v>225.33189738777531</c:v>
                </c:pt>
                <c:pt idx="2878">
                  <c:v>225.33531745183626</c:v>
                </c:pt>
                <c:pt idx="2879">
                  <c:v>225.36659822365243</c:v>
                </c:pt>
                <c:pt idx="2880">
                  <c:v>225.39724041038633</c:v>
                </c:pt>
                <c:pt idx="2881">
                  <c:v>225.47865816012239</c:v>
                </c:pt>
                <c:pt idx="2882">
                  <c:v>225.48342114950484</c:v>
                </c:pt>
                <c:pt idx="2883">
                  <c:v>225.50210827072848</c:v>
                </c:pt>
                <c:pt idx="2884">
                  <c:v>225.52430357666339</c:v>
                </c:pt>
                <c:pt idx="2885">
                  <c:v>225.5714775517194</c:v>
                </c:pt>
                <c:pt idx="2886">
                  <c:v>225.59860861129664</c:v>
                </c:pt>
                <c:pt idx="2887">
                  <c:v>225.68502355811708</c:v>
                </c:pt>
                <c:pt idx="2888">
                  <c:v>225.74774856396328</c:v>
                </c:pt>
                <c:pt idx="2889">
                  <c:v>225.77258037951117</c:v>
                </c:pt>
                <c:pt idx="2890">
                  <c:v>225.85903709856422</c:v>
                </c:pt>
                <c:pt idx="2891">
                  <c:v>225.86864814570708</c:v>
                </c:pt>
                <c:pt idx="2892">
                  <c:v>225.89017428037226</c:v>
                </c:pt>
                <c:pt idx="2893">
                  <c:v>225.94247859166794</c:v>
                </c:pt>
                <c:pt idx="2894">
                  <c:v>225.97909847644939</c:v>
                </c:pt>
                <c:pt idx="2895">
                  <c:v>226.1350591727502</c:v>
                </c:pt>
                <c:pt idx="2896">
                  <c:v>226.22551380785197</c:v>
                </c:pt>
                <c:pt idx="2897">
                  <c:v>226.35012103873345</c:v>
                </c:pt>
                <c:pt idx="2898">
                  <c:v>226.35026001851892</c:v>
                </c:pt>
                <c:pt idx="2899">
                  <c:v>226.38283982366826</c:v>
                </c:pt>
                <c:pt idx="2900">
                  <c:v>226.40059424928057</c:v>
                </c:pt>
                <c:pt idx="2901">
                  <c:v>226.52547121924056</c:v>
                </c:pt>
                <c:pt idx="2902">
                  <c:v>226.55336454368685</c:v>
                </c:pt>
                <c:pt idx="2903">
                  <c:v>226.5761844022521</c:v>
                </c:pt>
                <c:pt idx="2904">
                  <c:v>226.66563509908025</c:v>
                </c:pt>
                <c:pt idx="2905">
                  <c:v>226.72588468674826</c:v>
                </c:pt>
                <c:pt idx="2906">
                  <c:v>226.74556851809839</c:v>
                </c:pt>
                <c:pt idx="2907">
                  <c:v>226.81643448643524</c:v>
                </c:pt>
                <c:pt idx="2908">
                  <c:v>226.83163649789566</c:v>
                </c:pt>
                <c:pt idx="2909">
                  <c:v>226.85258597841909</c:v>
                </c:pt>
                <c:pt idx="2910">
                  <c:v>226.86436866975544</c:v>
                </c:pt>
                <c:pt idx="2911">
                  <c:v>226.86621114324214</c:v>
                </c:pt>
                <c:pt idx="2912">
                  <c:v>226.87712726096612</c:v>
                </c:pt>
                <c:pt idx="2913">
                  <c:v>226.97873400131652</c:v>
                </c:pt>
                <c:pt idx="2914">
                  <c:v>227.11072281491241</c:v>
                </c:pt>
                <c:pt idx="2915">
                  <c:v>227.18903020301869</c:v>
                </c:pt>
                <c:pt idx="2916">
                  <c:v>227.26322534904617</c:v>
                </c:pt>
                <c:pt idx="2917">
                  <c:v>227.32258058831445</c:v>
                </c:pt>
                <c:pt idx="2918">
                  <c:v>227.35424887234666</c:v>
                </c:pt>
                <c:pt idx="2919">
                  <c:v>227.36454031526355</c:v>
                </c:pt>
                <c:pt idx="2920">
                  <c:v>227.45874487805258</c:v>
                </c:pt>
                <c:pt idx="2921">
                  <c:v>227.50106427446559</c:v>
                </c:pt>
                <c:pt idx="2922">
                  <c:v>227.51585982272286</c:v>
                </c:pt>
                <c:pt idx="2923">
                  <c:v>227.53690057933699</c:v>
                </c:pt>
                <c:pt idx="2924">
                  <c:v>227.55047767382348</c:v>
                </c:pt>
                <c:pt idx="2925">
                  <c:v>227.56926096944503</c:v>
                </c:pt>
                <c:pt idx="2926">
                  <c:v>227.64206665603569</c:v>
                </c:pt>
                <c:pt idx="2927">
                  <c:v>227.68417053030498</c:v>
                </c:pt>
                <c:pt idx="2928">
                  <c:v>227.72348132417699</c:v>
                </c:pt>
                <c:pt idx="2929">
                  <c:v>227.72617001979393</c:v>
                </c:pt>
                <c:pt idx="2930">
                  <c:v>227.73318496536496</c:v>
                </c:pt>
                <c:pt idx="2931">
                  <c:v>227.74743266466561</c:v>
                </c:pt>
                <c:pt idx="2932">
                  <c:v>227.760168932684</c:v>
                </c:pt>
                <c:pt idx="2933">
                  <c:v>227.86002596820339</c:v>
                </c:pt>
                <c:pt idx="2934">
                  <c:v>227.86026601193703</c:v>
                </c:pt>
                <c:pt idx="2935">
                  <c:v>227.86398174070652</c:v>
                </c:pt>
                <c:pt idx="2936">
                  <c:v>228.09634870370101</c:v>
                </c:pt>
                <c:pt idx="2937">
                  <c:v>228.10025681782597</c:v>
                </c:pt>
                <c:pt idx="2938">
                  <c:v>228.15859874947273</c:v>
                </c:pt>
                <c:pt idx="2939">
                  <c:v>228.21377218782467</c:v>
                </c:pt>
                <c:pt idx="2940">
                  <c:v>228.26523981570259</c:v>
                </c:pt>
                <c:pt idx="2941">
                  <c:v>228.29281998163583</c:v>
                </c:pt>
                <c:pt idx="2942">
                  <c:v>228.35310964665317</c:v>
                </c:pt>
                <c:pt idx="2943">
                  <c:v>228.37350975581813</c:v>
                </c:pt>
                <c:pt idx="2944">
                  <c:v>228.38454949624372</c:v>
                </c:pt>
                <c:pt idx="2945">
                  <c:v>228.38733660864204</c:v>
                </c:pt>
                <c:pt idx="2946">
                  <c:v>228.49354401299428</c:v>
                </c:pt>
                <c:pt idx="2947">
                  <c:v>228.53259066754009</c:v>
                </c:pt>
                <c:pt idx="2948">
                  <c:v>228.56037585545567</c:v>
                </c:pt>
                <c:pt idx="2949">
                  <c:v>228.57310049780219</c:v>
                </c:pt>
                <c:pt idx="2950">
                  <c:v>228.59247679156047</c:v>
                </c:pt>
                <c:pt idx="2951">
                  <c:v>228.62596570015091</c:v>
                </c:pt>
                <c:pt idx="2952">
                  <c:v>228.64117565425852</c:v>
                </c:pt>
                <c:pt idx="2953">
                  <c:v>228.67091701312796</c:v>
                </c:pt>
                <c:pt idx="2954">
                  <c:v>228.71595464597578</c:v>
                </c:pt>
                <c:pt idx="2955">
                  <c:v>228.71699270143418</c:v>
                </c:pt>
                <c:pt idx="2956">
                  <c:v>228.75609535577766</c:v>
                </c:pt>
                <c:pt idx="2957">
                  <c:v>228.79833175275303</c:v>
                </c:pt>
                <c:pt idx="2958">
                  <c:v>228.81235555739752</c:v>
                </c:pt>
                <c:pt idx="2959">
                  <c:v>228.81238907014142</c:v>
                </c:pt>
                <c:pt idx="2960">
                  <c:v>228.86010547983642</c:v>
                </c:pt>
                <c:pt idx="2961">
                  <c:v>228.89015665784379</c:v>
                </c:pt>
                <c:pt idx="2962">
                  <c:v>228.92844770486596</c:v>
                </c:pt>
                <c:pt idx="2963">
                  <c:v>228.97800949954433</c:v>
                </c:pt>
                <c:pt idx="2964">
                  <c:v>229.00620356190115</c:v>
                </c:pt>
                <c:pt idx="2965">
                  <c:v>229.10488649506647</c:v>
                </c:pt>
                <c:pt idx="2966">
                  <c:v>229.18023785837585</c:v>
                </c:pt>
                <c:pt idx="2967">
                  <c:v>229.27629811704122</c:v>
                </c:pt>
                <c:pt idx="2968">
                  <c:v>229.28833008454137</c:v>
                </c:pt>
                <c:pt idx="2969">
                  <c:v>229.29739212005052</c:v>
                </c:pt>
                <c:pt idx="2970">
                  <c:v>229.32943441278437</c:v>
                </c:pt>
                <c:pt idx="2971">
                  <c:v>229.32990852176761</c:v>
                </c:pt>
                <c:pt idx="2972">
                  <c:v>229.39040666467164</c:v>
                </c:pt>
                <c:pt idx="2973">
                  <c:v>229.39096733307034</c:v>
                </c:pt>
                <c:pt idx="2974">
                  <c:v>229.39708167544683</c:v>
                </c:pt>
                <c:pt idx="2975">
                  <c:v>229.4084099639982</c:v>
                </c:pt>
                <c:pt idx="2976">
                  <c:v>229.51250177819773</c:v>
                </c:pt>
                <c:pt idx="2977">
                  <c:v>229.55909362762316</c:v>
                </c:pt>
                <c:pt idx="2978">
                  <c:v>229.5656604040916</c:v>
                </c:pt>
                <c:pt idx="2979">
                  <c:v>229.6773983095367</c:v>
                </c:pt>
                <c:pt idx="2980">
                  <c:v>229.67949301226864</c:v>
                </c:pt>
                <c:pt idx="2981">
                  <c:v>229.75416476676435</c:v>
                </c:pt>
                <c:pt idx="2982">
                  <c:v>229.76172265094257</c:v>
                </c:pt>
                <c:pt idx="2983">
                  <c:v>229.78560084439781</c:v>
                </c:pt>
                <c:pt idx="2984">
                  <c:v>229.80982426480563</c:v>
                </c:pt>
                <c:pt idx="2985">
                  <c:v>229.86752034319545</c:v>
                </c:pt>
                <c:pt idx="2986">
                  <c:v>229.90179311835249</c:v>
                </c:pt>
                <c:pt idx="2987">
                  <c:v>229.91310193104945</c:v>
                </c:pt>
                <c:pt idx="2988">
                  <c:v>229.93163886113581</c:v>
                </c:pt>
                <c:pt idx="2989">
                  <c:v>230.00398003564266</c:v>
                </c:pt>
                <c:pt idx="2990">
                  <c:v>230.04505704151836</c:v>
                </c:pt>
                <c:pt idx="2991">
                  <c:v>230.09624452030923</c:v>
                </c:pt>
                <c:pt idx="2992">
                  <c:v>230.24067858355164</c:v>
                </c:pt>
                <c:pt idx="2993">
                  <c:v>230.25108845100218</c:v>
                </c:pt>
                <c:pt idx="2994">
                  <c:v>230.25617480289765</c:v>
                </c:pt>
                <c:pt idx="2995">
                  <c:v>230.28016412544912</c:v>
                </c:pt>
                <c:pt idx="2996">
                  <c:v>230.30093704768254</c:v>
                </c:pt>
                <c:pt idx="2997">
                  <c:v>230.32710533702556</c:v>
                </c:pt>
                <c:pt idx="2998">
                  <c:v>230.34183528030402</c:v>
                </c:pt>
                <c:pt idx="2999">
                  <c:v>230.48490420238406</c:v>
                </c:pt>
                <c:pt idx="3000">
                  <c:v>230.50912776541136</c:v>
                </c:pt>
                <c:pt idx="3001">
                  <c:v>230.55572134189231</c:v>
                </c:pt>
                <c:pt idx="3002">
                  <c:v>230.61909423401102</c:v>
                </c:pt>
                <c:pt idx="3003">
                  <c:v>230.67016706832788</c:v>
                </c:pt>
                <c:pt idx="3004">
                  <c:v>230.72777490394043</c:v>
                </c:pt>
                <c:pt idx="3005">
                  <c:v>230.73065705211536</c:v>
                </c:pt>
                <c:pt idx="3006">
                  <c:v>230.7382417303117</c:v>
                </c:pt>
                <c:pt idx="3007">
                  <c:v>230.7519284900394</c:v>
                </c:pt>
                <c:pt idx="3008">
                  <c:v>230.78281884489044</c:v>
                </c:pt>
                <c:pt idx="3009">
                  <c:v>230.79685889729976</c:v>
                </c:pt>
                <c:pt idx="3010">
                  <c:v>230.80695595904689</c:v>
                </c:pt>
                <c:pt idx="3011">
                  <c:v>230.86753078539439</c:v>
                </c:pt>
                <c:pt idx="3012">
                  <c:v>230.90694254839815</c:v>
                </c:pt>
                <c:pt idx="3013">
                  <c:v>230.96787167597913</c:v>
                </c:pt>
                <c:pt idx="3014">
                  <c:v>230.97925711966982</c:v>
                </c:pt>
                <c:pt idx="3015">
                  <c:v>230.99320199218775</c:v>
                </c:pt>
                <c:pt idx="3016">
                  <c:v>231.00623699604017</c:v>
                </c:pt>
                <c:pt idx="3017">
                  <c:v>231.02478998587489</c:v>
                </c:pt>
                <c:pt idx="3018">
                  <c:v>231.05671266811515</c:v>
                </c:pt>
                <c:pt idx="3019">
                  <c:v>231.100015052944</c:v>
                </c:pt>
                <c:pt idx="3020">
                  <c:v>231.11888928648852</c:v>
                </c:pt>
                <c:pt idx="3021">
                  <c:v>231.14971972091763</c:v>
                </c:pt>
                <c:pt idx="3022">
                  <c:v>231.15179766545066</c:v>
                </c:pt>
                <c:pt idx="3023">
                  <c:v>231.22770250398673</c:v>
                </c:pt>
                <c:pt idx="3024">
                  <c:v>231.22843134884184</c:v>
                </c:pt>
                <c:pt idx="3025">
                  <c:v>231.28283055769526</c:v>
                </c:pt>
                <c:pt idx="3026">
                  <c:v>231.29028578647774</c:v>
                </c:pt>
                <c:pt idx="3027">
                  <c:v>231.33172653918857</c:v>
                </c:pt>
                <c:pt idx="3028">
                  <c:v>231.3935558030112</c:v>
                </c:pt>
                <c:pt idx="3029">
                  <c:v>231.43021625880345</c:v>
                </c:pt>
                <c:pt idx="3030">
                  <c:v>231.45719646066937</c:v>
                </c:pt>
                <c:pt idx="3031">
                  <c:v>231.52690059321716</c:v>
                </c:pt>
                <c:pt idx="3032">
                  <c:v>231.58354051246434</c:v>
                </c:pt>
                <c:pt idx="3033">
                  <c:v>231.60728401301878</c:v>
                </c:pt>
                <c:pt idx="3034">
                  <c:v>231.6204422144242</c:v>
                </c:pt>
                <c:pt idx="3035">
                  <c:v>231.64835174468806</c:v>
                </c:pt>
                <c:pt idx="3036">
                  <c:v>231.72344848843468</c:v>
                </c:pt>
                <c:pt idx="3037">
                  <c:v>231.75148936934315</c:v>
                </c:pt>
                <c:pt idx="3038">
                  <c:v>231.76897192683353</c:v>
                </c:pt>
                <c:pt idx="3039">
                  <c:v>231.76957200742584</c:v>
                </c:pt>
                <c:pt idx="3040">
                  <c:v>231.79721910615399</c:v>
                </c:pt>
                <c:pt idx="3041">
                  <c:v>231.86350676007615</c:v>
                </c:pt>
                <c:pt idx="3042">
                  <c:v>231.88233307299632</c:v>
                </c:pt>
                <c:pt idx="3043">
                  <c:v>231.88829491733819</c:v>
                </c:pt>
                <c:pt idx="3044">
                  <c:v>231.94677130902778</c:v>
                </c:pt>
                <c:pt idx="3045">
                  <c:v>232.00621861429062</c:v>
                </c:pt>
                <c:pt idx="3046">
                  <c:v>232.1356020906662</c:v>
                </c:pt>
                <c:pt idx="3047">
                  <c:v>232.15991471988826</c:v>
                </c:pt>
                <c:pt idx="3048">
                  <c:v>232.17384836191661</c:v>
                </c:pt>
                <c:pt idx="3049">
                  <c:v>232.30319780442002</c:v>
                </c:pt>
                <c:pt idx="3050">
                  <c:v>232.32592545841248</c:v>
                </c:pt>
                <c:pt idx="3051">
                  <c:v>232.36080465054926</c:v>
                </c:pt>
                <c:pt idx="3052">
                  <c:v>232.43786231358322</c:v>
                </c:pt>
                <c:pt idx="3053">
                  <c:v>232.49150131011348</c:v>
                </c:pt>
                <c:pt idx="3054">
                  <c:v>232.52566142564652</c:v>
                </c:pt>
                <c:pt idx="3055">
                  <c:v>232.60167818632209</c:v>
                </c:pt>
                <c:pt idx="3056">
                  <c:v>232.70640227025265</c:v>
                </c:pt>
                <c:pt idx="3057">
                  <c:v>232.73666318717696</c:v>
                </c:pt>
                <c:pt idx="3058">
                  <c:v>232.7600805289093</c:v>
                </c:pt>
                <c:pt idx="3059">
                  <c:v>232.86379252743242</c:v>
                </c:pt>
                <c:pt idx="3060">
                  <c:v>232.86762842237428</c:v>
                </c:pt>
                <c:pt idx="3061">
                  <c:v>233.04839921942107</c:v>
                </c:pt>
                <c:pt idx="3062">
                  <c:v>233.08147291761395</c:v>
                </c:pt>
                <c:pt idx="3063">
                  <c:v>233.1176144451978</c:v>
                </c:pt>
                <c:pt idx="3064">
                  <c:v>233.22714984829994</c:v>
                </c:pt>
                <c:pt idx="3065">
                  <c:v>233.24420799789334</c:v>
                </c:pt>
                <c:pt idx="3066">
                  <c:v>233.29573876472867</c:v>
                </c:pt>
                <c:pt idx="3067">
                  <c:v>233.3030036008924</c:v>
                </c:pt>
                <c:pt idx="3068">
                  <c:v>233.30954507653385</c:v>
                </c:pt>
                <c:pt idx="3069">
                  <c:v>233.3336581837718</c:v>
                </c:pt>
                <c:pt idx="3070">
                  <c:v>233.39868085951795</c:v>
                </c:pt>
                <c:pt idx="3071">
                  <c:v>233.40654441632495</c:v>
                </c:pt>
                <c:pt idx="3072">
                  <c:v>233.43844273163043</c:v>
                </c:pt>
                <c:pt idx="3073">
                  <c:v>233.47305655485329</c:v>
                </c:pt>
                <c:pt idx="3074">
                  <c:v>233.4808043385213</c:v>
                </c:pt>
                <c:pt idx="3075">
                  <c:v>233.51070410339898</c:v>
                </c:pt>
                <c:pt idx="3076">
                  <c:v>233.57967330970331</c:v>
                </c:pt>
                <c:pt idx="3077">
                  <c:v>233.64953148971406</c:v>
                </c:pt>
                <c:pt idx="3078">
                  <c:v>233.66923574089486</c:v>
                </c:pt>
                <c:pt idx="3079">
                  <c:v>233.71697710319714</c:v>
                </c:pt>
                <c:pt idx="3080">
                  <c:v>233.78015616350581</c:v>
                </c:pt>
                <c:pt idx="3081">
                  <c:v>233.85093053494273</c:v>
                </c:pt>
                <c:pt idx="3082">
                  <c:v>233.90162029289911</c:v>
                </c:pt>
                <c:pt idx="3083">
                  <c:v>233.96506292099676</c:v>
                </c:pt>
                <c:pt idx="3084">
                  <c:v>233.98128866026039</c:v>
                </c:pt>
                <c:pt idx="3085">
                  <c:v>234.01439004601974</c:v>
                </c:pt>
                <c:pt idx="3086">
                  <c:v>234.03431247199981</c:v>
                </c:pt>
                <c:pt idx="3087">
                  <c:v>234.09059896011962</c:v>
                </c:pt>
                <c:pt idx="3088">
                  <c:v>234.11744806214767</c:v>
                </c:pt>
                <c:pt idx="3089">
                  <c:v>234.17823013309822</c:v>
                </c:pt>
                <c:pt idx="3090">
                  <c:v>234.21984874486145</c:v>
                </c:pt>
                <c:pt idx="3091">
                  <c:v>234.28284163062182</c:v>
                </c:pt>
                <c:pt idx="3092">
                  <c:v>234.36253941022957</c:v>
                </c:pt>
                <c:pt idx="3093">
                  <c:v>234.36465630639614</c:v>
                </c:pt>
                <c:pt idx="3094">
                  <c:v>234.36698733508666</c:v>
                </c:pt>
                <c:pt idx="3095">
                  <c:v>234.38938739813048</c:v>
                </c:pt>
                <c:pt idx="3096">
                  <c:v>234.50304473909426</c:v>
                </c:pt>
                <c:pt idx="3097">
                  <c:v>234.52740441721275</c:v>
                </c:pt>
                <c:pt idx="3098">
                  <c:v>234.56171014544833</c:v>
                </c:pt>
                <c:pt idx="3099">
                  <c:v>234.58772693704395</c:v>
                </c:pt>
                <c:pt idx="3100">
                  <c:v>234.64254831877122</c:v>
                </c:pt>
                <c:pt idx="3101">
                  <c:v>234.66048315282728</c:v>
                </c:pt>
                <c:pt idx="3102">
                  <c:v>234.71324724875518</c:v>
                </c:pt>
                <c:pt idx="3103">
                  <c:v>234.82249536202593</c:v>
                </c:pt>
                <c:pt idx="3104">
                  <c:v>234.82409927885013</c:v>
                </c:pt>
                <c:pt idx="3105">
                  <c:v>234.83278672474211</c:v>
                </c:pt>
                <c:pt idx="3106">
                  <c:v>234.87957136242107</c:v>
                </c:pt>
                <c:pt idx="3107">
                  <c:v>234.92149712568437</c:v>
                </c:pt>
                <c:pt idx="3108">
                  <c:v>234.92276506996492</c:v>
                </c:pt>
                <c:pt idx="3109">
                  <c:v>234.98502802330322</c:v>
                </c:pt>
                <c:pt idx="3110">
                  <c:v>234.99118654772337</c:v>
                </c:pt>
                <c:pt idx="3111">
                  <c:v>235.08203197344008</c:v>
                </c:pt>
                <c:pt idx="3112">
                  <c:v>235.29172281458406</c:v>
                </c:pt>
                <c:pt idx="3113">
                  <c:v>235.35318095188171</c:v>
                </c:pt>
                <c:pt idx="3114">
                  <c:v>235.54777519992621</c:v>
                </c:pt>
                <c:pt idx="3115">
                  <c:v>235.64041541917436</c:v>
                </c:pt>
                <c:pt idx="3116">
                  <c:v>235.72886527500668</c:v>
                </c:pt>
                <c:pt idx="3117">
                  <c:v>235.77031483681893</c:v>
                </c:pt>
                <c:pt idx="3118">
                  <c:v>235.77408509954449</c:v>
                </c:pt>
                <c:pt idx="3119">
                  <c:v>235.80614211480543</c:v>
                </c:pt>
                <c:pt idx="3120">
                  <c:v>235.85242167630315</c:v>
                </c:pt>
                <c:pt idx="3121">
                  <c:v>235.93805144486012</c:v>
                </c:pt>
                <c:pt idx="3122">
                  <c:v>236.04643356945959</c:v>
                </c:pt>
                <c:pt idx="3123">
                  <c:v>236.07388507160564</c:v>
                </c:pt>
                <c:pt idx="3124">
                  <c:v>236.13880930151885</c:v>
                </c:pt>
                <c:pt idx="3125">
                  <c:v>236.17034508817153</c:v>
                </c:pt>
                <c:pt idx="3126">
                  <c:v>236.21410807597047</c:v>
                </c:pt>
                <c:pt idx="3127">
                  <c:v>236.22662978930208</c:v>
                </c:pt>
                <c:pt idx="3128">
                  <c:v>236.32742617096014</c:v>
                </c:pt>
                <c:pt idx="3129">
                  <c:v>236.36460148505117</c:v>
                </c:pt>
                <c:pt idx="3130">
                  <c:v>236.4006626836277</c:v>
                </c:pt>
                <c:pt idx="3131">
                  <c:v>236.48592152579329</c:v>
                </c:pt>
                <c:pt idx="3132">
                  <c:v>236.51306193761965</c:v>
                </c:pt>
                <c:pt idx="3133">
                  <c:v>236.56764732174793</c:v>
                </c:pt>
                <c:pt idx="3134">
                  <c:v>236.58301072347305</c:v>
                </c:pt>
                <c:pt idx="3135">
                  <c:v>236.63304769711263</c:v>
                </c:pt>
                <c:pt idx="3136">
                  <c:v>236.63905863263864</c:v>
                </c:pt>
                <c:pt idx="3137">
                  <c:v>236.65994166683578</c:v>
                </c:pt>
                <c:pt idx="3138">
                  <c:v>236.68227910925395</c:v>
                </c:pt>
                <c:pt idx="3139">
                  <c:v>236.83544068079365</c:v>
                </c:pt>
                <c:pt idx="3140">
                  <c:v>236.85852001651864</c:v>
                </c:pt>
                <c:pt idx="3141">
                  <c:v>236.90544074146538</c:v>
                </c:pt>
                <c:pt idx="3142">
                  <c:v>236.91772167661892</c:v>
                </c:pt>
                <c:pt idx="3143">
                  <c:v>236.97845215243842</c:v>
                </c:pt>
                <c:pt idx="3144">
                  <c:v>236.98895661323886</c:v>
                </c:pt>
                <c:pt idx="3145">
                  <c:v>237.02289528370738</c:v>
                </c:pt>
                <c:pt idx="3146">
                  <c:v>237.03535817847046</c:v>
                </c:pt>
                <c:pt idx="3147">
                  <c:v>237.07365731856567</c:v>
                </c:pt>
                <c:pt idx="3148">
                  <c:v>237.07868074791551</c:v>
                </c:pt>
                <c:pt idx="3149">
                  <c:v>237.10339910017314</c:v>
                </c:pt>
                <c:pt idx="3150">
                  <c:v>237.12151365663837</c:v>
                </c:pt>
                <c:pt idx="3151">
                  <c:v>237.12775566443787</c:v>
                </c:pt>
                <c:pt idx="3152">
                  <c:v>237.12938577491417</c:v>
                </c:pt>
                <c:pt idx="3153">
                  <c:v>237.32469099991192</c:v>
                </c:pt>
                <c:pt idx="3154">
                  <c:v>237.32776313738154</c:v>
                </c:pt>
                <c:pt idx="3155">
                  <c:v>237.35166062138609</c:v>
                </c:pt>
                <c:pt idx="3156">
                  <c:v>237.35663573455037</c:v>
                </c:pt>
                <c:pt idx="3157">
                  <c:v>237.43946979242907</c:v>
                </c:pt>
                <c:pt idx="3158">
                  <c:v>237.44986270666573</c:v>
                </c:pt>
                <c:pt idx="3159">
                  <c:v>237.50940562685955</c:v>
                </c:pt>
                <c:pt idx="3160">
                  <c:v>237.53972251111028</c:v>
                </c:pt>
                <c:pt idx="3161">
                  <c:v>237.55090426043949</c:v>
                </c:pt>
                <c:pt idx="3162">
                  <c:v>237.69345484869879</c:v>
                </c:pt>
                <c:pt idx="3163">
                  <c:v>237.75166153926972</c:v>
                </c:pt>
                <c:pt idx="3164">
                  <c:v>237.85762634522496</c:v>
                </c:pt>
                <c:pt idx="3165">
                  <c:v>237.87442459226003</c:v>
                </c:pt>
                <c:pt idx="3166">
                  <c:v>237.88396269405561</c:v>
                </c:pt>
                <c:pt idx="3167">
                  <c:v>237.895280852887</c:v>
                </c:pt>
                <c:pt idx="3168">
                  <c:v>237.90257671068261</c:v>
                </c:pt>
                <c:pt idx="3169">
                  <c:v>237.98761107777048</c:v>
                </c:pt>
                <c:pt idx="3170">
                  <c:v>238.00694567236985</c:v>
                </c:pt>
                <c:pt idx="3171">
                  <c:v>238.02788228947094</c:v>
                </c:pt>
                <c:pt idx="3172">
                  <c:v>238.06434109610109</c:v>
                </c:pt>
                <c:pt idx="3173">
                  <c:v>238.06953405965413</c:v>
                </c:pt>
                <c:pt idx="3174">
                  <c:v>238.0972429660458</c:v>
                </c:pt>
                <c:pt idx="3175">
                  <c:v>238.12637736086708</c:v>
                </c:pt>
                <c:pt idx="3176">
                  <c:v>238.16191158784508</c:v>
                </c:pt>
                <c:pt idx="3177">
                  <c:v>238.25084971031092</c:v>
                </c:pt>
                <c:pt idx="3178">
                  <c:v>238.31393485810119</c:v>
                </c:pt>
                <c:pt idx="3179">
                  <c:v>238.45472212289934</c:v>
                </c:pt>
                <c:pt idx="3180">
                  <c:v>238.5439539945589</c:v>
                </c:pt>
                <c:pt idx="3181">
                  <c:v>238.67163319793866</c:v>
                </c:pt>
                <c:pt idx="3182">
                  <c:v>238.68117935224558</c:v>
                </c:pt>
                <c:pt idx="3183">
                  <c:v>238.72422883768837</c:v>
                </c:pt>
                <c:pt idx="3184">
                  <c:v>238.78821585091794</c:v>
                </c:pt>
                <c:pt idx="3185">
                  <c:v>238.80199723877811</c:v>
                </c:pt>
                <c:pt idx="3186">
                  <c:v>239.02832967586454</c:v>
                </c:pt>
                <c:pt idx="3187">
                  <c:v>239.04780924089437</c:v>
                </c:pt>
                <c:pt idx="3188">
                  <c:v>239.10630192515791</c:v>
                </c:pt>
                <c:pt idx="3189">
                  <c:v>239.42465812427943</c:v>
                </c:pt>
                <c:pt idx="3190">
                  <c:v>239.44176094363348</c:v>
                </c:pt>
                <c:pt idx="3191">
                  <c:v>239.66647444085757</c:v>
                </c:pt>
                <c:pt idx="3192">
                  <c:v>239.7165755289175</c:v>
                </c:pt>
                <c:pt idx="3193">
                  <c:v>239.81423570151006</c:v>
                </c:pt>
                <c:pt idx="3194">
                  <c:v>239.82306670118837</c:v>
                </c:pt>
                <c:pt idx="3195">
                  <c:v>239.82683448825708</c:v>
                </c:pt>
                <c:pt idx="3196">
                  <c:v>239.93474298406656</c:v>
                </c:pt>
                <c:pt idx="3197">
                  <c:v>239.94245059095164</c:v>
                </c:pt>
                <c:pt idx="3198">
                  <c:v>239.98604588471392</c:v>
                </c:pt>
                <c:pt idx="3199">
                  <c:v>239.99461673185354</c:v>
                </c:pt>
                <c:pt idx="3200">
                  <c:v>240.04107050448792</c:v>
                </c:pt>
                <c:pt idx="3201">
                  <c:v>240.11779921758583</c:v>
                </c:pt>
                <c:pt idx="3202">
                  <c:v>240.13612294354036</c:v>
                </c:pt>
                <c:pt idx="3203">
                  <c:v>240.20945271912413</c:v>
                </c:pt>
                <c:pt idx="3204">
                  <c:v>240.21376665507631</c:v>
                </c:pt>
                <c:pt idx="3205">
                  <c:v>240.51900244502912</c:v>
                </c:pt>
                <c:pt idx="3206">
                  <c:v>240.53320682599718</c:v>
                </c:pt>
                <c:pt idx="3207">
                  <c:v>240.60882481341326</c:v>
                </c:pt>
                <c:pt idx="3208">
                  <c:v>240.66754076197401</c:v>
                </c:pt>
                <c:pt idx="3209">
                  <c:v>240.70102360966422</c:v>
                </c:pt>
                <c:pt idx="3210">
                  <c:v>240.7073584540243</c:v>
                </c:pt>
                <c:pt idx="3211">
                  <c:v>240.76610374062724</c:v>
                </c:pt>
                <c:pt idx="3212">
                  <c:v>240.78587987729881</c:v>
                </c:pt>
                <c:pt idx="3213">
                  <c:v>240.82564568223637</c:v>
                </c:pt>
                <c:pt idx="3214">
                  <c:v>240.85135850882358</c:v>
                </c:pt>
                <c:pt idx="3215">
                  <c:v>240.95610856114914</c:v>
                </c:pt>
                <c:pt idx="3216">
                  <c:v>241.04244507068586</c:v>
                </c:pt>
                <c:pt idx="3217">
                  <c:v>241.04409812880644</c:v>
                </c:pt>
                <c:pt idx="3218">
                  <c:v>241.04756143375161</c:v>
                </c:pt>
                <c:pt idx="3219">
                  <c:v>241.16422303955699</c:v>
                </c:pt>
                <c:pt idx="3220">
                  <c:v>241.23603976241958</c:v>
                </c:pt>
                <c:pt idx="3221">
                  <c:v>241.25904261488895</c:v>
                </c:pt>
                <c:pt idx="3222">
                  <c:v>241.28896642934905</c:v>
                </c:pt>
                <c:pt idx="3223">
                  <c:v>241.30209790680473</c:v>
                </c:pt>
                <c:pt idx="3224">
                  <c:v>241.33592076276815</c:v>
                </c:pt>
                <c:pt idx="3225">
                  <c:v>241.35324426980856</c:v>
                </c:pt>
                <c:pt idx="3226">
                  <c:v>241.43943249661692</c:v>
                </c:pt>
                <c:pt idx="3227">
                  <c:v>241.46774575711376</c:v>
                </c:pt>
                <c:pt idx="3228">
                  <c:v>241.53374343612677</c:v>
                </c:pt>
                <c:pt idx="3229">
                  <c:v>241.59504227276022</c:v>
                </c:pt>
                <c:pt idx="3230">
                  <c:v>241.66499868241942</c:v>
                </c:pt>
                <c:pt idx="3231">
                  <c:v>241.79057521548427</c:v>
                </c:pt>
                <c:pt idx="3232">
                  <c:v>241.83686785958071</c:v>
                </c:pt>
                <c:pt idx="3233">
                  <c:v>241.91894134415841</c:v>
                </c:pt>
                <c:pt idx="3234">
                  <c:v>241.95958009928708</c:v>
                </c:pt>
                <c:pt idx="3235">
                  <c:v>242.26396107949984</c:v>
                </c:pt>
                <c:pt idx="3236">
                  <c:v>242.26426600798908</c:v>
                </c:pt>
                <c:pt idx="3237">
                  <c:v>242.32347614712566</c:v>
                </c:pt>
                <c:pt idx="3238">
                  <c:v>242.32701681036207</c:v>
                </c:pt>
                <c:pt idx="3239">
                  <c:v>242.37969828113137</c:v>
                </c:pt>
                <c:pt idx="3240">
                  <c:v>242.47973988872059</c:v>
                </c:pt>
                <c:pt idx="3241">
                  <c:v>242.53357698265046</c:v>
                </c:pt>
                <c:pt idx="3242">
                  <c:v>242.53614282312606</c:v>
                </c:pt>
                <c:pt idx="3243">
                  <c:v>242.56293619165174</c:v>
                </c:pt>
                <c:pt idx="3244">
                  <c:v>242.60815512266046</c:v>
                </c:pt>
                <c:pt idx="3245">
                  <c:v>242.61049287199478</c:v>
                </c:pt>
                <c:pt idx="3246">
                  <c:v>242.64119542653498</c:v>
                </c:pt>
                <c:pt idx="3247">
                  <c:v>242.67795420557991</c:v>
                </c:pt>
                <c:pt idx="3248">
                  <c:v>242.72448446543561</c:v>
                </c:pt>
                <c:pt idx="3249">
                  <c:v>242.80202756358435</c:v>
                </c:pt>
                <c:pt idx="3250">
                  <c:v>242.81631417779238</c:v>
                </c:pt>
                <c:pt idx="3251">
                  <c:v>242.84415233074878</c:v>
                </c:pt>
                <c:pt idx="3252">
                  <c:v>242.86118427189609</c:v>
                </c:pt>
                <c:pt idx="3253">
                  <c:v>242.93428946666606</c:v>
                </c:pt>
                <c:pt idx="3254">
                  <c:v>242.93998429592119</c:v>
                </c:pt>
                <c:pt idx="3255">
                  <c:v>242.99214973349569</c:v>
                </c:pt>
                <c:pt idx="3256">
                  <c:v>243.04672815311358</c:v>
                </c:pt>
                <c:pt idx="3257">
                  <c:v>243.06834322397981</c:v>
                </c:pt>
                <c:pt idx="3258">
                  <c:v>243.16380634270388</c:v>
                </c:pt>
                <c:pt idx="3259">
                  <c:v>243.16990381070946</c:v>
                </c:pt>
                <c:pt idx="3260">
                  <c:v>243.19209853508886</c:v>
                </c:pt>
                <c:pt idx="3261">
                  <c:v>243.20790976982451</c:v>
                </c:pt>
                <c:pt idx="3262">
                  <c:v>243.2168639340031</c:v>
                </c:pt>
                <c:pt idx="3263">
                  <c:v>243.30516742789467</c:v>
                </c:pt>
                <c:pt idx="3264">
                  <c:v>243.41755016939931</c:v>
                </c:pt>
                <c:pt idx="3265">
                  <c:v>243.48079244353764</c:v>
                </c:pt>
                <c:pt idx="3266">
                  <c:v>243.50662306980462</c:v>
                </c:pt>
                <c:pt idx="3267">
                  <c:v>243.54868581146144</c:v>
                </c:pt>
                <c:pt idx="3268">
                  <c:v>243.60135529335483</c:v>
                </c:pt>
                <c:pt idx="3269">
                  <c:v>243.64816702028472</c:v>
                </c:pt>
                <c:pt idx="3270">
                  <c:v>243.65544886286739</c:v>
                </c:pt>
                <c:pt idx="3271">
                  <c:v>243.87154120636418</c:v>
                </c:pt>
                <c:pt idx="3272">
                  <c:v>243.87299168356731</c:v>
                </c:pt>
                <c:pt idx="3273">
                  <c:v>243.91031778729638</c:v>
                </c:pt>
                <c:pt idx="3274">
                  <c:v>243.9643625302721</c:v>
                </c:pt>
                <c:pt idx="3275">
                  <c:v>243.97194337206108</c:v>
                </c:pt>
                <c:pt idx="3276">
                  <c:v>243.97613347424337</c:v>
                </c:pt>
                <c:pt idx="3277">
                  <c:v>244.0055619595866</c:v>
                </c:pt>
                <c:pt idx="3278">
                  <c:v>244.0832285701442</c:v>
                </c:pt>
                <c:pt idx="3279">
                  <c:v>244.15653062909382</c:v>
                </c:pt>
                <c:pt idx="3280">
                  <c:v>244.16286179119476</c:v>
                </c:pt>
                <c:pt idx="3281">
                  <c:v>244.19752000672753</c:v>
                </c:pt>
                <c:pt idx="3282">
                  <c:v>244.25260837450233</c:v>
                </c:pt>
                <c:pt idx="3283">
                  <c:v>244.26204065904076</c:v>
                </c:pt>
                <c:pt idx="3284">
                  <c:v>244.27460773758946</c:v>
                </c:pt>
                <c:pt idx="3285">
                  <c:v>244.28708236737523</c:v>
                </c:pt>
                <c:pt idx="3286">
                  <c:v>244.29459784690303</c:v>
                </c:pt>
                <c:pt idx="3287">
                  <c:v>244.30072552221023</c:v>
                </c:pt>
                <c:pt idx="3288">
                  <c:v>244.31133605403596</c:v>
                </c:pt>
                <c:pt idx="3289">
                  <c:v>244.35728180535165</c:v>
                </c:pt>
                <c:pt idx="3290">
                  <c:v>244.37659946362308</c:v>
                </c:pt>
                <c:pt idx="3291">
                  <c:v>244.44433363310168</c:v>
                </c:pt>
                <c:pt idx="3292">
                  <c:v>244.49211608536115</c:v>
                </c:pt>
                <c:pt idx="3293">
                  <c:v>244.57468766138732</c:v>
                </c:pt>
                <c:pt idx="3294">
                  <c:v>244.57984113962445</c:v>
                </c:pt>
                <c:pt idx="3295">
                  <c:v>244.6128979523497</c:v>
                </c:pt>
                <c:pt idx="3296">
                  <c:v>244.70551757291335</c:v>
                </c:pt>
                <c:pt idx="3297">
                  <c:v>244.76539979829178</c:v>
                </c:pt>
                <c:pt idx="3298">
                  <c:v>244.77285778616411</c:v>
                </c:pt>
                <c:pt idx="3299">
                  <c:v>244.8405421056392</c:v>
                </c:pt>
                <c:pt idx="3300">
                  <c:v>245.03493410627297</c:v>
                </c:pt>
                <c:pt idx="3301">
                  <c:v>245.08234309897551</c:v>
                </c:pt>
                <c:pt idx="3302">
                  <c:v>245.08275573485059</c:v>
                </c:pt>
                <c:pt idx="3303">
                  <c:v>245.1327088775829</c:v>
                </c:pt>
                <c:pt idx="3304">
                  <c:v>245.14748514777594</c:v>
                </c:pt>
                <c:pt idx="3305">
                  <c:v>245.18483208975749</c:v>
                </c:pt>
                <c:pt idx="3306">
                  <c:v>245.23295405883673</c:v>
                </c:pt>
                <c:pt idx="3307">
                  <c:v>245.44024726372913</c:v>
                </c:pt>
                <c:pt idx="3308">
                  <c:v>245.49674319092006</c:v>
                </c:pt>
                <c:pt idx="3309">
                  <c:v>245.51546281231876</c:v>
                </c:pt>
                <c:pt idx="3310">
                  <c:v>245.58801020750437</c:v>
                </c:pt>
                <c:pt idx="3311">
                  <c:v>245.73838374316657</c:v>
                </c:pt>
                <c:pt idx="3312">
                  <c:v>245.80996725190315</c:v>
                </c:pt>
                <c:pt idx="3313">
                  <c:v>245.93980239509565</c:v>
                </c:pt>
                <c:pt idx="3314">
                  <c:v>245.96965600629215</c:v>
                </c:pt>
                <c:pt idx="3315">
                  <c:v>246.015874130529</c:v>
                </c:pt>
                <c:pt idx="3316">
                  <c:v>246.02596987874131</c:v>
                </c:pt>
                <c:pt idx="3317">
                  <c:v>246.03171293705179</c:v>
                </c:pt>
                <c:pt idx="3318">
                  <c:v>246.0698663452329</c:v>
                </c:pt>
                <c:pt idx="3319">
                  <c:v>246.26673822306023</c:v>
                </c:pt>
                <c:pt idx="3320">
                  <c:v>246.26890978815757</c:v>
                </c:pt>
                <c:pt idx="3321">
                  <c:v>246.30421877695059</c:v>
                </c:pt>
                <c:pt idx="3322">
                  <c:v>246.42259495674023</c:v>
                </c:pt>
                <c:pt idx="3323">
                  <c:v>246.43960613188503</c:v>
                </c:pt>
                <c:pt idx="3324">
                  <c:v>246.45443221092967</c:v>
                </c:pt>
                <c:pt idx="3325">
                  <c:v>246.54601638472028</c:v>
                </c:pt>
                <c:pt idx="3326">
                  <c:v>246.61605606286869</c:v>
                </c:pt>
                <c:pt idx="3327">
                  <c:v>246.65929128328975</c:v>
                </c:pt>
                <c:pt idx="3328">
                  <c:v>246.71322099008458</c:v>
                </c:pt>
                <c:pt idx="3329">
                  <c:v>246.77796485868984</c:v>
                </c:pt>
                <c:pt idx="3330">
                  <c:v>246.78909926354351</c:v>
                </c:pt>
                <c:pt idx="3331">
                  <c:v>246.79326453060307</c:v>
                </c:pt>
                <c:pt idx="3332">
                  <c:v>246.81860027606089</c:v>
                </c:pt>
                <c:pt idx="3333">
                  <c:v>246.82982258123852</c:v>
                </c:pt>
                <c:pt idx="3334">
                  <c:v>246.87391078758191</c:v>
                </c:pt>
                <c:pt idx="3335">
                  <c:v>246.91998870740744</c:v>
                </c:pt>
                <c:pt idx="3336">
                  <c:v>246.99249947256527</c:v>
                </c:pt>
                <c:pt idx="3337">
                  <c:v>246.9951802728479</c:v>
                </c:pt>
                <c:pt idx="3338">
                  <c:v>247.01203330420381</c:v>
                </c:pt>
                <c:pt idx="3339">
                  <c:v>247.02189739093075</c:v>
                </c:pt>
                <c:pt idx="3340">
                  <c:v>247.02532372548126</c:v>
                </c:pt>
                <c:pt idx="3341">
                  <c:v>247.07329534906825</c:v>
                </c:pt>
                <c:pt idx="3342">
                  <c:v>247.09488173838409</c:v>
                </c:pt>
                <c:pt idx="3343">
                  <c:v>247.14660620643821</c:v>
                </c:pt>
                <c:pt idx="3344">
                  <c:v>247.1742932947659</c:v>
                </c:pt>
                <c:pt idx="3345">
                  <c:v>247.18916175708432</c:v>
                </c:pt>
                <c:pt idx="3346">
                  <c:v>247.20191920758589</c:v>
                </c:pt>
                <c:pt idx="3347">
                  <c:v>247.26152917412122</c:v>
                </c:pt>
                <c:pt idx="3348">
                  <c:v>247.26304268117539</c:v>
                </c:pt>
                <c:pt idx="3349">
                  <c:v>247.29056789835755</c:v>
                </c:pt>
                <c:pt idx="3350">
                  <c:v>247.3703827968892</c:v>
                </c:pt>
                <c:pt idx="3351">
                  <c:v>247.3713296397072</c:v>
                </c:pt>
                <c:pt idx="3352">
                  <c:v>247.37513848613511</c:v>
                </c:pt>
                <c:pt idx="3353">
                  <c:v>247.39052630706595</c:v>
                </c:pt>
                <c:pt idx="3354">
                  <c:v>247.40075520957927</c:v>
                </c:pt>
                <c:pt idx="3355">
                  <c:v>247.61375199232234</c:v>
                </c:pt>
                <c:pt idx="3356">
                  <c:v>247.81917408433324</c:v>
                </c:pt>
                <c:pt idx="3357">
                  <c:v>247.90022192112122</c:v>
                </c:pt>
                <c:pt idx="3358">
                  <c:v>247.99653210677425</c:v>
                </c:pt>
                <c:pt idx="3359">
                  <c:v>248.03206499474663</c:v>
                </c:pt>
                <c:pt idx="3360">
                  <c:v>248.18171519488035</c:v>
                </c:pt>
                <c:pt idx="3361">
                  <c:v>248.20317860719013</c:v>
                </c:pt>
                <c:pt idx="3362">
                  <c:v>248.29706208026903</c:v>
                </c:pt>
                <c:pt idx="3363">
                  <c:v>248.30279766510697</c:v>
                </c:pt>
                <c:pt idx="3364">
                  <c:v>248.36591335036684</c:v>
                </c:pt>
                <c:pt idx="3365">
                  <c:v>248.44563968904561</c:v>
                </c:pt>
                <c:pt idx="3366">
                  <c:v>248.48715150168775</c:v>
                </c:pt>
                <c:pt idx="3367">
                  <c:v>248.49056372282044</c:v>
                </c:pt>
                <c:pt idx="3368">
                  <c:v>248.58088224327651</c:v>
                </c:pt>
                <c:pt idx="3369">
                  <c:v>248.60634785799002</c:v>
                </c:pt>
                <c:pt idx="3370">
                  <c:v>248.70940073116756</c:v>
                </c:pt>
                <c:pt idx="3371">
                  <c:v>248.7588597864135</c:v>
                </c:pt>
                <c:pt idx="3372">
                  <c:v>248.82907404298834</c:v>
                </c:pt>
                <c:pt idx="3373">
                  <c:v>248.85055775794279</c:v>
                </c:pt>
                <c:pt idx="3374">
                  <c:v>248.86493571982683</c:v>
                </c:pt>
                <c:pt idx="3375">
                  <c:v>248.89411906492137</c:v>
                </c:pt>
                <c:pt idx="3376">
                  <c:v>249.00852557421862</c:v>
                </c:pt>
                <c:pt idx="3377">
                  <c:v>249.04847574404752</c:v>
                </c:pt>
                <c:pt idx="3378">
                  <c:v>249.08964618705065</c:v>
                </c:pt>
                <c:pt idx="3379">
                  <c:v>249.11739558928781</c:v>
                </c:pt>
                <c:pt idx="3380">
                  <c:v>249.12626110754951</c:v>
                </c:pt>
                <c:pt idx="3381">
                  <c:v>249.13417704803362</c:v>
                </c:pt>
                <c:pt idx="3382">
                  <c:v>249.1409264789024</c:v>
                </c:pt>
                <c:pt idx="3383">
                  <c:v>249.19477635945213</c:v>
                </c:pt>
                <c:pt idx="3384">
                  <c:v>249.24958241890096</c:v>
                </c:pt>
                <c:pt idx="3385">
                  <c:v>249.25159403821459</c:v>
                </c:pt>
                <c:pt idx="3386">
                  <c:v>249.26401660081106</c:v>
                </c:pt>
                <c:pt idx="3387">
                  <c:v>249.27583312098753</c:v>
                </c:pt>
                <c:pt idx="3388">
                  <c:v>249.31447902319442</c:v>
                </c:pt>
                <c:pt idx="3389">
                  <c:v>249.32352186228985</c:v>
                </c:pt>
                <c:pt idx="3390">
                  <c:v>249.35603580569637</c:v>
                </c:pt>
                <c:pt idx="3391">
                  <c:v>249.40856340057059</c:v>
                </c:pt>
                <c:pt idx="3392">
                  <c:v>249.58403351154504</c:v>
                </c:pt>
                <c:pt idx="3393">
                  <c:v>249.65368412231442</c:v>
                </c:pt>
                <c:pt idx="3394">
                  <c:v>249.84335551751226</c:v>
                </c:pt>
                <c:pt idx="3395">
                  <c:v>249.85623594345313</c:v>
                </c:pt>
                <c:pt idx="3396">
                  <c:v>250.01218702521686</c:v>
                </c:pt>
                <c:pt idx="3397">
                  <c:v>250.03112534311143</c:v>
                </c:pt>
                <c:pt idx="3398">
                  <c:v>250.0708334209331</c:v>
                </c:pt>
                <c:pt idx="3399">
                  <c:v>250.08292370721739</c:v>
                </c:pt>
                <c:pt idx="3400">
                  <c:v>250.10606338043019</c:v>
                </c:pt>
                <c:pt idx="3401">
                  <c:v>250.19268825264226</c:v>
                </c:pt>
                <c:pt idx="3402">
                  <c:v>250.19852485186303</c:v>
                </c:pt>
                <c:pt idx="3403">
                  <c:v>250.20485710365588</c:v>
                </c:pt>
                <c:pt idx="3404">
                  <c:v>250.25895311947338</c:v>
                </c:pt>
                <c:pt idx="3405">
                  <c:v>250.26603512108935</c:v>
                </c:pt>
                <c:pt idx="3406">
                  <c:v>250.33468508107916</c:v>
                </c:pt>
                <c:pt idx="3407">
                  <c:v>250.38870950881332</c:v>
                </c:pt>
                <c:pt idx="3408">
                  <c:v>250.389335437489</c:v>
                </c:pt>
                <c:pt idx="3409">
                  <c:v>250.44192320461929</c:v>
                </c:pt>
                <c:pt idx="3410">
                  <c:v>250.44883920578678</c:v>
                </c:pt>
                <c:pt idx="3411">
                  <c:v>250.46390073238553</c:v>
                </c:pt>
                <c:pt idx="3412">
                  <c:v>250.56111785583215</c:v>
                </c:pt>
                <c:pt idx="3413">
                  <c:v>250.56137782894839</c:v>
                </c:pt>
                <c:pt idx="3414">
                  <c:v>250.58159464493036</c:v>
                </c:pt>
                <c:pt idx="3415">
                  <c:v>250.72890984395065</c:v>
                </c:pt>
                <c:pt idx="3416">
                  <c:v>250.78383700066027</c:v>
                </c:pt>
                <c:pt idx="3417">
                  <c:v>250.79947137556522</c:v>
                </c:pt>
                <c:pt idx="3418">
                  <c:v>250.84760993901054</c:v>
                </c:pt>
                <c:pt idx="3419">
                  <c:v>250.94502334333899</c:v>
                </c:pt>
                <c:pt idx="3420">
                  <c:v>251.07458615246037</c:v>
                </c:pt>
                <c:pt idx="3421">
                  <c:v>251.11481212295479</c:v>
                </c:pt>
                <c:pt idx="3422">
                  <c:v>251.17660760833488</c:v>
                </c:pt>
                <c:pt idx="3423">
                  <c:v>251.21093759414009</c:v>
                </c:pt>
                <c:pt idx="3424">
                  <c:v>251.25989375695119</c:v>
                </c:pt>
                <c:pt idx="3425">
                  <c:v>251.27599884016999</c:v>
                </c:pt>
                <c:pt idx="3426">
                  <c:v>251.32997445204703</c:v>
                </c:pt>
                <c:pt idx="3427">
                  <c:v>251.33435669274235</c:v>
                </c:pt>
                <c:pt idx="3428">
                  <c:v>251.34468498689466</c:v>
                </c:pt>
                <c:pt idx="3429">
                  <c:v>251.42882049382715</c:v>
                </c:pt>
                <c:pt idx="3430">
                  <c:v>251.45602156163807</c:v>
                </c:pt>
                <c:pt idx="3431">
                  <c:v>251.46505074412454</c:v>
                </c:pt>
                <c:pt idx="3432">
                  <c:v>251.47248582021507</c:v>
                </c:pt>
                <c:pt idx="3433">
                  <c:v>251.54078435576301</c:v>
                </c:pt>
                <c:pt idx="3434">
                  <c:v>251.64770496060058</c:v>
                </c:pt>
                <c:pt idx="3435">
                  <c:v>251.66293323502222</c:v>
                </c:pt>
                <c:pt idx="3436">
                  <c:v>251.76478651954241</c:v>
                </c:pt>
                <c:pt idx="3437">
                  <c:v>251.8301818622449</c:v>
                </c:pt>
                <c:pt idx="3438">
                  <c:v>251.9539129734448</c:v>
                </c:pt>
                <c:pt idx="3439">
                  <c:v>252.05869611746391</c:v>
                </c:pt>
                <c:pt idx="3440">
                  <c:v>252.0882785666756</c:v>
                </c:pt>
                <c:pt idx="3441">
                  <c:v>252.15565504317425</c:v>
                </c:pt>
                <c:pt idx="3442">
                  <c:v>252.15873169609233</c:v>
                </c:pt>
                <c:pt idx="3443">
                  <c:v>252.27367290109859</c:v>
                </c:pt>
                <c:pt idx="3444">
                  <c:v>252.2811072396992</c:v>
                </c:pt>
                <c:pt idx="3445">
                  <c:v>252.32728395046402</c:v>
                </c:pt>
                <c:pt idx="3446">
                  <c:v>252.32869661454529</c:v>
                </c:pt>
                <c:pt idx="3447">
                  <c:v>252.37195061240027</c:v>
                </c:pt>
                <c:pt idx="3448">
                  <c:v>252.38040156383269</c:v>
                </c:pt>
                <c:pt idx="3449">
                  <c:v>252.38758875738469</c:v>
                </c:pt>
                <c:pt idx="3450">
                  <c:v>252.40929457525621</c:v>
                </c:pt>
                <c:pt idx="3451">
                  <c:v>252.46398631897063</c:v>
                </c:pt>
                <c:pt idx="3452">
                  <c:v>252.60587018480874</c:v>
                </c:pt>
                <c:pt idx="3453">
                  <c:v>252.62302447525954</c:v>
                </c:pt>
                <c:pt idx="3454">
                  <c:v>252.7523691632795</c:v>
                </c:pt>
                <c:pt idx="3455">
                  <c:v>252.84478555862464</c:v>
                </c:pt>
                <c:pt idx="3456">
                  <c:v>252.85798184272369</c:v>
                </c:pt>
                <c:pt idx="3457">
                  <c:v>252.87101723553366</c:v>
                </c:pt>
                <c:pt idx="3458">
                  <c:v>252.99658230661336</c:v>
                </c:pt>
                <c:pt idx="3459">
                  <c:v>253.02553744763568</c:v>
                </c:pt>
                <c:pt idx="3460">
                  <c:v>253.0296687086429</c:v>
                </c:pt>
                <c:pt idx="3461">
                  <c:v>253.14186812903969</c:v>
                </c:pt>
                <c:pt idx="3462">
                  <c:v>253.14643685106347</c:v>
                </c:pt>
                <c:pt idx="3463">
                  <c:v>253.17397685387922</c:v>
                </c:pt>
                <c:pt idx="3464">
                  <c:v>253.20691044748736</c:v>
                </c:pt>
                <c:pt idx="3465">
                  <c:v>253.45417526866225</c:v>
                </c:pt>
                <c:pt idx="3466">
                  <c:v>253.47041516652118</c:v>
                </c:pt>
                <c:pt idx="3467">
                  <c:v>253.47851719366412</c:v>
                </c:pt>
                <c:pt idx="3468">
                  <c:v>253.56542453724651</c:v>
                </c:pt>
                <c:pt idx="3469">
                  <c:v>253.5993242843432</c:v>
                </c:pt>
                <c:pt idx="3470">
                  <c:v>253.64861414272377</c:v>
                </c:pt>
                <c:pt idx="3471">
                  <c:v>253.67714661509976</c:v>
                </c:pt>
                <c:pt idx="3472">
                  <c:v>253.70085873772405</c:v>
                </c:pt>
                <c:pt idx="3473">
                  <c:v>253.70780704432818</c:v>
                </c:pt>
                <c:pt idx="3474">
                  <c:v>253.72755952529229</c:v>
                </c:pt>
                <c:pt idx="3475">
                  <c:v>253.76677248963421</c:v>
                </c:pt>
                <c:pt idx="3476">
                  <c:v>253.87439806795572</c:v>
                </c:pt>
                <c:pt idx="3477">
                  <c:v>253.91291619968229</c:v>
                </c:pt>
                <c:pt idx="3478">
                  <c:v>253.95243555676839</c:v>
                </c:pt>
                <c:pt idx="3479">
                  <c:v>253.96724863274648</c:v>
                </c:pt>
                <c:pt idx="3480">
                  <c:v>253.98726548533187</c:v>
                </c:pt>
                <c:pt idx="3481">
                  <c:v>254.01079249220095</c:v>
                </c:pt>
                <c:pt idx="3482">
                  <c:v>254.04954277312279</c:v>
                </c:pt>
                <c:pt idx="3483">
                  <c:v>254.07916839896603</c:v>
                </c:pt>
                <c:pt idx="3484">
                  <c:v>254.12311034829997</c:v>
                </c:pt>
                <c:pt idx="3485">
                  <c:v>254.21290166225657</c:v>
                </c:pt>
                <c:pt idx="3486">
                  <c:v>254.23796451554441</c:v>
                </c:pt>
                <c:pt idx="3487">
                  <c:v>254.26210147963513</c:v>
                </c:pt>
                <c:pt idx="3488">
                  <c:v>254.36193321902368</c:v>
                </c:pt>
                <c:pt idx="3489">
                  <c:v>254.42219449437209</c:v>
                </c:pt>
                <c:pt idx="3490">
                  <c:v>254.4562463081713</c:v>
                </c:pt>
                <c:pt idx="3491">
                  <c:v>254.45809347331885</c:v>
                </c:pt>
                <c:pt idx="3492">
                  <c:v>254.50761314233492</c:v>
                </c:pt>
                <c:pt idx="3493">
                  <c:v>254.52462354661952</c:v>
                </c:pt>
                <c:pt idx="3494">
                  <c:v>254.55693107298862</c:v>
                </c:pt>
                <c:pt idx="3495">
                  <c:v>254.57007551972939</c:v>
                </c:pt>
                <c:pt idx="3496">
                  <c:v>254.63693453734433</c:v>
                </c:pt>
                <c:pt idx="3497">
                  <c:v>254.747194267731</c:v>
                </c:pt>
                <c:pt idx="3498">
                  <c:v>254.78721384495398</c:v>
                </c:pt>
                <c:pt idx="3499">
                  <c:v>254.82135316486566</c:v>
                </c:pt>
                <c:pt idx="3500">
                  <c:v>254.98778516860932</c:v>
                </c:pt>
                <c:pt idx="3501">
                  <c:v>255.12661993499387</c:v>
                </c:pt>
                <c:pt idx="3502">
                  <c:v>255.17474196338645</c:v>
                </c:pt>
                <c:pt idx="3503">
                  <c:v>255.23629634971959</c:v>
                </c:pt>
                <c:pt idx="3504">
                  <c:v>255.27148892343257</c:v>
                </c:pt>
                <c:pt idx="3505">
                  <c:v>255.30532029078864</c:v>
                </c:pt>
                <c:pt idx="3506">
                  <c:v>255.33999064415281</c:v>
                </c:pt>
                <c:pt idx="3507">
                  <c:v>255.42192045198675</c:v>
                </c:pt>
                <c:pt idx="3508">
                  <c:v>255.42347450873436</c:v>
                </c:pt>
                <c:pt idx="3509">
                  <c:v>255.45730349037279</c:v>
                </c:pt>
                <c:pt idx="3510">
                  <c:v>255.644264948022</c:v>
                </c:pt>
                <c:pt idx="3511">
                  <c:v>255.71800643130436</c:v>
                </c:pt>
                <c:pt idx="3512">
                  <c:v>255.73614929177387</c:v>
                </c:pt>
                <c:pt idx="3513">
                  <c:v>255.80914825352158</c:v>
                </c:pt>
                <c:pt idx="3514">
                  <c:v>255.85591217357234</c:v>
                </c:pt>
                <c:pt idx="3515">
                  <c:v>255.86213466910783</c:v>
                </c:pt>
                <c:pt idx="3516">
                  <c:v>255.86459799204928</c:v>
                </c:pt>
                <c:pt idx="3517">
                  <c:v>255.86724349869951</c:v>
                </c:pt>
                <c:pt idx="3518">
                  <c:v>255.92823296753144</c:v>
                </c:pt>
                <c:pt idx="3519">
                  <c:v>255.98460200219239</c:v>
                </c:pt>
                <c:pt idx="3520">
                  <c:v>256.00832188165532</c:v>
                </c:pt>
                <c:pt idx="3521">
                  <c:v>256.0229286505176</c:v>
                </c:pt>
                <c:pt idx="3522">
                  <c:v>256.06513601035897</c:v>
                </c:pt>
                <c:pt idx="3523">
                  <c:v>256.09037696396246</c:v>
                </c:pt>
                <c:pt idx="3524">
                  <c:v>256.17310311764908</c:v>
                </c:pt>
                <c:pt idx="3525">
                  <c:v>256.22893893771982</c:v>
                </c:pt>
                <c:pt idx="3526">
                  <c:v>256.23588844420533</c:v>
                </c:pt>
                <c:pt idx="3527">
                  <c:v>256.35181711694895</c:v>
                </c:pt>
                <c:pt idx="3528">
                  <c:v>256.4627063169512</c:v>
                </c:pt>
                <c:pt idx="3529">
                  <c:v>256.4806789066069</c:v>
                </c:pt>
                <c:pt idx="3530">
                  <c:v>256.50223010633295</c:v>
                </c:pt>
                <c:pt idx="3531">
                  <c:v>256.63504484940978</c:v>
                </c:pt>
                <c:pt idx="3532">
                  <c:v>256.78151996966108</c:v>
                </c:pt>
                <c:pt idx="3533">
                  <c:v>257.00705067748208</c:v>
                </c:pt>
                <c:pt idx="3534">
                  <c:v>257.0461849444747</c:v>
                </c:pt>
                <c:pt idx="3535">
                  <c:v>257.14474051065179</c:v>
                </c:pt>
                <c:pt idx="3536">
                  <c:v>257.17459485073596</c:v>
                </c:pt>
                <c:pt idx="3537">
                  <c:v>257.22960182780537</c:v>
                </c:pt>
                <c:pt idx="3538">
                  <c:v>257.23738742595617</c:v>
                </c:pt>
                <c:pt idx="3539">
                  <c:v>257.26918520671381</c:v>
                </c:pt>
                <c:pt idx="3540">
                  <c:v>257.27212596270101</c:v>
                </c:pt>
                <c:pt idx="3541">
                  <c:v>257.3007060288154</c:v>
                </c:pt>
                <c:pt idx="3542">
                  <c:v>257.36185667863685</c:v>
                </c:pt>
                <c:pt idx="3543">
                  <c:v>257.397297074324</c:v>
                </c:pt>
                <c:pt idx="3544">
                  <c:v>257.52288633839106</c:v>
                </c:pt>
                <c:pt idx="3545">
                  <c:v>257.54176641067289</c:v>
                </c:pt>
                <c:pt idx="3546">
                  <c:v>257.5421667391297</c:v>
                </c:pt>
                <c:pt idx="3547">
                  <c:v>257.61048669745696</c:v>
                </c:pt>
                <c:pt idx="3548">
                  <c:v>257.61609216961193</c:v>
                </c:pt>
                <c:pt idx="3549">
                  <c:v>257.66821810241231</c:v>
                </c:pt>
                <c:pt idx="3550">
                  <c:v>257.70460856450347</c:v>
                </c:pt>
                <c:pt idx="3551">
                  <c:v>257.71875200987864</c:v>
                </c:pt>
                <c:pt idx="3552">
                  <c:v>257.72837817086167</c:v>
                </c:pt>
                <c:pt idx="3553">
                  <c:v>257.73125079426768</c:v>
                </c:pt>
                <c:pt idx="3554">
                  <c:v>257.73502559665309</c:v>
                </c:pt>
                <c:pt idx="3555">
                  <c:v>257.77715495889595</c:v>
                </c:pt>
                <c:pt idx="3556">
                  <c:v>257.79007209976965</c:v>
                </c:pt>
                <c:pt idx="3557">
                  <c:v>257.84961769462075</c:v>
                </c:pt>
                <c:pt idx="3558">
                  <c:v>257.86961820783972</c:v>
                </c:pt>
                <c:pt idx="3559">
                  <c:v>257.90901064491703</c:v>
                </c:pt>
                <c:pt idx="3560">
                  <c:v>257.91436436569381</c:v>
                </c:pt>
                <c:pt idx="3561">
                  <c:v>257.94844315917834</c:v>
                </c:pt>
                <c:pt idx="3562">
                  <c:v>258.0036398327801</c:v>
                </c:pt>
                <c:pt idx="3563">
                  <c:v>258.02034896271311</c:v>
                </c:pt>
                <c:pt idx="3564">
                  <c:v>258.05098825923324</c:v>
                </c:pt>
                <c:pt idx="3565">
                  <c:v>258.08920307597646</c:v>
                </c:pt>
                <c:pt idx="3566">
                  <c:v>258.15478289890098</c:v>
                </c:pt>
                <c:pt idx="3567">
                  <c:v>258.18409917326107</c:v>
                </c:pt>
                <c:pt idx="3568">
                  <c:v>258.19940677256079</c:v>
                </c:pt>
                <c:pt idx="3569">
                  <c:v>258.21587301037488</c:v>
                </c:pt>
                <c:pt idx="3570">
                  <c:v>258.22639969913882</c:v>
                </c:pt>
                <c:pt idx="3571">
                  <c:v>258.45639703615717</c:v>
                </c:pt>
                <c:pt idx="3572">
                  <c:v>258.57136026312219</c:v>
                </c:pt>
                <c:pt idx="3573">
                  <c:v>258.64764760886118</c:v>
                </c:pt>
                <c:pt idx="3574">
                  <c:v>258.69812054724787</c:v>
                </c:pt>
                <c:pt idx="3575">
                  <c:v>258.71651946922395</c:v>
                </c:pt>
                <c:pt idx="3576">
                  <c:v>258.72961087515512</c:v>
                </c:pt>
                <c:pt idx="3577">
                  <c:v>258.80719115975273</c:v>
                </c:pt>
                <c:pt idx="3578">
                  <c:v>258.92392022011347</c:v>
                </c:pt>
                <c:pt idx="3579">
                  <c:v>258.98708227954126</c:v>
                </c:pt>
                <c:pt idx="3580">
                  <c:v>259.02664392688058</c:v>
                </c:pt>
                <c:pt idx="3581">
                  <c:v>259.02802893932113</c:v>
                </c:pt>
                <c:pt idx="3582">
                  <c:v>259.03896605125124</c:v>
                </c:pt>
                <c:pt idx="3583">
                  <c:v>259.18830144589595</c:v>
                </c:pt>
                <c:pt idx="3584">
                  <c:v>259.23258849682799</c:v>
                </c:pt>
                <c:pt idx="3585">
                  <c:v>259.49525645075789</c:v>
                </c:pt>
                <c:pt idx="3586">
                  <c:v>259.49861995962124</c:v>
                </c:pt>
                <c:pt idx="3587">
                  <c:v>259.50317866136129</c:v>
                </c:pt>
                <c:pt idx="3588">
                  <c:v>259.50512093458178</c:v>
                </c:pt>
                <c:pt idx="3589">
                  <c:v>259.54429534525252</c:v>
                </c:pt>
                <c:pt idx="3590">
                  <c:v>259.54559899380729</c:v>
                </c:pt>
                <c:pt idx="3591">
                  <c:v>259.55107988871055</c:v>
                </c:pt>
                <c:pt idx="3592">
                  <c:v>259.55300020359402</c:v>
                </c:pt>
                <c:pt idx="3593">
                  <c:v>259.71731726757019</c:v>
                </c:pt>
                <c:pt idx="3594">
                  <c:v>259.82753539471435</c:v>
                </c:pt>
                <c:pt idx="3595">
                  <c:v>259.94214425275868</c:v>
                </c:pt>
                <c:pt idx="3596">
                  <c:v>260.07408797528547</c:v>
                </c:pt>
                <c:pt idx="3597">
                  <c:v>260.10358360761438</c:v>
                </c:pt>
                <c:pt idx="3598">
                  <c:v>260.14721035697789</c:v>
                </c:pt>
                <c:pt idx="3599">
                  <c:v>260.1519223851808</c:v>
                </c:pt>
                <c:pt idx="3600">
                  <c:v>260.2056140540322</c:v>
                </c:pt>
                <c:pt idx="3601">
                  <c:v>260.23829853370285</c:v>
                </c:pt>
                <c:pt idx="3602">
                  <c:v>260.24553513966077</c:v>
                </c:pt>
                <c:pt idx="3603">
                  <c:v>260.3354678245604</c:v>
                </c:pt>
                <c:pt idx="3604">
                  <c:v>260.35183561026531</c:v>
                </c:pt>
                <c:pt idx="3605">
                  <c:v>260.51522022502809</c:v>
                </c:pt>
                <c:pt idx="3606">
                  <c:v>260.53732381708403</c:v>
                </c:pt>
                <c:pt idx="3607">
                  <c:v>260.61162459221691</c:v>
                </c:pt>
                <c:pt idx="3608">
                  <c:v>260.68608286923103</c:v>
                </c:pt>
                <c:pt idx="3609">
                  <c:v>260.72721138856377</c:v>
                </c:pt>
                <c:pt idx="3610">
                  <c:v>260.79294145033714</c:v>
                </c:pt>
                <c:pt idx="3611">
                  <c:v>260.79811687118263</c:v>
                </c:pt>
                <c:pt idx="3612">
                  <c:v>260.85968061958204</c:v>
                </c:pt>
                <c:pt idx="3613">
                  <c:v>260.95558447069516</c:v>
                </c:pt>
                <c:pt idx="3614">
                  <c:v>261.14963091043751</c:v>
                </c:pt>
                <c:pt idx="3615">
                  <c:v>261.1702540316619</c:v>
                </c:pt>
                <c:pt idx="3616">
                  <c:v>261.19257405912822</c:v>
                </c:pt>
                <c:pt idx="3617">
                  <c:v>261.19282238283085</c:v>
                </c:pt>
                <c:pt idx="3618">
                  <c:v>261.22007064409706</c:v>
                </c:pt>
                <c:pt idx="3619">
                  <c:v>261.2609681082161</c:v>
                </c:pt>
                <c:pt idx="3620">
                  <c:v>261.45631466853177</c:v>
                </c:pt>
                <c:pt idx="3621">
                  <c:v>261.57023492535632</c:v>
                </c:pt>
                <c:pt idx="3622">
                  <c:v>261.61404744375841</c:v>
                </c:pt>
                <c:pt idx="3623">
                  <c:v>261.65086233415082</c:v>
                </c:pt>
                <c:pt idx="3624">
                  <c:v>261.77787885385578</c:v>
                </c:pt>
                <c:pt idx="3625">
                  <c:v>261.82783103453511</c:v>
                </c:pt>
                <c:pt idx="3626">
                  <c:v>261.87365961911991</c:v>
                </c:pt>
                <c:pt idx="3627">
                  <c:v>261.89567579951319</c:v>
                </c:pt>
                <c:pt idx="3628">
                  <c:v>261.96194542605315</c:v>
                </c:pt>
                <c:pt idx="3629">
                  <c:v>261.9914192093479</c:v>
                </c:pt>
                <c:pt idx="3630">
                  <c:v>262.01049655765678</c:v>
                </c:pt>
                <c:pt idx="3631">
                  <c:v>262.06473547777557</c:v>
                </c:pt>
                <c:pt idx="3632">
                  <c:v>262.06619989889464</c:v>
                </c:pt>
                <c:pt idx="3633">
                  <c:v>262.13994094926232</c:v>
                </c:pt>
                <c:pt idx="3634">
                  <c:v>262.21846206776343</c:v>
                </c:pt>
                <c:pt idx="3635">
                  <c:v>262.28257516034182</c:v>
                </c:pt>
                <c:pt idx="3636">
                  <c:v>262.34990167259235</c:v>
                </c:pt>
                <c:pt idx="3637">
                  <c:v>262.38641309330501</c:v>
                </c:pt>
                <c:pt idx="3638">
                  <c:v>262.40162882837308</c:v>
                </c:pt>
                <c:pt idx="3639">
                  <c:v>262.44457805741513</c:v>
                </c:pt>
                <c:pt idx="3640">
                  <c:v>262.50462604832188</c:v>
                </c:pt>
                <c:pt idx="3641">
                  <c:v>262.57020232870241</c:v>
                </c:pt>
                <c:pt idx="3642">
                  <c:v>262.62279598109774</c:v>
                </c:pt>
                <c:pt idx="3643">
                  <c:v>262.6817211958645</c:v>
                </c:pt>
                <c:pt idx="3644">
                  <c:v>262.69153795309285</c:v>
                </c:pt>
                <c:pt idx="3645">
                  <c:v>262.71374953916529</c:v>
                </c:pt>
                <c:pt idx="3646">
                  <c:v>262.75222318420913</c:v>
                </c:pt>
                <c:pt idx="3647">
                  <c:v>262.77178081905254</c:v>
                </c:pt>
                <c:pt idx="3648">
                  <c:v>262.84481704893346</c:v>
                </c:pt>
                <c:pt idx="3649">
                  <c:v>262.91776379742066</c:v>
                </c:pt>
                <c:pt idx="3650">
                  <c:v>262.94392011191394</c:v>
                </c:pt>
                <c:pt idx="3651">
                  <c:v>262.99072830254397</c:v>
                </c:pt>
                <c:pt idx="3652">
                  <c:v>263.00048514465379</c:v>
                </c:pt>
                <c:pt idx="3653">
                  <c:v>263.06323451920707</c:v>
                </c:pt>
                <c:pt idx="3654">
                  <c:v>263.07642989392548</c:v>
                </c:pt>
                <c:pt idx="3655">
                  <c:v>263.0892222209032</c:v>
                </c:pt>
                <c:pt idx="3656">
                  <c:v>263.09047318223645</c:v>
                </c:pt>
                <c:pt idx="3657">
                  <c:v>263.13421945347966</c:v>
                </c:pt>
                <c:pt idx="3658">
                  <c:v>263.14188738792723</c:v>
                </c:pt>
                <c:pt idx="3659">
                  <c:v>263.46143803015576</c:v>
                </c:pt>
                <c:pt idx="3660">
                  <c:v>263.47939450108055</c:v>
                </c:pt>
                <c:pt idx="3661">
                  <c:v>263.55546363930728</c:v>
                </c:pt>
                <c:pt idx="3662">
                  <c:v>263.6470390317192</c:v>
                </c:pt>
                <c:pt idx="3663">
                  <c:v>263.65091581216245</c:v>
                </c:pt>
                <c:pt idx="3664">
                  <c:v>263.65433136064348</c:v>
                </c:pt>
                <c:pt idx="3665">
                  <c:v>263.78213008087732</c:v>
                </c:pt>
                <c:pt idx="3666">
                  <c:v>263.84688158394033</c:v>
                </c:pt>
                <c:pt idx="3667">
                  <c:v>263.90051359144104</c:v>
                </c:pt>
                <c:pt idx="3668">
                  <c:v>263.94595297267477</c:v>
                </c:pt>
                <c:pt idx="3669">
                  <c:v>264.02139047518779</c:v>
                </c:pt>
                <c:pt idx="3670">
                  <c:v>264.02430451821465</c:v>
                </c:pt>
                <c:pt idx="3671">
                  <c:v>264.13584029839268</c:v>
                </c:pt>
                <c:pt idx="3672">
                  <c:v>264.15693609881282</c:v>
                </c:pt>
                <c:pt idx="3673">
                  <c:v>264.20285789767274</c:v>
                </c:pt>
                <c:pt idx="3674">
                  <c:v>264.23380011389452</c:v>
                </c:pt>
                <c:pt idx="3675">
                  <c:v>264.24247371003793</c:v>
                </c:pt>
                <c:pt idx="3676">
                  <c:v>264.28593763964807</c:v>
                </c:pt>
                <c:pt idx="3677">
                  <c:v>264.29335157519074</c:v>
                </c:pt>
                <c:pt idx="3678">
                  <c:v>264.34814535001857</c:v>
                </c:pt>
                <c:pt idx="3679">
                  <c:v>264.35450783310455</c:v>
                </c:pt>
                <c:pt idx="3680">
                  <c:v>264.44419333211346</c:v>
                </c:pt>
                <c:pt idx="3681">
                  <c:v>264.50826787941975</c:v>
                </c:pt>
                <c:pt idx="3682">
                  <c:v>264.56398625322112</c:v>
                </c:pt>
                <c:pt idx="3683">
                  <c:v>264.68687748988577</c:v>
                </c:pt>
                <c:pt idx="3684">
                  <c:v>264.80988215162552</c:v>
                </c:pt>
                <c:pt idx="3685">
                  <c:v>264.87891702392091</c:v>
                </c:pt>
                <c:pt idx="3686">
                  <c:v>264.91300719895003</c:v>
                </c:pt>
                <c:pt idx="3687">
                  <c:v>265.02472446587308</c:v>
                </c:pt>
                <c:pt idx="3688">
                  <c:v>265.04399216495108</c:v>
                </c:pt>
                <c:pt idx="3689">
                  <c:v>265.11031590939024</c:v>
                </c:pt>
                <c:pt idx="3690">
                  <c:v>265.11821998131461</c:v>
                </c:pt>
                <c:pt idx="3691">
                  <c:v>265.15142787408206</c:v>
                </c:pt>
                <c:pt idx="3692">
                  <c:v>265.15736386400766</c:v>
                </c:pt>
                <c:pt idx="3693">
                  <c:v>265.17636442689246</c:v>
                </c:pt>
                <c:pt idx="3694">
                  <c:v>265.22646953460981</c:v>
                </c:pt>
                <c:pt idx="3695">
                  <c:v>265.37829722807999</c:v>
                </c:pt>
                <c:pt idx="3696">
                  <c:v>265.46083930821555</c:v>
                </c:pt>
                <c:pt idx="3697">
                  <c:v>265.56559860471401</c:v>
                </c:pt>
                <c:pt idx="3698">
                  <c:v>265.61185796102507</c:v>
                </c:pt>
                <c:pt idx="3699">
                  <c:v>265.6538258397307</c:v>
                </c:pt>
                <c:pt idx="3700">
                  <c:v>265.70645390748774</c:v>
                </c:pt>
                <c:pt idx="3701">
                  <c:v>265.82536716240463</c:v>
                </c:pt>
                <c:pt idx="3702">
                  <c:v>265.89218156998595</c:v>
                </c:pt>
                <c:pt idx="3703">
                  <c:v>265.90855020916945</c:v>
                </c:pt>
                <c:pt idx="3704">
                  <c:v>265.91416704503695</c:v>
                </c:pt>
                <c:pt idx="3705">
                  <c:v>265.94748999292381</c:v>
                </c:pt>
                <c:pt idx="3706">
                  <c:v>266.06668543500825</c:v>
                </c:pt>
                <c:pt idx="3707">
                  <c:v>266.09480877998413</c:v>
                </c:pt>
                <c:pt idx="3708">
                  <c:v>266.11947682909522</c:v>
                </c:pt>
                <c:pt idx="3709">
                  <c:v>266.29493220654706</c:v>
                </c:pt>
                <c:pt idx="3710">
                  <c:v>266.36315976322828</c:v>
                </c:pt>
                <c:pt idx="3711">
                  <c:v>266.40676180203764</c:v>
                </c:pt>
                <c:pt idx="3712">
                  <c:v>266.45930257124184</c:v>
                </c:pt>
                <c:pt idx="3713">
                  <c:v>266.52086166517722</c:v>
                </c:pt>
                <c:pt idx="3714">
                  <c:v>266.55735645242947</c:v>
                </c:pt>
                <c:pt idx="3715">
                  <c:v>266.62700723858035</c:v>
                </c:pt>
                <c:pt idx="3716">
                  <c:v>266.66402130048448</c:v>
                </c:pt>
                <c:pt idx="3717">
                  <c:v>266.70474973839748</c:v>
                </c:pt>
                <c:pt idx="3718">
                  <c:v>266.75629400961941</c:v>
                </c:pt>
                <c:pt idx="3719">
                  <c:v>266.7715169849227</c:v>
                </c:pt>
                <c:pt idx="3720">
                  <c:v>266.79311497147575</c:v>
                </c:pt>
                <c:pt idx="3721">
                  <c:v>266.84381636249014</c:v>
                </c:pt>
                <c:pt idx="3722">
                  <c:v>266.9730942664695</c:v>
                </c:pt>
                <c:pt idx="3723">
                  <c:v>267.070375674145</c:v>
                </c:pt>
                <c:pt idx="3724">
                  <c:v>267.15025976776462</c:v>
                </c:pt>
                <c:pt idx="3725">
                  <c:v>267.25327297093713</c:v>
                </c:pt>
                <c:pt idx="3726">
                  <c:v>267.27746257336997</c:v>
                </c:pt>
                <c:pt idx="3727">
                  <c:v>267.30892254565248</c:v>
                </c:pt>
                <c:pt idx="3728">
                  <c:v>267.46514793232393</c:v>
                </c:pt>
                <c:pt idx="3729">
                  <c:v>267.58538187711662</c:v>
                </c:pt>
                <c:pt idx="3730">
                  <c:v>267.64144767380162</c:v>
                </c:pt>
                <c:pt idx="3731">
                  <c:v>267.76186996134265</c:v>
                </c:pt>
                <c:pt idx="3732">
                  <c:v>267.84199282565794</c:v>
                </c:pt>
                <c:pt idx="3733">
                  <c:v>267.86054380236294</c:v>
                </c:pt>
                <c:pt idx="3734">
                  <c:v>267.87116777126278</c:v>
                </c:pt>
                <c:pt idx="3735">
                  <c:v>268.01673595852543</c:v>
                </c:pt>
                <c:pt idx="3736">
                  <c:v>268.06481183886547</c:v>
                </c:pt>
                <c:pt idx="3737">
                  <c:v>268.12474230618733</c:v>
                </c:pt>
                <c:pt idx="3738">
                  <c:v>268.13853663745942</c:v>
                </c:pt>
                <c:pt idx="3739">
                  <c:v>268.24853772801737</c:v>
                </c:pt>
                <c:pt idx="3740">
                  <c:v>268.27752288440161</c:v>
                </c:pt>
                <c:pt idx="3741">
                  <c:v>268.34742337989314</c:v>
                </c:pt>
                <c:pt idx="3742">
                  <c:v>268.37589870705011</c:v>
                </c:pt>
                <c:pt idx="3743">
                  <c:v>268.42667594796507</c:v>
                </c:pt>
                <c:pt idx="3744">
                  <c:v>268.59903468992172</c:v>
                </c:pt>
                <c:pt idx="3745">
                  <c:v>268.72438750365063</c:v>
                </c:pt>
                <c:pt idx="3746">
                  <c:v>268.8040547365556</c:v>
                </c:pt>
                <c:pt idx="3747">
                  <c:v>268.83955973734771</c:v>
                </c:pt>
                <c:pt idx="3748">
                  <c:v>268.90286189041183</c:v>
                </c:pt>
                <c:pt idx="3749">
                  <c:v>268.96298089806794</c:v>
                </c:pt>
                <c:pt idx="3750">
                  <c:v>269.00132732799693</c:v>
                </c:pt>
                <c:pt idx="3751">
                  <c:v>269.03776478407241</c:v>
                </c:pt>
                <c:pt idx="3752">
                  <c:v>269.04144562647718</c:v>
                </c:pt>
                <c:pt idx="3753">
                  <c:v>269.05879404474541</c:v>
                </c:pt>
                <c:pt idx="3754">
                  <c:v>269.07606757982387</c:v>
                </c:pt>
                <c:pt idx="3755">
                  <c:v>269.13624558660649</c:v>
                </c:pt>
                <c:pt idx="3756">
                  <c:v>269.16436238820052</c:v>
                </c:pt>
                <c:pt idx="3757">
                  <c:v>269.26458429181264</c:v>
                </c:pt>
                <c:pt idx="3758">
                  <c:v>269.27766664557339</c:v>
                </c:pt>
                <c:pt idx="3759">
                  <c:v>269.29910537844563</c:v>
                </c:pt>
                <c:pt idx="3760">
                  <c:v>269.33307960765546</c:v>
                </c:pt>
                <c:pt idx="3761">
                  <c:v>269.42917022297627</c:v>
                </c:pt>
                <c:pt idx="3762">
                  <c:v>269.57917466648007</c:v>
                </c:pt>
                <c:pt idx="3763">
                  <c:v>269.64461803336076</c:v>
                </c:pt>
                <c:pt idx="3764">
                  <c:v>269.77494692177135</c:v>
                </c:pt>
                <c:pt idx="3765">
                  <c:v>269.8019114945447</c:v>
                </c:pt>
                <c:pt idx="3766">
                  <c:v>269.81874932581002</c:v>
                </c:pt>
                <c:pt idx="3767">
                  <c:v>270.06045045865767</c:v>
                </c:pt>
                <c:pt idx="3768">
                  <c:v>270.12968984618499</c:v>
                </c:pt>
                <c:pt idx="3769">
                  <c:v>270.14307426540677</c:v>
                </c:pt>
                <c:pt idx="3770">
                  <c:v>270.18729502705366</c:v>
                </c:pt>
                <c:pt idx="3771">
                  <c:v>270.23500502138813</c:v>
                </c:pt>
                <c:pt idx="3772">
                  <c:v>270.27856638003334</c:v>
                </c:pt>
                <c:pt idx="3773">
                  <c:v>270.31099278148326</c:v>
                </c:pt>
                <c:pt idx="3774">
                  <c:v>270.32104083331598</c:v>
                </c:pt>
                <c:pt idx="3775">
                  <c:v>270.33346042474534</c:v>
                </c:pt>
                <c:pt idx="3776">
                  <c:v>270.43447451682397</c:v>
                </c:pt>
                <c:pt idx="3777">
                  <c:v>270.53946859577405</c:v>
                </c:pt>
                <c:pt idx="3778">
                  <c:v>270.60045485721207</c:v>
                </c:pt>
                <c:pt idx="3779">
                  <c:v>270.65352108002998</c:v>
                </c:pt>
                <c:pt idx="3780">
                  <c:v>270.66116894063896</c:v>
                </c:pt>
                <c:pt idx="3781">
                  <c:v>270.68482850665305</c:v>
                </c:pt>
                <c:pt idx="3782">
                  <c:v>270.70780731014986</c:v>
                </c:pt>
                <c:pt idx="3783">
                  <c:v>270.75769697671694</c:v>
                </c:pt>
                <c:pt idx="3784">
                  <c:v>270.77650825226397</c:v>
                </c:pt>
                <c:pt idx="3785">
                  <c:v>270.80897098204957</c:v>
                </c:pt>
                <c:pt idx="3786">
                  <c:v>270.80980659952246</c:v>
                </c:pt>
                <c:pt idx="3787">
                  <c:v>270.87560455864667</c:v>
                </c:pt>
                <c:pt idx="3788">
                  <c:v>270.90560343511385</c:v>
                </c:pt>
                <c:pt idx="3789">
                  <c:v>270.91054838080805</c:v>
                </c:pt>
                <c:pt idx="3790">
                  <c:v>270.96212848039409</c:v>
                </c:pt>
                <c:pt idx="3791">
                  <c:v>271.0267682066858</c:v>
                </c:pt>
                <c:pt idx="3792">
                  <c:v>271.04237221965968</c:v>
                </c:pt>
                <c:pt idx="3793">
                  <c:v>271.06183918278003</c:v>
                </c:pt>
                <c:pt idx="3794">
                  <c:v>271.07106129735303</c:v>
                </c:pt>
                <c:pt idx="3795">
                  <c:v>271.15762775863305</c:v>
                </c:pt>
                <c:pt idx="3796">
                  <c:v>271.25578245678457</c:v>
                </c:pt>
                <c:pt idx="3797">
                  <c:v>271.28993572936372</c:v>
                </c:pt>
                <c:pt idx="3798">
                  <c:v>271.31233560626237</c:v>
                </c:pt>
                <c:pt idx="3799">
                  <c:v>271.35090687233628</c:v>
                </c:pt>
                <c:pt idx="3800">
                  <c:v>271.40437608757003</c:v>
                </c:pt>
                <c:pt idx="3801">
                  <c:v>271.40469673416942</c:v>
                </c:pt>
                <c:pt idx="3802">
                  <c:v>271.5058429153961</c:v>
                </c:pt>
                <c:pt idx="3803">
                  <c:v>271.56706105009641</c:v>
                </c:pt>
                <c:pt idx="3804">
                  <c:v>271.57215827422039</c:v>
                </c:pt>
                <c:pt idx="3805">
                  <c:v>271.65589716590313</c:v>
                </c:pt>
                <c:pt idx="3806">
                  <c:v>271.75314519883887</c:v>
                </c:pt>
                <c:pt idx="3807">
                  <c:v>271.75844055208546</c:v>
                </c:pt>
                <c:pt idx="3808">
                  <c:v>271.90294488652137</c:v>
                </c:pt>
                <c:pt idx="3809">
                  <c:v>272.08060806461185</c:v>
                </c:pt>
                <c:pt idx="3810">
                  <c:v>272.08610994220066</c:v>
                </c:pt>
                <c:pt idx="3811">
                  <c:v>272.16791453597784</c:v>
                </c:pt>
                <c:pt idx="3812">
                  <c:v>272.24881997590001</c:v>
                </c:pt>
                <c:pt idx="3813">
                  <c:v>272.36411856124346</c:v>
                </c:pt>
                <c:pt idx="3814">
                  <c:v>272.40799538279555</c:v>
                </c:pt>
                <c:pt idx="3815">
                  <c:v>272.48091632215426</c:v>
                </c:pt>
                <c:pt idx="3816">
                  <c:v>272.52960022073069</c:v>
                </c:pt>
                <c:pt idx="3817">
                  <c:v>272.59695226507932</c:v>
                </c:pt>
                <c:pt idx="3818">
                  <c:v>272.59960048610378</c:v>
                </c:pt>
                <c:pt idx="3819">
                  <c:v>272.61983335062928</c:v>
                </c:pt>
                <c:pt idx="3820">
                  <c:v>272.62011678962529</c:v>
                </c:pt>
                <c:pt idx="3821">
                  <c:v>272.88906220209412</c:v>
                </c:pt>
                <c:pt idx="3822">
                  <c:v>272.92543954654502</c:v>
                </c:pt>
                <c:pt idx="3823">
                  <c:v>273.00303926612827</c:v>
                </c:pt>
                <c:pt idx="3824">
                  <c:v>273.1260280953328</c:v>
                </c:pt>
                <c:pt idx="3825">
                  <c:v>273.18843215764298</c:v>
                </c:pt>
                <c:pt idx="3826">
                  <c:v>273.33200978513958</c:v>
                </c:pt>
                <c:pt idx="3827">
                  <c:v>273.34214037591892</c:v>
                </c:pt>
                <c:pt idx="3828">
                  <c:v>273.3952243332804</c:v>
                </c:pt>
                <c:pt idx="3829">
                  <c:v>273.54913200013641</c:v>
                </c:pt>
                <c:pt idx="3830">
                  <c:v>273.62336810758353</c:v>
                </c:pt>
                <c:pt idx="3831">
                  <c:v>273.71465076195028</c:v>
                </c:pt>
                <c:pt idx="3832">
                  <c:v>273.82187205665406</c:v>
                </c:pt>
                <c:pt idx="3833">
                  <c:v>273.84227341974906</c:v>
                </c:pt>
                <c:pt idx="3834">
                  <c:v>273.90164759465381</c:v>
                </c:pt>
                <c:pt idx="3835">
                  <c:v>273.96267883120413</c:v>
                </c:pt>
                <c:pt idx="3836">
                  <c:v>273.9870764797796</c:v>
                </c:pt>
                <c:pt idx="3837">
                  <c:v>274.17786303801506</c:v>
                </c:pt>
                <c:pt idx="3838">
                  <c:v>274.19023542429625</c:v>
                </c:pt>
                <c:pt idx="3839">
                  <c:v>274.22128813327197</c:v>
                </c:pt>
                <c:pt idx="3840">
                  <c:v>274.2360098825452</c:v>
                </c:pt>
                <c:pt idx="3841">
                  <c:v>274.30523278492421</c:v>
                </c:pt>
                <c:pt idx="3842">
                  <c:v>274.3730362691374</c:v>
                </c:pt>
                <c:pt idx="3843">
                  <c:v>274.37750501224258</c:v>
                </c:pt>
                <c:pt idx="3844">
                  <c:v>274.42440766876013</c:v>
                </c:pt>
                <c:pt idx="3845">
                  <c:v>274.48452895076207</c:v>
                </c:pt>
                <c:pt idx="3846">
                  <c:v>274.76684652891606</c:v>
                </c:pt>
                <c:pt idx="3847">
                  <c:v>275.07825289833255</c:v>
                </c:pt>
                <c:pt idx="3848">
                  <c:v>275.08540153977538</c:v>
                </c:pt>
                <c:pt idx="3849">
                  <c:v>275.08968488503444</c:v>
                </c:pt>
                <c:pt idx="3850">
                  <c:v>275.18779727386971</c:v>
                </c:pt>
                <c:pt idx="3851">
                  <c:v>275.18814468158479</c:v>
                </c:pt>
                <c:pt idx="3852">
                  <c:v>275.22233268030891</c:v>
                </c:pt>
                <c:pt idx="3853">
                  <c:v>275.34680191942203</c:v>
                </c:pt>
                <c:pt idx="3854">
                  <c:v>275.36932464575153</c:v>
                </c:pt>
                <c:pt idx="3855">
                  <c:v>275.42833938849924</c:v>
                </c:pt>
                <c:pt idx="3856">
                  <c:v>275.43623604009554</c:v>
                </c:pt>
                <c:pt idx="3857">
                  <c:v>275.45846188735561</c:v>
                </c:pt>
                <c:pt idx="3858">
                  <c:v>275.49816174472755</c:v>
                </c:pt>
                <c:pt idx="3859">
                  <c:v>275.54531650814681</c:v>
                </c:pt>
                <c:pt idx="3860">
                  <c:v>275.69486220870738</c:v>
                </c:pt>
                <c:pt idx="3861">
                  <c:v>275.70037608189085</c:v>
                </c:pt>
                <c:pt idx="3862">
                  <c:v>275.76272326015282</c:v>
                </c:pt>
                <c:pt idx="3863">
                  <c:v>275.79432886264937</c:v>
                </c:pt>
                <c:pt idx="3864">
                  <c:v>275.81825975522167</c:v>
                </c:pt>
                <c:pt idx="3865">
                  <c:v>275.87047084542576</c:v>
                </c:pt>
                <c:pt idx="3866">
                  <c:v>275.93901240738023</c:v>
                </c:pt>
                <c:pt idx="3867">
                  <c:v>275.99291361399912</c:v>
                </c:pt>
                <c:pt idx="3868">
                  <c:v>276.02836034869495</c:v>
                </c:pt>
                <c:pt idx="3869">
                  <c:v>276.0402929380578</c:v>
                </c:pt>
                <c:pt idx="3870">
                  <c:v>276.07332881008034</c:v>
                </c:pt>
                <c:pt idx="3871">
                  <c:v>276.32946589890287</c:v>
                </c:pt>
                <c:pt idx="3872">
                  <c:v>276.39626578588968</c:v>
                </c:pt>
                <c:pt idx="3873">
                  <c:v>276.51209049568547</c:v>
                </c:pt>
                <c:pt idx="3874">
                  <c:v>276.59343529617945</c:v>
                </c:pt>
                <c:pt idx="3875">
                  <c:v>276.72594133863043</c:v>
                </c:pt>
                <c:pt idx="3876">
                  <c:v>276.75263611525446</c:v>
                </c:pt>
                <c:pt idx="3877">
                  <c:v>276.75594650020668</c:v>
                </c:pt>
                <c:pt idx="3878">
                  <c:v>276.79616384606652</c:v>
                </c:pt>
                <c:pt idx="3879">
                  <c:v>276.84281639227447</c:v>
                </c:pt>
                <c:pt idx="3880">
                  <c:v>276.92351963136576</c:v>
                </c:pt>
                <c:pt idx="3881">
                  <c:v>277.09598359225248</c:v>
                </c:pt>
                <c:pt idx="3882">
                  <c:v>277.20788105469205</c:v>
                </c:pt>
                <c:pt idx="3883">
                  <c:v>277.32057694453442</c:v>
                </c:pt>
                <c:pt idx="3884">
                  <c:v>277.40227780477557</c:v>
                </c:pt>
                <c:pt idx="3885">
                  <c:v>277.57325426080706</c:v>
                </c:pt>
                <c:pt idx="3886">
                  <c:v>277.60869729413588</c:v>
                </c:pt>
                <c:pt idx="3887">
                  <c:v>277.65871904768619</c:v>
                </c:pt>
                <c:pt idx="3888">
                  <c:v>277.92826749313542</c:v>
                </c:pt>
                <c:pt idx="3889">
                  <c:v>277.99903471952427</c:v>
                </c:pt>
                <c:pt idx="3890">
                  <c:v>278.03563692987274</c:v>
                </c:pt>
                <c:pt idx="3891">
                  <c:v>278.0903591025056</c:v>
                </c:pt>
                <c:pt idx="3892">
                  <c:v>278.09795142915249</c:v>
                </c:pt>
                <c:pt idx="3893">
                  <c:v>278.10206137780722</c:v>
                </c:pt>
                <c:pt idx="3894">
                  <c:v>278.2610205361803</c:v>
                </c:pt>
                <c:pt idx="3895">
                  <c:v>278.26337739688245</c:v>
                </c:pt>
                <c:pt idx="3896">
                  <c:v>278.27139361001537</c:v>
                </c:pt>
                <c:pt idx="3897">
                  <c:v>278.32214665628982</c:v>
                </c:pt>
                <c:pt idx="3898">
                  <c:v>278.33312939025086</c:v>
                </c:pt>
                <c:pt idx="3899">
                  <c:v>278.35413948675466</c:v>
                </c:pt>
                <c:pt idx="3900">
                  <c:v>278.51988953451973</c:v>
                </c:pt>
                <c:pt idx="3901">
                  <c:v>278.69080595454272</c:v>
                </c:pt>
                <c:pt idx="3902">
                  <c:v>278.81493714360761</c:v>
                </c:pt>
                <c:pt idx="3903">
                  <c:v>278.82901844277194</c:v>
                </c:pt>
                <c:pt idx="3904">
                  <c:v>278.84479896444986</c:v>
                </c:pt>
                <c:pt idx="3905">
                  <c:v>278.88653289992556</c:v>
                </c:pt>
                <c:pt idx="3906">
                  <c:v>278.92608917941902</c:v>
                </c:pt>
                <c:pt idx="3907">
                  <c:v>279.11345309467151</c:v>
                </c:pt>
                <c:pt idx="3908">
                  <c:v>279.159037673699</c:v>
                </c:pt>
                <c:pt idx="3909">
                  <c:v>279.19641324147801</c:v>
                </c:pt>
                <c:pt idx="3910">
                  <c:v>279.23858418167237</c:v>
                </c:pt>
                <c:pt idx="3911">
                  <c:v>279.39688377410926</c:v>
                </c:pt>
                <c:pt idx="3912">
                  <c:v>279.4458849441321</c:v>
                </c:pt>
                <c:pt idx="3913">
                  <c:v>279.46427421129829</c:v>
                </c:pt>
                <c:pt idx="3914">
                  <c:v>279.55521737794913</c:v>
                </c:pt>
                <c:pt idx="3915">
                  <c:v>279.59316247038828</c:v>
                </c:pt>
                <c:pt idx="3916">
                  <c:v>279.73450014481597</c:v>
                </c:pt>
                <c:pt idx="3917">
                  <c:v>279.78189370960069</c:v>
                </c:pt>
                <c:pt idx="3918">
                  <c:v>279.79174443127226</c:v>
                </c:pt>
                <c:pt idx="3919">
                  <c:v>279.82991715886374</c:v>
                </c:pt>
                <c:pt idx="3920">
                  <c:v>279.98803731994508</c:v>
                </c:pt>
                <c:pt idx="3921">
                  <c:v>280.0491284655435</c:v>
                </c:pt>
                <c:pt idx="3922">
                  <c:v>280.09856603841911</c:v>
                </c:pt>
                <c:pt idx="3923">
                  <c:v>280.11362764932653</c:v>
                </c:pt>
                <c:pt idx="3924">
                  <c:v>280.15907173764623</c:v>
                </c:pt>
                <c:pt idx="3925">
                  <c:v>280.24674745183415</c:v>
                </c:pt>
                <c:pt idx="3926">
                  <c:v>280.30108744399035</c:v>
                </c:pt>
                <c:pt idx="3927">
                  <c:v>280.31396795596595</c:v>
                </c:pt>
                <c:pt idx="3928">
                  <c:v>280.34070758581998</c:v>
                </c:pt>
                <c:pt idx="3929">
                  <c:v>280.46554830121016</c:v>
                </c:pt>
                <c:pt idx="3930">
                  <c:v>280.49076040317334</c:v>
                </c:pt>
                <c:pt idx="3931">
                  <c:v>280.49494940698855</c:v>
                </c:pt>
                <c:pt idx="3932">
                  <c:v>280.59562891458518</c:v>
                </c:pt>
                <c:pt idx="3933">
                  <c:v>280.60866716587691</c:v>
                </c:pt>
                <c:pt idx="3934">
                  <c:v>280.61394336911741</c:v>
                </c:pt>
                <c:pt idx="3935">
                  <c:v>280.68857607965532</c:v>
                </c:pt>
                <c:pt idx="3936">
                  <c:v>280.71904865165641</c:v>
                </c:pt>
                <c:pt idx="3937">
                  <c:v>280.95123062107393</c:v>
                </c:pt>
                <c:pt idx="3938">
                  <c:v>280.98765205260401</c:v>
                </c:pt>
                <c:pt idx="3939">
                  <c:v>281.26268097490833</c:v>
                </c:pt>
                <c:pt idx="3940">
                  <c:v>281.3208114268233</c:v>
                </c:pt>
                <c:pt idx="3941">
                  <c:v>281.33250701202513</c:v>
                </c:pt>
                <c:pt idx="3942">
                  <c:v>281.35204449088724</c:v>
                </c:pt>
                <c:pt idx="3943">
                  <c:v>281.37612695821269</c:v>
                </c:pt>
                <c:pt idx="3944">
                  <c:v>281.42263154182183</c:v>
                </c:pt>
                <c:pt idx="3945">
                  <c:v>281.47481526793047</c:v>
                </c:pt>
                <c:pt idx="3946">
                  <c:v>281.71158570130922</c:v>
                </c:pt>
                <c:pt idx="3947">
                  <c:v>281.75452202883343</c:v>
                </c:pt>
                <c:pt idx="3948">
                  <c:v>281.78549826487586</c:v>
                </c:pt>
                <c:pt idx="3949">
                  <c:v>281.79880308966108</c:v>
                </c:pt>
                <c:pt idx="3950">
                  <c:v>281.88738379647941</c:v>
                </c:pt>
                <c:pt idx="3951">
                  <c:v>281.89954071048942</c:v>
                </c:pt>
                <c:pt idx="3952">
                  <c:v>281.92898362394237</c:v>
                </c:pt>
                <c:pt idx="3953">
                  <c:v>281.97973519994491</c:v>
                </c:pt>
                <c:pt idx="3954">
                  <c:v>281.98737301394402</c:v>
                </c:pt>
                <c:pt idx="3955">
                  <c:v>281.992094749655</c:v>
                </c:pt>
                <c:pt idx="3956">
                  <c:v>282.0331342923696</c:v>
                </c:pt>
                <c:pt idx="3957">
                  <c:v>282.06604596920238</c:v>
                </c:pt>
                <c:pt idx="3958">
                  <c:v>282.11642575973599</c:v>
                </c:pt>
                <c:pt idx="3959">
                  <c:v>282.17966122996847</c:v>
                </c:pt>
                <c:pt idx="3960">
                  <c:v>282.22219628456185</c:v>
                </c:pt>
                <c:pt idx="3961">
                  <c:v>282.25260955608564</c:v>
                </c:pt>
                <c:pt idx="3962">
                  <c:v>282.27067843686245</c:v>
                </c:pt>
                <c:pt idx="3963">
                  <c:v>282.3361296956881</c:v>
                </c:pt>
                <c:pt idx="3964">
                  <c:v>282.40017433669283</c:v>
                </c:pt>
                <c:pt idx="3965">
                  <c:v>282.49843567572111</c:v>
                </c:pt>
                <c:pt idx="3966">
                  <c:v>282.50543636606812</c:v>
                </c:pt>
                <c:pt idx="3967">
                  <c:v>282.58011707709272</c:v>
                </c:pt>
                <c:pt idx="3968">
                  <c:v>282.629684268966</c:v>
                </c:pt>
                <c:pt idx="3969">
                  <c:v>282.70392108912239</c:v>
                </c:pt>
                <c:pt idx="3970">
                  <c:v>282.72519961424689</c:v>
                </c:pt>
                <c:pt idx="3971">
                  <c:v>282.90418869437008</c:v>
                </c:pt>
                <c:pt idx="3972">
                  <c:v>282.96667559657186</c:v>
                </c:pt>
                <c:pt idx="3973">
                  <c:v>283.1441632112676</c:v>
                </c:pt>
                <c:pt idx="3974">
                  <c:v>283.15121206483428</c:v>
                </c:pt>
                <c:pt idx="3975">
                  <c:v>283.22348778346611</c:v>
                </c:pt>
                <c:pt idx="3976">
                  <c:v>283.24191618592789</c:v>
                </c:pt>
                <c:pt idx="3977">
                  <c:v>283.28061577256943</c:v>
                </c:pt>
                <c:pt idx="3978">
                  <c:v>283.28507867962048</c:v>
                </c:pt>
                <c:pt idx="3979">
                  <c:v>283.401988483477</c:v>
                </c:pt>
                <c:pt idx="3980">
                  <c:v>283.491385725839</c:v>
                </c:pt>
                <c:pt idx="3981">
                  <c:v>283.4938349977952</c:v>
                </c:pt>
                <c:pt idx="3982">
                  <c:v>283.56645115565698</c:v>
                </c:pt>
                <c:pt idx="3983">
                  <c:v>283.67283938340131</c:v>
                </c:pt>
                <c:pt idx="3984">
                  <c:v>283.75378309260657</c:v>
                </c:pt>
                <c:pt idx="3985">
                  <c:v>283.80766226043801</c:v>
                </c:pt>
                <c:pt idx="3986">
                  <c:v>283.87988134385</c:v>
                </c:pt>
                <c:pt idx="3987">
                  <c:v>283.88879281510174</c:v>
                </c:pt>
                <c:pt idx="3988">
                  <c:v>283.97082391334811</c:v>
                </c:pt>
                <c:pt idx="3989">
                  <c:v>284.01989080487294</c:v>
                </c:pt>
                <c:pt idx="3990">
                  <c:v>284.05143183350083</c:v>
                </c:pt>
                <c:pt idx="3991">
                  <c:v>284.07427030555164</c:v>
                </c:pt>
                <c:pt idx="3992">
                  <c:v>284.11298245710327</c:v>
                </c:pt>
                <c:pt idx="3993">
                  <c:v>284.2553423198882</c:v>
                </c:pt>
                <c:pt idx="3994">
                  <c:v>284.27258483517642</c:v>
                </c:pt>
                <c:pt idx="3995">
                  <c:v>284.32027789045247</c:v>
                </c:pt>
                <c:pt idx="3996">
                  <c:v>284.35162324743646</c:v>
                </c:pt>
                <c:pt idx="3997">
                  <c:v>284.37952487459307</c:v>
                </c:pt>
                <c:pt idx="3998">
                  <c:v>284.42207021140268</c:v>
                </c:pt>
                <c:pt idx="3999">
                  <c:v>284.57725927761555</c:v>
                </c:pt>
                <c:pt idx="4000">
                  <c:v>284.59907375062539</c:v>
                </c:pt>
                <c:pt idx="4001">
                  <c:v>284.62046294795408</c:v>
                </c:pt>
                <c:pt idx="4002">
                  <c:v>284.65895780330135</c:v>
                </c:pt>
                <c:pt idx="4003">
                  <c:v>284.76630967349843</c:v>
                </c:pt>
                <c:pt idx="4004">
                  <c:v>284.78077603674478</c:v>
                </c:pt>
                <c:pt idx="4005">
                  <c:v>284.94555312322791</c:v>
                </c:pt>
                <c:pt idx="4006">
                  <c:v>284.9579052404132</c:v>
                </c:pt>
                <c:pt idx="4007">
                  <c:v>284.97684066618172</c:v>
                </c:pt>
                <c:pt idx="4008">
                  <c:v>284.99377248260737</c:v>
                </c:pt>
                <c:pt idx="4009">
                  <c:v>285.0355429132245</c:v>
                </c:pt>
                <c:pt idx="4010">
                  <c:v>285.11388736914057</c:v>
                </c:pt>
                <c:pt idx="4011">
                  <c:v>285.21759497597003</c:v>
                </c:pt>
                <c:pt idx="4012">
                  <c:v>285.41613149301384</c:v>
                </c:pt>
                <c:pt idx="4013">
                  <c:v>285.51528091867738</c:v>
                </c:pt>
                <c:pt idx="4014">
                  <c:v>285.70334289548214</c:v>
                </c:pt>
                <c:pt idx="4015">
                  <c:v>285.75207972716942</c:v>
                </c:pt>
                <c:pt idx="4016">
                  <c:v>285.81068109045998</c:v>
                </c:pt>
                <c:pt idx="4017">
                  <c:v>286.02423043594604</c:v>
                </c:pt>
                <c:pt idx="4018">
                  <c:v>286.07327497286281</c:v>
                </c:pt>
                <c:pt idx="4019">
                  <c:v>286.31330094574787</c:v>
                </c:pt>
                <c:pt idx="4020">
                  <c:v>286.50644736761222</c:v>
                </c:pt>
                <c:pt idx="4021">
                  <c:v>286.52819229311359</c:v>
                </c:pt>
                <c:pt idx="4022">
                  <c:v>286.53117000545285</c:v>
                </c:pt>
                <c:pt idx="4023">
                  <c:v>286.77840696020832</c:v>
                </c:pt>
                <c:pt idx="4024">
                  <c:v>286.85442008448535</c:v>
                </c:pt>
                <c:pt idx="4025">
                  <c:v>286.87788389755349</c:v>
                </c:pt>
                <c:pt idx="4026">
                  <c:v>286.8835358129088</c:v>
                </c:pt>
                <c:pt idx="4027">
                  <c:v>287.04849048995123</c:v>
                </c:pt>
                <c:pt idx="4028">
                  <c:v>287.05998430929645</c:v>
                </c:pt>
                <c:pt idx="4029">
                  <c:v>287.27386488919535</c:v>
                </c:pt>
                <c:pt idx="4030">
                  <c:v>287.35785124488257</c:v>
                </c:pt>
                <c:pt idx="4031">
                  <c:v>287.38305124453336</c:v>
                </c:pt>
                <c:pt idx="4032">
                  <c:v>287.43160715051135</c:v>
                </c:pt>
                <c:pt idx="4033">
                  <c:v>287.45227074971103</c:v>
                </c:pt>
                <c:pt idx="4034">
                  <c:v>287.59127120545861</c:v>
                </c:pt>
                <c:pt idx="4035">
                  <c:v>287.64593931389902</c:v>
                </c:pt>
                <c:pt idx="4036">
                  <c:v>287.65610370255064</c:v>
                </c:pt>
                <c:pt idx="4037">
                  <c:v>287.68764761449575</c:v>
                </c:pt>
                <c:pt idx="4038">
                  <c:v>287.77602165192366</c:v>
                </c:pt>
                <c:pt idx="4039">
                  <c:v>287.81747282133938</c:v>
                </c:pt>
                <c:pt idx="4040">
                  <c:v>287.93820459386353</c:v>
                </c:pt>
                <c:pt idx="4041">
                  <c:v>287.98507699105892</c:v>
                </c:pt>
                <c:pt idx="4042">
                  <c:v>288.02747353178387</c:v>
                </c:pt>
                <c:pt idx="4043">
                  <c:v>288.11327525738614</c:v>
                </c:pt>
                <c:pt idx="4044">
                  <c:v>288.22181230916982</c:v>
                </c:pt>
                <c:pt idx="4045">
                  <c:v>288.31882971793658</c:v>
                </c:pt>
                <c:pt idx="4046">
                  <c:v>288.37109715460178</c:v>
                </c:pt>
                <c:pt idx="4047">
                  <c:v>288.44330654825114</c:v>
                </c:pt>
                <c:pt idx="4048">
                  <c:v>288.46506538330942</c:v>
                </c:pt>
                <c:pt idx="4049">
                  <c:v>288.4745567494511</c:v>
                </c:pt>
                <c:pt idx="4050">
                  <c:v>288.49962605445376</c:v>
                </c:pt>
                <c:pt idx="4051">
                  <c:v>288.52756723667437</c:v>
                </c:pt>
                <c:pt idx="4052">
                  <c:v>288.53003448852161</c:v>
                </c:pt>
                <c:pt idx="4053">
                  <c:v>288.55564418083793</c:v>
                </c:pt>
                <c:pt idx="4054">
                  <c:v>288.60362201179703</c:v>
                </c:pt>
                <c:pt idx="4055">
                  <c:v>288.68511603646243</c:v>
                </c:pt>
                <c:pt idx="4056">
                  <c:v>288.68771328487719</c:v>
                </c:pt>
                <c:pt idx="4057">
                  <c:v>288.79474762098528</c:v>
                </c:pt>
                <c:pt idx="4058">
                  <c:v>288.80981689110831</c:v>
                </c:pt>
                <c:pt idx="4059">
                  <c:v>288.98481169688233</c:v>
                </c:pt>
                <c:pt idx="4060">
                  <c:v>288.98519173348546</c:v>
                </c:pt>
                <c:pt idx="4061">
                  <c:v>289.41704261795519</c:v>
                </c:pt>
                <c:pt idx="4062">
                  <c:v>289.47598633947644</c:v>
                </c:pt>
                <c:pt idx="4063">
                  <c:v>289.55787181121786</c:v>
                </c:pt>
                <c:pt idx="4064">
                  <c:v>289.65981911243364</c:v>
                </c:pt>
                <c:pt idx="4065">
                  <c:v>289.76128285501034</c:v>
                </c:pt>
                <c:pt idx="4066">
                  <c:v>289.77045355578224</c:v>
                </c:pt>
                <c:pt idx="4067">
                  <c:v>289.7776290559782</c:v>
                </c:pt>
                <c:pt idx="4068">
                  <c:v>289.854164228576</c:v>
                </c:pt>
                <c:pt idx="4069">
                  <c:v>289.87643629330057</c:v>
                </c:pt>
                <c:pt idx="4070">
                  <c:v>289.91359164314338</c:v>
                </c:pt>
                <c:pt idx="4071">
                  <c:v>289.92216969857907</c:v>
                </c:pt>
                <c:pt idx="4072">
                  <c:v>290.00776835479974</c:v>
                </c:pt>
                <c:pt idx="4073">
                  <c:v>290.02675076872845</c:v>
                </c:pt>
                <c:pt idx="4074">
                  <c:v>290.13345290173879</c:v>
                </c:pt>
                <c:pt idx="4075">
                  <c:v>290.18730909057172</c:v>
                </c:pt>
                <c:pt idx="4076">
                  <c:v>290.23313161332777</c:v>
                </c:pt>
                <c:pt idx="4077">
                  <c:v>290.25736545484835</c:v>
                </c:pt>
                <c:pt idx="4078">
                  <c:v>290.28860630552373</c:v>
                </c:pt>
                <c:pt idx="4079">
                  <c:v>290.47818467737085</c:v>
                </c:pt>
                <c:pt idx="4080">
                  <c:v>290.48730621450875</c:v>
                </c:pt>
                <c:pt idx="4081">
                  <c:v>290.48927640144507</c:v>
                </c:pt>
                <c:pt idx="4082">
                  <c:v>290.63821514267272</c:v>
                </c:pt>
                <c:pt idx="4083">
                  <c:v>290.64577237879882</c:v>
                </c:pt>
                <c:pt idx="4084">
                  <c:v>290.76499017162303</c:v>
                </c:pt>
                <c:pt idx="4085">
                  <c:v>290.94873491651765</c:v>
                </c:pt>
                <c:pt idx="4086">
                  <c:v>290.99431559503751</c:v>
                </c:pt>
                <c:pt idx="4087">
                  <c:v>291.08643924956021</c:v>
                </c:pt>
                <c:pt idx="4088">
                  <c:v>291.11778365073945</c:v>
                </c:pt>
                <c:pt idx="4089">
                  <c:v>291.13222258824464</c:v>
                </c:pt>
                <c:pt idx="4090">
                  <c:v>291.17534566858581</c:v>
                </c:pt>
                <c:pt idx="4091">
                  <c:v>291.18327590510955</c:v>
                </c:pt>
                <c:pt idx="4092">
                  <c:v>291.19539490823234</c:v>
                </c:pt>
                <c:pt idx="4093">
                  <c:v>291.20202583346315</c:v>
                </c:pt>
                <c:pt idx="4094">
                  <c:v>291.22774080057638</c:v>
                </c:pt>
                <c:pt idx="4095">
                  <c:v>291.23949640639933</c:v>
                </c:pt>
                <c:pt idx="4096">
                  <c:v>291.29206223191215</c:v>
                </c:pt>
                <c:pt idx="4097">
                  <c:v>291.35967200546281</c:v>
                </c:pt>
                <c:pt idx="4098">
                  <c:v>291.3642750012433</c:v>
                </c:pt>
                <c:pt idx="4099">
                  <c:v>291.62291048087923</c:v>
                </c:pt>
                <c:pt idx="4100">
                  <c:v>291.66789062588964</c:v>
                </c:pt>
                <c:pt idx="4101">
                  <c:v>291.84080568686994</c:v>
                </c:pt>
                <c:pt idx="4102">
                  <c:v>291.90238350175946</c:v>
                </c:pt>
                <c:pt idx="4103">
                  <c:v>291.92908209271116</c:v>
                </c:pt>
                <c:pt idx="4104">
                  <c:v>292.06668636073312</c:v>
                </c:pt>
                <c:pt idx="4105">
                  <c:v>292.08830846210515</c:v>
                </c:pt>
                <c:pt idx="4106">
                  <c:v>292.10087389069133</c:v>
                </c:pt>
                <c:pt idx="4107">
                  <c:v>292.10427509362012</c:v>
                </c:pt>
                <c:pt idx="4108">
                  <c:v>292.19407968445114</c:v>
                </c:pt>
                <c:pt idx="4109">
                  <c:v>292.23175828149573</c:v>
                </c:pt>
                <c:pt idx="4110">
                  <c:v>292.42786993714617</c:v>
                </c:pt>
                <c:pt idx="4111">
                  <c:v>292.45439511401247</c:v>
                </c:pt>
                <c:pt idx="4112">
                  <c:v>292.52136982058738</c:v>
                </c:pt>
                <c:pt idx="4113">
                  <c:v>292.53768936658844</c:v>
                </c:pt>
                <c:pt idx="4114">
                  <c:v>292.86207559374566</c:v>
                </c:pt>
                <c:pt idx="4115">
                  <c:v>292.88685231669615</c:v>
                </c:pt>
                <c:pt idx="4116">
                  <c:v>292.91897438013854</c:v>
                </c:pt>
                <c:pt idx="4117">
                  <c:v>292.99966887483697</c:v>
                </c:pt>
                <c:pt idx="4118">
                  <c:v>293.06878974060123</c:v>
                </c:pt>
                <c:pt idx="4119">
                  <c:v>293.07882376391711</c:v>
                </c:pt>
                <c:pt idx="4120">
                  <c:v>293.11136467116012</c:v>
                </c:pt>
                <c:pt idx="4121">
                  <c:v>293.13341646981314</c:v>
                </c:pt>
                <c:pt idx="4122">
                  <c:v>293.14953123536714</c:v>
                </c:pt>
                <c:pt idx="4123">
                  <c:v>293.23536056230546</c:v>
                </c:pt>
                <c:pt idx="4124">
                  <c:v>293.31017960569415</c:v>
                </c:pt>
                <c:pt idx="4125">
                  <c:v>293.31864356986074</c:v>
                </c:pt>
                <c:pt idx="4126">
                  <c:v>293.38920130711369</c:v>
                </c:pt>
                <c:pt idx="4127">
                  <c:v>293.42386185948396</c:v>
                </c:pt>
                <c:pt idx="4128">
                  <c:v>293.52669597812138</c:v>
                </c:pt>
                <c:pt idx="4129">
                  <c:v>293.69623285226692</c:v>
                </c:pt>
                <c:pt idx="4130">
                  <c:v>293.73326699211293</c:v>
                </c:pt>
                <c:pt idx="4131">
                  <c:v>293.7915062013642</c:v>
                </c:pt>
                <c:pt idx="4132">
                  <c:v>293.8350405107783</c:v>
                </c:pt>
                <c:pt idx="4133">
                  <c:v>293.91379332314563</c:v>
                </c:pt>
                <c:pt idx="4134">
                  <c:v>293.9394594920833</c:v>
                </c:pt>
                <c:pt idx="4135">
                  <c:v>293.94575536408479</c:v>
                </c:pt>
                <c:pt idx="4136">
                  <c:v>293.95281306271863</c:v>
                </c:pt>
                <c:pt idx="4137">
                  <c:v>294.02301021652386</c:v>
                </c:pt>
                <c:pt idx="4138">
                  <c:v>294.0726774420591</c:v>
                </c:pt>
                <c:pt idx="4139">
                  <c:v>294.08476632891262</c:v>
                </c:pt>
                <c:pt idx="4140">
                  <c:v>294.29354772725003</c:v>
                </c:pt>
                <c:pt idx="4141">
                  <c:v>294.33107231332974</c:v>
                </c:pt>
                <c:pt idx="4142">
                  <c:v>294.402006679046</c:v>
                </c:pt>
                <c:pt idx="4143">
                  <c:v>294.45854984735342</c:v>
                </c:pt>
                <c:pt idx="4144">
                  <c:v>294.48819144874</c:v>
                </c:pt>
                <c:pt idx="4145">
                  <c:v>294.54554253734727</c:v>
                </c:pt>
                <c:pt idx="4146">
                  <c:v>294.54805503837747</c:v>
                </c:pt>
                <c:pt idx="4147">
                  <c:v>294.54980762576264</c:v>
                </c:pt>
                <c:pt idx="4148">
                  <c:v>294.64736498149159</c:v>
                </c:pt>
                <c:pt idx="4149">
                  <c:v>294.82076562527823</c:v>
                </c:pt>
                <c:pt idx="4150">
                  <c:v>294.85113887286889</c:v>
                </c:pt>
                <c:pt idx="4151">
                  <c:v>294.85202603429468</c:v>
                </c:pt>
                <c:pt idx="4152">
                  <c:v>294.859470330367</c:v>
                </c:pt>
                <c:pt idx="4153">
                  <c:v>294.88770127103385</c:v>
                </c:pt>
                <c:pt idx="4154">
                  <c:v>294.95778442132087</c:v>
                </c:pt>
                <c:pt idx="4155">
                  <c:v>295.01140089667177</c:v>
                </c:pt>
                <c:pt idx="4156">
                  <c:v>295.02898445315594</c:v>
                </c:pt>
                <c:pt idx="4157">
                  <c:v>295.18415558706386</c:v>
                </c:pt>
                <c:pt idx="4158">
                  <c:v>295.49257171753658</c:v>
                </c:pt>
                <c:pt idx="4159">
                  <c:v>295.4998539543198</c:v>
                </c:pt>
                <c:pt idx="4160">
                  <c:v>295.52817617986767</c:v>
                </c:pt>
                <c:pt idx="4161">
                  <c:v>295.56426947711475</c:v>
                </c:pt>
                <c:pt idx="4162">
                  <c:v>295.58710990561656</c:v>
                </c:pt>
                <c:pt idx="4163">
                  <c:v>295.62249616140122</c:v>
                </c:pt>
                <c:pt idx="4164">
                  <c:v>295.69280343658545</c:v>
                </c:pt>
                <c:pt idx="4165">
                  <c:v>295.74032676164137</c:v>
                </c:pt>
                <c:pt idx="4166">
                  <c:v>295.78925225714011</c:v>
                </c:pt>
                <c:pt idx="4167">
                  <c:v>295.7904792466714</c:v>
                </c:pt>
                <c:pt idx="4168">
                  <c:v>295.85723229797077</c:v>
                </c:pt>
                <c:pt idx="4169">
                  <c:v>295.89592600263967</c:v>
                </c:pt>
                <c:pt idx="4170">
                  <c:v>295.94500587286279</c:v>
                </c:pt>
                <c:pt idx="4171">
                  <c:v>295.94649645548498</c:v>
                </c:pt>
                <c:pt idx="4172">
                  <c:v>296.15910003631848</c:v>
                </c:pt>
                <c:pt idx="4173">
                  <c:v>296.25798522424429</c:v>
                </c:pt>
                <c:pt idx="4174">
                  <c:v>296.41910906457917</c:v>
                </c:pt>
                <c:pt idx="4175">
                  <c:v>296.42590432390125</c:v>
                </c:pt>
                <c:pt idx="4176">
                  <c:v>296.42913593634341</c:v>
                </c:pt>
                <c:pt idx="4177">
                  <c:v>296.64325319132018</c:v>
                </c:pt>
                <c:pt idx="4178">
                  <c:v>296.66350803876674</c:v>
                </c:pt>
                <c:pt idx="4179">
                  <c:v>296.72406068644653</c:v>
                </c:pt>
                <c:pt idx="4180">
                  <c:v>296.72618137596771</c:v>
                </c:pt>
                <c:pt idx="4181">
                  <c:v>296.92432214629889</c:v>
                </c:pt>
                <c:pt idx="4182">
                  <c:v>296.9717219828508</c:v>
                </c:pt>
                <c:pt idx="4183">
                  <c:v>297.04394644634641</c:v>
                </c:pt>
                <c:pt idx="4184">
                  <c:v>297.07057492494977</c:v>
                </c:pt>
                <c:pt idx="4185">
                  <c:v>297.19992266831093</c:v>
                </c:pt>
                <c:pt idx="4186">
                  <c:v>297.27827057303716</c:v>
                </c:pt>
                <c:pt idx="4187">
                  <c:v>297.89540454505368</c:v>
                </c:pt>
                <c:pt idx="4188">
                  <c:v>298.06182374388766</c:v>
                </c:pt>
                <c:pt idx="4189">
                  <c:v>298.18842779295517</c:v>
                </c:pt>
                <c:pt idx="4190">
                  <c:v>298.22543774711971</c:v>
                </c:pt>
                <c:pt idx="4191">
                  <c:v>298.29820495104184</c:v>
                </c:pt>
                <c:pt idx="4192">
                  <c:v>298.44422661181619</c:v>
                </c:pt>
                <c:pt idx="4193">
                  <c:v>298.52768910194584</c:v>
                </c:pt>
                <c:pt idx="4194">
                  <c:v>298.62278876639454</c:v>
                </c:pt>
                <c:pt idx="4195">
                  <c:v>298.7033628884322</c:v>
                </c:pt>
                <c:pt idx="4196">
                  <c:v>298.72211754543423</c:v>
                </c:pt>
                <c:pt idx="4197">
                  <c:v>298.7255692663224</c:v>
                </c:pt>
                <c:pt idx="4198">
                  <c:v>298.81501925207829</c:v>
                </c:pt>
                <c:pt idx="4199">
                  <c:v>298.84030676509701</c:v>
                </c:pt>
                <c:pt idx="4200">
                  <c:v>298.8550976577734</c:v>
                </c:pt>
                <c:pt idx="4201">
                  <c:v>298.90579081464205</c:v>
                </c:pt>
                <c:pt idx="4202">
                  <c:v>298.91940208893612</c:v>
                </c:pt>
                <c:pt idx="4203">
                  <c:v>299.046176375644</c:v>
                </c:pt>
                <c:pt idx="4204">
                  <c:v>299.15995574341912</c:v>
                </c:pt>
                <c:pt idx="4205">
                  <c:v>299.16985795944123</c:v>
                </c:pt>
                <c:pt idx="4206">
                  <c:v>299.25323300957234</c:v>
                </c:pt>
                <c:pt idx="4207">
                  <c:v>299.35594786014815</c:v>
                </c:pt>
                <c:pt idx="4208">
                  <c:v>299.46848597805575</c:v>
                </c:pt>
                <c:pt idx="4209">
                  <c:v>299.54675678950377</c:v>
                </c:pt>
                <c:pt idx="4210">
                  <c:v>299.71780711485872</c:v>
                </c:pt>
                <c:pt idx="4211">
                  <c:v>299.77909199692164</c:v>
                </c:pt>
                <c:pt idx="4212">
                  <c:v>299.81828091932374</c:v>
                </c:pt>
                <c:pt idx="4213">
                  <c:v>299.83556423549203</c:v>
                </c:pt>
                <c:pt idx="4214">
                  <c:v>299.89908954673422</c:v>
                </c:pt>
                <c:pt idx="4215">
                  <c:v>300.13243265362695</c:v>
                </c:pt>
                <c:pt idx="4216">
                  <c:v>300.13257627708322</c:v>
                </c:pt>
                <c:pt idx="4217">
                  <c:v>300.14986391973662</c:v>
                </c:pt>
                <c:pt idx="4218">
                  <c:v>300.23140657057559</c:v>
                </c:pt>
                <c:pt idx="4219">
                  <c:v>300.2477939566686</c:v>
                </c:pt>
                <c:pt idx="4220">
                  <c:v>300.27538387921641</c:v>
                </c:pt>
                <c:pt idx="4221">
                  <c:v>300.43776197365059</c:v>
                </c:pt>
                <c:pt idx="4222">
                  <c:v>300.46228477647173</c:v>
                </c:pt>
                <c:pt idx="4223">
                  <c:v>300.46453687298492</c:v>
                </c:pt>
                <c:pt idx="4224">
                  <c:v>300.60574518892702</c:v>
                </c:pt>
                <c:pt idx="4225">
                  <c:v>300.74013999700117</c:v>
                </c:pt>
                <c:pt idx="4226">
                  <c:v>300.92060083938458</c:v>
                </c:pt>
                <c:pt idx="4227">
                  <c:v>300.97348802478791</c:v>
                </c:pt>
                <c:pt idx="4228">
                  <c:v>301.11548820393546</c:v>
                </c:pt>
                <c:pt idx="4229">
                  <c:v>301.17182674779656</c:v>
                </c:pt>
                <c:pt idx="4230">
                  <c:v>301.24287938437476</c:v>
                </c:pt>
                <c:pt idx="4231">
                  <c:v>301.42860772993595</c:v>
                </c:pt>
                <c:pt idx="4232">
                  <c:v>301.43634686631981</c:v>
                </c:pt>
                <c:pt idx="4233">
                  <c:v>301.86308663747604</c:v>
                </c:pt>
                <c:pt idx="4234">
                  <c:v>302.00440238154624</c:v>
                </c:pt>
                <c:pt idx="4235">
                  <c:v>302.11488426374638</c:v>
                </c:pt>
                <c:pt idx="4236">
                  <c:v>302.22206942308037</c:v>
                </c:pt>
                <c:pt idx="4237">
                  <c:v>302.25468450246871</c:v>
                </c:pt>
                <c:pt idx="4238">
                  <c:v>302.323629656408</c:v>
                </c:pt>
                <c:pt idx="4239">
                  <c:v>302.48629476759402</c:v>
                </c:pt>
                <c:pt idx="4240">
                  <c:v>302.71596011960457</c:v>
                </c:pt>
                <c:pt idx="4241">
                  <c:v>302.7231482469287</c:v>
                </c:pt>
                <c:pt idx="4242">
                  <c:v>302.80243894991781</c:v>
                </c:pt>
                <c:pt idx="4243">
                  <c:v>302.85708899619976</c:v>
                </c:pt>
                <c:pt idx="4244">
                  <c:v>302.89747396340397</c:v>
                </c:pt>
                <c:pt idx="4245">
                  <c:v>302.91354016300556</c:v>
                </c:pt>
                <c:pt idx="4246">
                  <c:v>302.91729540002927</c:v>
                </c:pt>
                <c:pt idx="4247">
                  <c:v>303.02982260405463</c:v>
                </c:pt>
                <c:pt idx="4248">
                  <c:v>303.09619796435129</c:v>
                </c:pt>
                <c:pt idx="4249">
                  <c:v>303.13405642160876</c:v>
                </c:pt>
                <c:pt idx="4250">
                  <c:v>303.14490807511919</c:v>
                </c:pt>
                <c:pt idx="4251">
                  <c:v>303.1989808830017</c:v>
                </c:pt>
                <c:pt idx="4252">
                  <c:v>303.36545216154741</c:v>
                </c:pt>
                <c:pt idx="4253">
                  <c:v>303.40783334241763</c:v>
                </c:pt>
                <c:pt idx="4254">
                  <c:v>303.42128963298592</c:v>
                </c:pt>
                <c:pt idx="4255">
                  <c:v>303.46339042289145</c:v>
                </c:pt>
                <c:pt idx="4256">
                  <c:v>303.63632736490058</c:v>
                </c:pt>
                <c:pt idx="4257">
                  <c:v>303.81756882964851</c:v>
                </c:pt>
                <c:pt idx="4258">
                  <c:v>303.84208191841947</c:v>
                </c:pt>
                <c:pt idx="4259">
                  <c:v>303.9574571282422</c:v>
                </c:pt>
                <c:pt idx="4260">
                  <c:v>304.02224605340177</c:v>
                </c:pt>
                <c:pt idx="4261">
                  <c:v>304.07205889812064</c:v>
                </c:pt>
                <c:pt idx="4262">
                  <c:v>304.24743047983839</c:v>
                </c:pt>
                <c:pt idx="4263">
                  <c:v>304.32952264992628</c:v>
                </c:pt>
                <c:pt idx="4264">
                  <c:v>304.36941324428153</c:v>
                </c:pt>
                <c:pt idx="4265">
                  <c:v>304.49139918392314</c:v>
                </c:pt>
                <c:pt idx="4266">
                  <c:v>304.54924024972343</c:v>
                </c:pt>
                <c:pt idx="4267">
                  <c:v>304.58231368711773</c:v>
                </c:pt>
                <c:pt idx="4268">
                  <c:v>304.58540267172054</c:v>
                </c:pt>
                <c:pt idx="4269">
                  <c:v>304.7198286791081</c:v>
                </c:pt>
                <c:pt idx="4270">
                  <c:v>304.81468837055371</c:v>
                </c:pt>
                <c:pt idx="4271">
                  <c:v>304.8223418058223</c:v>
                </c:pt>
                <c:pt idx="4272">
                  <c:v>304.87725646602598</c:v>
                </c:pt>
                <c:pt idx="4273">
                  <c:v>304.93887505301257</c:v>
                </c:pt>
                <c:pt idx="4274">
                  <c:v>305.26128280182718</c:v>
                </c:pt>
                <c:pt idx="4275">
                  <c:v>305.27318984690805</c:v>
                </c:pt>
                <c:pt idx="4276">
                  <c:v>305.92066142416434</c:v>
                </c:pt>
                <c:pt idx="4277">
                  <c:v>306.04376508661477</c:v>
                </c:pt>
                <c:pt idx="4278">
                  <c:v>306.09164621339858</c:v>
                </c:pt>
                <c:pt idx="4279">
                  <c:v>306.18772810950088</c:v>
                </c:pt>
                <c:pt idx="4280">
                  <c:v>306.32424989323965</c:v>
                </c:pt>
                <c:pt idx="4281">
                  <c:v>306.46383825052652</c:v>
                </c:pt>
                <c:pt idx="4282">
                  <c:v>306.58507412433323</c:v>
                </c:pt>
                <c:pt idx="4283">
                  <c:v>306.59888502834087</c:v>
                </c:pt>
                <c:pt idx="4284">
                  <c:v>306.59956336980849</c:v>
                </c:pt>
                <c:pt idx="4285">
                  <c:v>306.60176634894481</c:v>
                </c:pt>
                <c:pt idx="4286">
                  <c:v>306.74630640079306</c:v>
                </c:pt>
                <c:pt idx="4287">
                  <c:v>306.85666167367981</c:v>
                </c:pt>
                <c:pt idx="4288">
                  <c:v>306.87937748124847</c:v>
                </c:pt>
                <c:pt idx="4289">
                  <c:v>306.98326709085018</c:v>
                </c:pt>
                <c:pt idx="4290">
                  <c:v>307.04105549494585</c:v>
                </c:pt>
                <c:pt idx="4291">
                  <c:v>307.33583935723004</c:v>
                </c:pt>
                <c:pt idx="4292">
                  <c:v>307.34045445649269</c:v>
                </c:pt>
                <c:pt idx="4293">
                  <c:v>307.53829045259658</c:v>
                </c:pt>
                <c:pt idx="4294">
                  <c:v>307.55844952432926</c:v>
                </c:pt>
                <c:pt idx="4295">
                  <c:v>307.58996797769288</c:v>
                </c:pt>
                <c:pt idx="4296">
                  <c:v>307.69183087505655</c:v>
                </c:pt>
                <c:pt idx="4297">
                  <c:v>307.75684680111357</c:v>
                </c:pt>
                <c:pt idx="4298">
                  <c:v>307.95750802050969</c:v>
                </c:pt>
                <c:pt idx="4299">
                  <c:v>308.21585185672939</c:v>
                </c:pt>
                <c:pt idx="4300">
                  <c:v>308.32625079756389</c:v>
                </c:pt>
                <c:pt idx="4301">
                  <c:v>308.33029545371915</c:v>
                </c:pt>
                <c:pt idx="4302">
                  <c:v>308.35112691066035</c:v>
                </c:pt>
                <c:pt idx="4303">
                  <c:v>308.59139324015166</c:v>
                </c:pt>
                <c:pt idx="4304">
                  <c:v>308.65819867283602</c:v>
                </c:pt>
                <c:pt idx="4305">
                  <c:v>308.73991376930587</c:v>
                </c:pt>
                <c:pt idx="4306">
                  <c:v>308.87953844374999</c:v>
                </c:pt>
                <c:pt idx="4307">
                  <c:v>308.94257093590716</c:v>
                </c:pt>
                <c:pt idx="4308">
                  <c:v>308.94833208364076</c:v>
                </c:pt>
                <c:pt idx="4309">
                  <c:v>308.9697162144779</c:v>
                </c:pt>
                <c:pt idx="4310">
                  <c:v>308.99596703866735</c:v>
                </c:pt>
                <c:pt idx="4311">
                  <c:v>309.03219860294928</c:v>
                </c:pt>
                <c:pt idx="4312">
                  <c:v>309.07446253747264</c:v>
                </c:pt>
                <c:pt idx="4313">
                  <c:v>309.0988745728356</c:v>
                </c:pt>
                <c:pt idx="4314">
                  <c:v>309.52714466980228</c:v>
                </c:pt>
                <c:pt idx="4315">
                  <c:v>309.82314733122189</c:v>
                </c:pt>
                <c:pt idx="4316">
                  <c:v>309.8565038897014</c:v>
                </c:pt>
                <c:pt idx="4317">
                  <c:v>309.89392492531755</c:v>
                </c:pt>
                <c:pt idx="4318">
                  <c:v>310.02601119375277</c:v>
                </c:pt>
                <c:pt idx="4319">
                  <c:v>310.0838199885111</c:v>
                </c:pt>
                <c:pt idx="4320">
                  <c:v>310.31242083030349</c:v>
                </c:pt>
                <c:pt idx="4321">
                  <c:v>310.42941498901439</c:v>
                </c:pt>
                <c:pt idx="4322">
                  <c:v>310.47663871834283</c:v>
                </c:pt>
                <c:pt idx="4323">
                  <c:v>310.62694890917612</c:v>
                </c:pt>
                <c:pt idx="4324">
                  <c:v>310.69028188885073</c:v>
                </c:pt>
                <c:pt idx="4325">
                  <c:v>310.72402145074773</c:v>
                </c:pt>
                <c:pt idx="4326">
                  <c:v>310.85311296458917</c:v>
                </c:pt>
                <c:pt idx="4327">
                  <c:v>310.86713578974445</c:v>
                </c:pt>
                <c:pt idx="4328">
                  <c:v>311.07528244165678</c:v>
                </c:pt>
                <c:pt idx="4329">
                  <c:v>311.08048200013877</c:v>
                </c:pt>
                <c:pt idx="4330">
                  <c:v>311.17328164137075</c:v>
                </c:pt>
                <c:pt idx="4331">
                  <c:v>311.32446447762453</c:v>
                </c:pt>
                <c:pt idx="4332">
                  <c:v>311.34503286363292</c:v>
                </c:pt>
                <c:pt idx="4333">
                  <c:v>311.56477448717828</c:v>
                </c:pt>
                <c:pt idx="4334">
                  <c:v>311.60368806054896</c:v>
                </c:pt>
                <c:pt idx="4335">
                  <c:v>311.68134032200987</c:v>
                </c:pt>
                <c:pt idx="4336">
                  <c:v>311.73328489825616</c:v>
                </c:pt>
                <c:pt idx="4337">
                  <c:v>311.74758638759647</c:v>
                </c:pt>
                <c:pt idx="4338">
                  <c:v>311.77216672499208</c:v>
                </c:pt>
                <c:pt idx="4339">
                  <c:v>311.82815502719461</c:v>
                </c:pt>
                <c:pt idx="4340">
                  <c:v>312.00801571824661</c:v>
                </c:pt>
                <c:pt idx="4341">
                  <c:v>312.02963271307681</c:v>
                </c:pt>
                <c:pt idx="4342">
                  <c:v>312.05480968307774</c:v>
                </c:pt>
                <c:pt idx="4343">
                  <c:v>312.14105985724825</c:v>
                </c:pt>
                <c:pt idx="4344">
                  <c:v>312.22894746207407</c:v>
                </c:pt>
                <c:pt idx="4345">
                  <c:v>312.45769915503473</c:v>
                </c:pt>
                <c:pt idx="4346">
                  <c:v>312.5494981147055</c:v>
                </c:pt>
                <c:pt idx="4347">
                  <c:v>312.54992380554148</c:v>
                </c:pt>
                <c:pt idx="4348">
                  <c:v>312.56843800865715</c:v>
                </c:pt>
                <c:pt idx="4349">
                  <c:v>312.57387225680992</c:v>
                </c:pt>
                <c:pt idx="4350">
                  <c:v>312.59513497312184</c:v>
                </c:pt>
                <c:pt idx="4351">
                  <c:v>312.64891310847935</c:v>
                </c:pt>
                <c:pt idx="4352">
                  <c:v>312.79647561695629</c:v>
                </c:pt>
                <c:pt idx="4353">
                  <c:v>312.80113770494893</c:v>
                </c:pt>
                <c:pt idx="4354">
                  <c:v>312.80383450874376</c:v>
                </c:pt>
                <c:pt idx="4355">
                  <c:v>312.97321185741191</c:v>
                </c:pt>
                <c:pt idx="4356">
                  <c:v>313.20147432680784</c:v>
                </c:pt>
                <c:pt idx="4357">
                  <c:v>313.23656770004266</c:v>
                </c:pt>
                <c:pt idx="4358">
                  <c:v>313.28820552109397</c:v>
                </c:pt>
                <c:pt idx="4359">
                  <c:v>313.30543373740181</c:v>
                </c:pt>
                <c:pt idx="4360">
                  <c:v>313.33504394746262</c:v>
                </c:pt>
                <c:pt idx="4361">
                  <c:v>313.3876081942326</c:v>
                </c:pt>
                <c:pt idx="4362">
                  <c:v>313.41214064124301</c:v>
                </c:pt>
                <c:pt idx="4363">
                  <c:v>313.44358610820711</c:v>
                </c:pt>
                <c:pt idx="4364">
                  <c:v>313.551767485791</c:v>
                </c:pt>
                <c:pt idx="4365">
                  <c:v>313.61633144895563</c:v>
                </c:pt>
                <c:pt idx="4366">
                  <c:v>313.74771900453356</c:v>
                </c:pt>
                <c:pt idx="4367">
                  <c:v>313.85436744319577</c:v>
                </c:pt>
                <c:pt idx="4368">
                  <c:v>314.18519258717697</c:v>
                </c:pt>
                <c:pt idx="4369">
                  <c:v>314.23269929110688</c:v>
                </c:pt>
                <c:pt idx="4370">
                  <c:v>314.41920589146457</c:v>
                </c:pt>
                <c:pt idx="4371">
                  <c:v>314.57896345381488</c:v>
                </c:pt>
                <c:pt idx="4372">
                  <c:v>314.61877370908832</c:v>
                </c:pt>
                <c:pt idx="4373">
                  <c:v>314.63446341484621</c:v>
                </c:pt>
                <c:pt idx="4374">
                  <c:v>314.86143662359723</c:v>
                </c:pt>
                <c:pt idx="4375">
                  <c:v>314.99094937873059</c:v>
                </c:pt>
                <c:pt idx="4376">
                  <c:v>315.12112592652659</c:v>
                </c:pt>
                <c:pt idx="4377">
                  <c:v>315.14490864211933</c:v>
                </c:pt>
                <c:pt idx="4378">
                  <c:v>315.35416312777517</c:v>
                </c:pt>
                <c:pt idx="4379">
                  <c:v>315.59725922823691</c:v>
                </c:pt>
                <c:pt idx="4380">
                  <c:v>315.72531815317234</c:v>
                </c:pt>
                <c:pt idx="4381">
                  <c:v>315.80480535917991</c:v>
                </c:pt>
                <c:pt idx="4382">
                  <c:v>315.83967662154373</c:v>
                </c:pt>
                <c:pt idx="4383">
                  <c:v>316.04334716352247</c:v>
                </c:pt>
                <c:pt idx="4384">
                  <c:v>316.28408856189691</c:v>
                </c:pt>
                <c:pt idx="4385">
                  <c:v>316.3115013409269</c:v>
                </c:pt>
                <c:pt idx="4386">
                  <c:v>316.44737331316986</c:v>
                </c:pt>
                <c:pt idx="4387">
                  <c:v>316.54176154851916</c:v>
                </c:pt>
                <c:pt idx="4388">
                  <c:v>316.71440563396453</c:v>
                </c:pt>
                <c:pt idx="4389">
                  <c:v>316.82524842526743</c:v>
                </c:pt>
                <c:pt idx="4390">
                  <c:v>316.92814343214309</c:v>
                </c:pt>
                <c:pt idx="4391">
                  <c:v>316.97647036667519</c:v>
                </c:pt>
                <c:pt idx="4392">
                  <c:v>317.01748009100641</c:v>
                </c:pt>
                <c:pt idx="4393">
                  <c:v>317.02741959736619</c:v>
                </c:pt>
                <c:pt idx="4394">
                  <c:v>317.05122993191901</c:v>
                </c:pt>
                <c:pt idx="4395">
                  <c:v>317.05468413750356</c:v>
                </c:pt>
                <c:pt idx="4396">
                  <c:v>317.12964413360839</c:v>
                </c:pt>
                <c:pt idx="4397">
                  <c:v>317.17890179714561</c:v>
                </c:pt>
                <c:pt idx="4398">
                  <c:v>317.30907663950478</c:v>
                </c:pt>
                <c:pt idx="4399">
                  <c:v>317.33196531182813</c:v>
                </c:pt>
                <c:pt idx="4400">
                  <c:v>317.38384988454106</c:v>
                </c:pt>
                <c:pt idx="4401">
                  <c:v>317.59250420150829</c:v>
                </c:pt>
                <c:pt idx="4402">
                  <c:v>317.82204038597058</c:v>
                </c:pt>
                <c:pt idx="4403">
                  <c:v>317.90982740840002</c:v>
                </c:pt>
                <c:pt idx="4404">
                  <c:v>317.91920291205253</c:v>
                </c:pt>
                <c:pt idx="4405">
                  <c:v>317.95230606076251</c:v>
                </c:pt>
                <c:pt idx="4406">
                  <c:v>318.06944672924374</c:v>
                </c:pt>
                <c:pt idx="4407">
                  <c:v>318.14029432727955</c:v>
                </c:pt>
                <c:pt idx="4408">
                  <c:v>318.15667213646213</c:v>
                </c:pt>
                <c:pt idx="4409">
                  <c:v>318.23428607073208</c:v>
                </c:pt>
                <c:pt idx="4410">
                  <c:v>318.27089304848744</c:v>
                </c:pt>
                <c:pt idx="4411">
                  <c:v>318.42477142799271</c:v>
                </c:pt>
                <c:pt idx="4412">
                  <c:v>318.67810800025973</c:v>
                </c:pt>
                <c:pt idx="4413">
                  <c:v>318.80832451206487</c:v>
                </c:pt>
                <c:pt idx="4414">
                  <c:v>318.86056877224246</c:v>
                </c:pt>
                <c:pt idx="4415">
                  <c:v>318.93961305258921</c:v>
                </c:pt>
                <c:pt idx="4416">
                  <c:v>319.05563445643008</c:v>
                </c:pt>
                <c:pt idx="4417">
                  <c:v>319.12084577999883</c:v>
                </c:pt>
                <c:pt idx="4418">
                  <c:v>319.25320914168924</c:v>
                </c:pt>
                <c:pt idx="4419">
                  <c:v>319.2839254336277</c:v>
                </c:pt>
                <c:pt idx="4420">
                  <c:v>319.34821771081317</c:v>
                </c:pt>
                <c:pt idx="4421">
                  <c:v>319.88300952401551</c:v>
                </c:pt>
                <c:pt idx="4422">
                  <c:v>319.97160001974305</c:v>
                </c:pt>
                <c:pt idx="4423">
                  <c:v>319.97176270904424</c:v>
                </c:pt>
                <c:pt idx="4424">
                  <c:v>320.01042155238417</c:v>
                </c:pt>
                <c:pt idx="4425">
                  <c:v>320.23179818431538</c:v>
                </c:pt>
                <c:pt idx="4426">
                  <c:v>321.08248299326112</c:v>
                </c:pt>
                <c:pt idx="4427">
                  <c:v>321.1022896962059</c:v>
                </c:pt>
                <c:pt idx="4428">
                  <c:v>321.1290789732106</c:v>
                </c:pt>
                <c:pt idx="4429">
                  <c:v>321.51657023872735</c:v>
                </c:pt>
                <c:pt idx="4430">
                  <c:v>321.62802840194865</c:v>
                </c:pt>
                <c:pt idx="4431">
                  <c:v>321.84346393455877</c:v>
                </c:pt>
                <c:pt idx="4432">
                  <c:v>321.88913362347262</c:v>
                </c:pt>
                <c:pt idx="4433">
                  <c:v>322.06220847205179</c:v>
                </c:pt>
                <c:pt idx="4434">
                  <c:v>322.231394803787</c:v>
                </c:pt>
                <c:pt idx="4435">
                  <c:v>322.78559228539717</c:v>
                </c:pt>
                <c:pt idx="4436">
                  <c:v>322.85995683223547</c:v>
                </c:pt>
                <c:pt idx="4437">
                  <c:v>323.21623746259445</c:v>
                </c:pt>
                <c:pt idx="4438">
                  <c:v>323.26277538559435</c:v>
                </c:pt>
                <c:pt idx="4439">
                  <c:v>323.35624064888106</c:v>
                </c:pt>
                <c:pt idx="4440">
                  <c:v>323.50392283548473</c:v>
                </c:pt>
                <c:pt idx="4441">
                  <c:v>323.68623769766214</c:v>
                </c:pt>
                <c:pt idx="4442">
                  <c:v>323.8733586561433</c:v>
                </c:pt>
                <c:pt idx="4443">
                  <c:v>323.9283917497155</c:v>
                </c:pt>
                <c:pt idx="4444">
                  <c:v>324.01302118893318</c:v>
                </c:pt>
                <c:pt idx="4445">
                  <c:v>324.01551086317522</c:v>
                </c:pt>
                <c:pt idx="4446">
                  <c:v>324.03727111160879</c:v>
                </c:pt>
                <c:pt idx="4447">
                  <c:v>324.07914685168276</c:v>
                </c:pt>
                <c:pt idx="4448">
                  <c:v>324.12819842001977</c:v>
                </c:pt>
                <c:pt idx="4449">
                  <c:v>324.18559361052121</c:v>
                </c:pt>
                <c:pt idx="4450">
                  <c:v>324.31204471421893</c:v>
                </c:pt>
                <c:pt idx="4451">
                  <c:v>324.41283202910438</c:v>
                </c:pt>
                <c:pt idx="4452">
                  <c:v>324.52577999481537</c:v>
                </c:pt>
                <c:pt idx="4453">
                  <c:v>324.55116702410407</c:v>
                </c:pt>
                <c:pt idx="4454">
                  <c:v>324.61987427979028</c:v>
                </c:pt>
                <c:pt idx="4455">
                  <c:v>324.73293031261164</c:v>
                </c:pt>
                <c:pt idx="4456">
                  <c:v>324.90039743019008</c:v>
                </c:pt>
                <c:pt idx="4457">
                  <c:v>325.02682082898275</c:v>
                </c:pt>
                <c:pt idx="4458">
                  <c:v>325.10460086571368</c:v>
                </c:pt>
                <c:pt idx="4459">
                  <c:v>325.11769989657353</c:v>
                </c:pt>
                <c:pt idx="4460">
                  <c:v>325.14299886365404</c:v>
                </c:pt>
                <c:pt idx="4461">
                  <c:v>325.18702431573467</c:v>
                </c:pt>
                <c:pt idx="4462">
                  <c:v>325.33551371394896</c:v>
                </c:pt>
                <c:pt idx="4463">
                  <c:v>325.37359065862842</c:v>
                </c:pt>
                <c:pt idx="4464">
                  <c:v>325.37673293541843</c:v>
                </c:pt>
                <c:pt idx="4465">
                  <c:v>325.45135414275933</c:v>
                </c:pt>
                <c:pt idx="4466">
                  <c:v>325.45863196300877</c:v>
                </c:pt>
                <c:pt idx="4467">
                  <c:v>325.59401805194079</c:v>
                </c:pt>
                <c:pt idx="4468">
                  <c:v>325.72289987113811</c:v>
                </c:pt>
                <c:pt idx="4469">
                  <c:v>325.76191161257054</c:v>
                </c:pt>
                <c:pt idx="4470">
                  <c:v>325.7819768310174</c:v>
                </c:pt>
                <c:pt idx="4471">
                  <c:v>325.90560001822109</c:v>
                </c:pt>
                <c:pt idx="4472">
                  <c:v>325.94560466975338</c:v>
                </c:pt>
                <c:pt idx="4473">
                  <c:v>326.14383070116014</c:v>
                </c:pt>
                <c:pt idx="4474">
                  <c:v>326.34700259271244</c:v>
                </c:pt>
                <c:pt idx="4475">
                  <c:v>326.47876085625671</c:v>
                </c:pt>
                <c:pt idx="4476">
                  <c:v>326.75386499775345</c:v>
                </c:pt>
                <c:pt idx="4477">
                  <c:v>326.75402981982205</c:v>
                </c:pt>
                <c:pt idx="4478">
                  <c:v>326.93402168223258</c:v>
                </c:pt>
                <c:pt idx="4479">
                  <c:v>326.96970291074228</c:v>
                </c:pt>
                <c:pt idx="4480">
                  <c:v>327.01965607011715</c:v>
                </c:pt>
                <c:pt idx="4481">
                  <c:v>327.42131371652295</c:v>
                </c:pt>
                <c:pt idx="4482">
                  <c:v>327.57740870435833</c:v>
                </c:pt>
                <c:pt idx="4483">
                  <c:v>327.62080896275245</c:v>
                </c:pt>
                <c:pt idx="4484">
                  <c:v>327.72905661138032</c:v>
                </c:pt>
                <c:pt idx="4485">
                  <c:v>327.74356149796154</c:v>
                </c:pt>
                <c:pt idx="4486">
                  <c:v>327.98366971692536</c:v>
                </c:pt>
                <c:pt idx="4487">
                  <c:v>328.03724289063121</c:v>
                </c:pt>
                <c:pt idx="4488">
                  <c:v>328.12266146297867</c:v>
                </c:pt>
                <c:pt idx="4489">
                  <c:v>328.29875073128284</c:v>
                </c:pt>
                <c:pt idx="4490">
                  <c:v>328.31133028507702</c:v>
                </c:pt>
                <c:pt idx="4491">
                  <c:v>328.51954937837411</c:v>
                </c:pt>
                <c:pt idx="4492">
                  <c:v>328.59480347506218</c:v>
                </c:pt>
                <c:pt idx="4493">
                  <c:v>328.59655343828206</c:v>
                </c:pt>
                <c:pt idx="4494">
                  <c:v>328.61056116515238</c:v>
                </c:pt>
                <c:pt idx="4495">
                  <c:v>328.63127066638145</c:v>
                </c:pt>
                <c:pt idx="4496">
                  <c:v>329.0194605725103</c:v>
                </c:pt>
                <c:pt idx="4497">
                  <c:v>329.10179834837254</c:v>
                </c:pt>
                <c:pt idx="4498">
                  <c:v>329.14296816694338</c:v>
                </c:pt>
                <c:pt idx="4499">
                  <c:v>329.34673980650393</c:v>
                </c:pt>
                <c:pt idx="4500">
                  <c:v>329.38778693138863</c:v>
                </c:pt>
                <c:pt idx="4501">
                  <c:v>329.47532523492936</c:v>
                </c:pt>
                <c:pt idx="4502">
                  <c:v>329.60579525570637</c:v>
                </c:pt>
                <c:pt idx="4503">
                  <c:v>329.65085923427125</c:v>
                </c:pt>
                <c:pt idx="4504">
                  <c:v>329.79241363126994</c:v>
                </c:pt>
                <c:pt idx="4505">
                  <c:v>329.83014160818891</c:v>
                </c:pt>
                <c:pt idx="4506">
                  <c:v>329.84947527816325</c:v>
                </c:pt>
                <c:pt idx="4507">
                  <c:v>329.86110787429322</c:v>
                </c:pt>
                <c:pt idx="4508">
                  <c:v>329.96862126914618</c:v>
                </c:pt>
                <c:pt idx="4509">
                  <c:v>330.02828379813013</c:v>
                </c:pt>
                <c:pt idx="4510">
                  <c:v>330.27491404279704</c:v>
                </c:pt>
                <c:pt idx="4511">
                  <c:v>330.31818901914824</c:v>
                </c:pt>
                <c:pt idx="4512">
                  <c:v>330.48667093768279</c:v>
                </c:pt>
                <c:pt idx="4513">
                  <c:v>330.52201575439653</c:v>
                </c:pt>
                <c:pt idx="4514">
                  <c:v>330.97313531809516</c:v>
                </c:pt>
                <c:pt idx="4515">
                  <c:v>330.99223492665453</c:v>
                </c:pt>
                <c:pt idx="4516">
                  <c:v>331.0694678690752</c:v>
                </c:pt>
                <c:pt idx="4517">
                  <c:v>331.09033253924042</c:v>
                </c:pt>
                <c:pt idx="4518">
                  <c:v>331.19326147140634</c:v>
                </c:pt>
                <c:pt idx="4519">
                  <c:v>331.25705981250076</c:v>
                </c:pt>
                <c:pt idx="4520">
                  <c:v>331.45673962197532</c:v>
                </c:pt>
                <c:pt idx="4521">
                  <c:v>331.48295781279046</c:v>
                </c:pt>
                <c:pt idx="4522">
                  <c:v>331.62331532289579</c:v>
                </c:pt>
                <c:pt idx="4523">
                  <c:v>331.88012738606415</c:v>
                </c:pt>
                <c:pt idx="4524">
                  <c:v>331.94808792048843</c:v>
                </c:pt>
                <c:pt idx="4525">
                  <c:v>332.14468819537615</c:v>
                </c:pt>
                <c:pt idx="4526">
                  <c:v>332.29513247487046</c:v>
                </c:pt>
                <c:pt idx="4527">
                  <c:v>332.31719570300385</c:v>
                </c:pt>
                <c:pt idx="4528">
                  <c:v>332.48799179236062</c:v>
                </c:pt>
                <c:pt idx="4529">
                  <c:v>332.51296763722655</c:v>
                </c:pt>
                <c:pt idx="4530">
                  <c:v>332.57536077796385</c:v>
                </c:pt>
                <c:pt idx="4531">
                  <c:v>332.68303890067239</c:v>
                </c:pt>
                <c:pt idx="4532">
                  <c:v>332.85287750171528</c:v>
                </c:pt>
                <c:pt idx="4533">
                  <c:v>333.01277665806776</c:v>
                </c:pt>
                <c:pt idx="4534">
                  <c:v>333.06166241910495</c:v>
                </c:pt>
                <c:pt idx="4535">
                  <c:v>333.25042529323349</c:v>
                </c:pt>
                <c:pt idx="4536">
                  <c:v>333.49803403802821</c:v>
                </c:pt>
                <c:pt idx="4537">
                  <c:v>333.5127651015938</c:v>
                </c:pt>
                <c:pt idx="4538">
                  <c:v>333.54550527725996</c:v>
                </c:pt>
                <c:pt idx="4539">
                  <c:v>333.56531721131535</c:v>
                </c:pt>
                <c:pt idx="4540">
                  <c:v>333.59550793136475</c:v>
                </c:pt>
                <c:pt idx="4541">
                  <c:v>333.68805770693012</c:v>
                </c:pt>
                <c:pt idx="4542">
                  <c:v>333.84430066389581</c:v>
                </c:pt>
                <c:pt idx="4543">
                  <c:v>333.99094301977948</c:v>
                </c:pt>
                <c:pt idx="4544">
                  <c:v>334.01938301979283</c:v>
                </c:pt>
                <c:pt idx="4545">
                  <c:v>334.08033555734352</c:v>
                </c:pt>
                <c:pt idx="4546">
                  <c:v>334.09821437302594</c:v>
                </c:pt>
                <c:pt idx="4547">
                  <c:v>334.3310911999464</c:v>
                </c:pt>
                <c:pt idx="4548">
                  <c:v>334.33828773073918</c:v>
                </c:pt>
                <c:pt idx="4549">
                  <c:v>334.37251352826007</c:v>
                </c:pt>
                <c:pt idx="4550">
                  <c:v>334.46051805902766</c:v>
                </c:pt>
                <c:pt idx="4551">
                  <c:v>334.53194618314751</c:v>
                </c:pt>
                <c:pt idx="4552">
                  <c:v>334.61226188349553</c:v>
                </c:pt>
                <c:pt idx="4553">
                  <c:v>334.68694192199007</c:v>
                </c:pt>
                <c:pt idx="4554">
                  <c:v>334.93253433604616</c:v>
                </c:pt>
                <c:pt idx="4555">
                  <c:v>334.98495883951148</c:v>
                </c:pt>
                <c:pt idx="4556">
                  <c:v>335.14472310059875</c:v>
                </c:pt>
                <c:pt idx="4557">
                  <c:v>335.14793516682698</c:v>
                </c:pt>
                <c:pt idx="4558">
                  <c:v>335.2549049859424</c:v>
                </c:pt>
                <c:pt idx="4559">
                  <c:v>335.7090677042612</c:v>
                </c:pt>
                <c:pt idx="4560">
                  <c:v>335.71223617844146</c:v>
                </c:pt>
                <c:pt idx="4561">
                  <c:v>335.93420258477806</c:v>
                </c:pt>
                <c:pt idx="4562">
                  <c:v>336.12735172698694</c:v>
                </c:pt>
                <c:pt idx="4563">
                  <c:v>336.1975978101313</c:v>
                </c:pt>
                <c:pt idx="4564">
                  <c:v>336.5429929141709</c:v>
                </c:pt>
                <c:pt idx="4565">
                  <c:v>336.63668837759138</c:v>
                </c:pt>
                <c:pt idx="4566">
                  <c:v>336.78041477840145</c:v>
                </c:pt>
                <c:pt idx="4567">
                  <c:v>337.15514099723021</c:v>
                </c:pt>
                <c:pt idx="4568">
                  <c:v>337.17991148777344</c:v>
                </c:pt>
                <c:pt idx="4569">
                  <c:v>337.61114431921357</c:v>
                </c:pt>
                <c:pt idx="4570">
                  <c:v>337.68534730343652</c:v>
                </c:pt>
                <c:pt idx="4571">
                  <c:v>338.09436598583261</c:v>
                </c:pt>
                <c:pt idx="4572">
                  <c:v>338.14348627040408</c:v>
                </c:pt>
                <c:pt idx="4573">
                  <c:v>338.24993735539465</c:v>
                </c:pt>
                <c:pt idx="4574">
                  <c:v>338.37347529708211</c:v>
                </c:pt>
                <c:pt idx="4575">
                  <c:v>338.46650844136514</c:v>
                </c:pt>
                <c:pt idx="4576">
                  <c:v>338.52220751687668</c:v>
                </c:pt>
                <c:pt idx="4577">
                  <c:v>338.82083894760149</c:v>
                </c:pt>
                <c:pt idx="4578">
                  <c:v>338.94775772624951</c:v>
                </c:pt>
                <c:pt idx="4579">
                  <c:v>338.99372440276841</c:v>
                </c:pt>
                <c:pt idx="4580">
                  <c:v>339.59547427651739</c:v>
                </c:pt>
                <c:pt idx="4581">
                  <c:v>339.62188987814454</c:v>
                </c:pt>
                <c:pt idx="4582">
                  <c:v>339.63385703802851</c:v>
                </c:pt>
                <c:pt idx="4583">
                  <c:v>339.75755191178473</c:v>
                </c:pt>
                <c:pt idx="4584">
                  <c:v>339.77967439261352</c:v>
                </c:pt>
                <c:pt idx="4585">
                  <c:v>339.83263057877889</c:v>
                </c:pt>
                <c:pt idx="4586">
                  <c:v>339.88013841705987</c:v>
                </c:pt>
                <c:pt idx="4587">
                  <c:v>339.97857394929076</c:v>
                </c:pt>
                <c:pt idx="4588">
                  <c:v>340.02534593383797</c:v>
                </c:pt>
                <c:pt idx="4589">
                  <c:v>340.07363434241688</c:v>
                </c:pt>
                <c:pt idx="4590">
                  <c:v>340.19616749262252</c:v>
                </c:pt>
                <c:pt idx="4591">
                  <c:v>340.25498071805225</c:v>
                </c:pt>
                <c:pt idx="4592">
                  <c:v>340.7155254022797</c:v>
                </c:pt>
                <c:pt idx="4593">
                  <c:v>341.38124984177847</c:v>
                </c:pt>
                <c:pt idx="4594">
                  <c:v>341.46438967528593</c:v>
                </c:pt>
                <c:pt idx="4595">
                  <c:v>341.51716642449617</c:v>
                </c:pt>
                <c:pt idx="4596">
                  <c:v>341.74391704314542</c:v>
                </c:pt>
                <c:pt idx="4597">
                  <c:v>341.99166598628403</c:v>
                </c:pt>
                <c:pt idx="4598">
                  <c:v>341.99336060432302</c:v>
                </c:pt>
                <c:pt idx="4599">
                  <c:v>342.00260785705825</c:v>
                </c:pt>
                <c:pt idx="4600">
                  <c:v>342.03032125437159</c:v>
                </c:pt>
                <c:pt idx="4601">
                  <c:v>342.10407580313966</c:v>
                </c:pt>
                <c:pt idx="4602">
                  <c:v>342.14863194642339</c:v>
                </c:pt>
                <c:pt idx="4603">
                  <c:v>342.15586254687759</c:v>
                </c:pt>
                <c:pt idx="4604">
                  <c:v>342.40696338413227</c:v>
                </c:pt>
                <c:pt idx="4605">
                  <c:v>342.46085677265046</c:v>
                </c:pt>
                <c:pt idx="4606">
                  <c:v>342.59264668336402</c:v>
                </c:pt>
                <c:pt idx="4607">
                  <c:v>343.20516358444456</c:v>
                </c:pt>
                <c:pt idx="4608">
                  <c:v>343.39146871860015</c:v>
                </c:pt>
                <c:pt idx="4609">
                  <c:v>343.41605084003334</c:v>
                </c:pt>
                <c:pt idx="4610">
                  <c:v>343.5859372165018</c:v>
                </c:pt>
                <c:pt idx="4611">
                  <c:v>343.84849677022578</c:v>
                </c:pt>
                <c:pt idx="4612">
                  <c:v>343.88441956035774</c:v>
                </c:pt>
                <c:pt idx="4613">
                  <c:v>343.89659798366449</c:v>
                </c:pt>
                <c:pt idx="4614">
                  <c:v>343.90138151371104</c:v>
                </c:pt>
                <c:pt idx="4615">
                  <c:v>344.10183978328325</c:v>
                </c:pt>
                <c:pt idx="4616">
                  <c:v>344.1643028004047</c:v>
                </c:pt>
                <c:pt idx="4617">
                  <c:v>344.21274683976458</c:v>
                </c:pt>
                <c:pt idx="4618">
                  <c:v>344.44474775748006</c:v>
                </c:pt>
                <c:pt idx="4619">
                  <c:v>344.80403926000827</c:v>
                </c:pt>
                <c:pt idx="4620">
                  <c:v>344.98966061796534</c:v>
                </c:pt>
                <c:pt idx="4621">
                  <c:v>345.09843172631014</c:v>
                </c:pt>
                <c:pt idx="4622">
                  <c:v>345.16132822621944</c:v>
                </c:pt>
                <c:pt idx="4623">
                  <c:v>345.2719642098192</c:v>
                </c:pt>
                <c:pt idx="4624">
                  <c:v>345.34036824864313</c:v>
                </c:pt>
                <c:pt idx="4625">
                  <c:v>345.90578631849399</c:v>
                </c:pt>
                <c:pt idx="4626">
                  <c:v>346.01143104457827</c:v>
                </c:pt>
                <c:pt idx="4627">
                  <c:v>346.02213978594307</c:v>
                </c:pt>
                <c:pt idx="4628">
                  <c:v>346.02684705524121</c:v>
                </c:pt>
                <c:pt idx="4629">
                  <c:v>346.50944285222579</c:v>
                </c:pt>
                <c:pt idx="4630">
                  <c:v>346.86480527827638</c:v>
                </c:pt>
                <c:pt idx="4631">
                  <c:v>347.43513552004424</c:v>
                </c:pt>
                <c:pt idx="4632">
                  <c:v>347.73174002337726</c:v>
                </c:pt>
                <c:pt idx="4633">
                  <c:v>347.94683936847105</c:v>
                </c:pt>
                <c:pt idx="4634">
                  <c:v>348.32731889252034</c:v>
                </c:pt>
                <c:pt idx="4635">
                  <c:v>348.50711724946939</c:v>
                </c:pt>
                <c:pt idx="4636">
                  <c:v>348.58975523038418</c:v>
                </c:pt>
                <c:pt idx="4637">
                  <c:v>348.60102070644507</c:v>
                </c:pt>
                <c:pt idx="4638">
                  <c:v>348.75058880501638</c:v>
                </c:pt>
                <c:pt idx="4639">
                  <c:v>348.80770570103294</c:v>
                </c:pt>
                <c:pt idx="4640">
                  <c:v>348.8108708308207</c:v>
                </c:pt>
                <c:pt idx="4641">
                  <c:v>348.92554893536794</c:v>
                </c:pt>
                <c:pt idx="4642">
                  <c:v>349.05524054978292</c:v>
                </c:pt>
                <c:pt idx="4643">
                  <c:v>349.16703049243057</c:v>
                </c:pt>
                <c:pt idx="4644">
                  <c:v>349.21727228084603</c:v>
                </c:pt>
                <c:pt idx="4645">
                  <c:v>349.25917677586057</c:v>
                </c:pt>
                <c:pt idx="4646">
                  <c:v>349.64090148070312</c:v>
                </c:pt>
                <c:pt idx="4647">
                  <c:v>349.64808509780937</c:v>
                </c:pt>
                <c:pt idx="4648">
                  <c:v>350.08834805596041</c:v>
                </c:pt>
                <c:pt idx="4649">
                  <c:v>350.12887457542047</c:v>
                </c:pt>
                <c:pt idx="4650">
                  <c:v>350.28755244922587</c:v>
                </c:pt>
                <c:pt idx="4651">
                  <c:v>350.62361009815004</c:v>
                </c:pt>
                <c:pt idx="4652">
                  <c:v>351.05032118257748</c:v>
                </c:pt>
                <c:pt idx="4653">
                  <c:v>351.07471309320317</c:v>
                </c:pt>
                <c:pt idx="4654">
                  <c:v>351.0842782085486</c:v>
                </c:pt>
                <c:pt idx="4655">
                  <c:v>351.45319975604633</c:v>
                </c:pt>
                <c:pt idx="4656">
                  <c:v>351.67993586344357</c:v>
                </c:pt>
                <c:pt idx="4657">
                  <c:v>351.68441946395006</c:v>
                </c:pt>
                <c:pt idx="4658">
                  <c:v>351.82217770868306</c:v>
                </c:pt>
                <c:pt idx="4659">
                  <c:v>352.67596405168365</c:v>
                </c:pt>
                <c:pt idx="4660">
                  <c:v>353.07532466690054</c:v>
                </c:pt>
                <c:pt idx="4661">
                  <c:v>353.11155448160105</c:v>
                </c:pt>
                <c:pt idx="4662">
                  <c:v>353.23827370542006</c:v>
                </c:pt>
                <c:pt idx="4663">
                  <c:v>353.53886528389279</c:v>
                </c:pt>
                <c:pt idx="4664">
                  <c:v>353.61135674507693</c:v>
                </c:pt>
                <c:pt idx="4665">
                  <c:v>353.7569964145614</c:v>
                </c:pt>
                <c:pt idx="4666">
                  <c:v>353.80826327594724</c:v>
                </c:pt>
                <c:pt idx="4667">
                  <c:v>353.91452683570958</c:v>
                </c:pt>
                <c:pt idx="4668">
                  <c:v>354.27492134589841</c:v>
                </c:pt>
                <c:pt idx="4669">
                  <c:v>354.43206617166669</c:v>
                </c:pt>
                <c:pt idx="4670">
                  <c:v>354.55576075839053</c:v>
                </c:pt>
                <c:pt idx="4671">
                  <c:v>354.85556829009147</c:v>
                </c:pt>
                <c:pt idx="4672">
                  <c:v>354.9108680992689</c:v>
                </c:pt>
                <c:pt idx="4673">
                  <c:v>354.93356797396933</c:v>
                </c:pt>
                <c:pt idx="4674">
                  <c:v>355.0770321445392</c:v>
                </c:pt>
                <c:pt idx="4675">
                  <c:v>355.1312341389156</c:v>
                </c:pt>
                <c:pt idx="4676">
                  <c:v>355.19996506330875</c:v>
                </c:pt>
                <c:pt idx="4677">
                  <c:v>355.23879590823867</c:v>
                </c:pt>
                <c:pt idx="4678">
                  <c:v>355.35425617178322</c:v>
                </c:pt>
                <c:pt idx="4679">
                  <c:v>355.43585566386946</c:v>
                </c:pt>
                <c:pt idx="4680">
                  <c:v>355.52094979693931</c:v>
                </c:pt>
                <c:pt idx="4681">
                  <c:v>356.0377573266062</c:v>
                </c:pt>
                <c:pt idx="4682">
                  <c:v>356.37414016670675</c:v>
                </c:pt>
                <c:pt idx="4683">
                  <c:v>357.06564550807076</c:v>
                </c:pt>
                <c:pt idx="4684">
                  <c:v>357.06903008381107</c:v>
                </c:pt>
                <c:pt idx="4685">
                  <c:v>357.26815543709893</c:v>
                </c:pt>
                <c:pt idx="4686">
                  <c:v>357.59121905797201</c:v>
                </c:pt>
                <c:pt idx="4687">
                  <c:v>357.81289291498024</c:v>
                </c:pt>
                <c:pt idx="4688">
                  <c:v>357.94169055458548</c:v>
                </c:pt>
                <c:pt idx="4689">
                  <c:v>357.98227130377001</c:v>
                </c:pt>
                <c:pt idx="4690">
                  <c:v>358.0650678700456</c:v>
                </c:pt>
                <c:pt idx="4691">
                  <c:v>358.23425256355472</c:v>
                </c:pt>
                <c:pt idx="4692">
                  <c:v>358.61647476264363</c:v>
                </c:pt>
                <c:pt idx="4693">
                  <c:v>358.67609359039989</c:v>
                </c:pt>
                <c:pt idx="4694">
                  <c:v>359.05027610810896</c:v>
                </c:pt>
                <c:pt idx="4695">
                  <c:v>359.08589787176487</c:v>
                </c:pt>
                <c:pt idx="4696">
                  <c:v>359.15580182798783</c:v>
                </c:pt>
                <c:pt idx="4697">
                  <c:v>359.5501112161615</c:v>
                </c:pt>
                <c:pt idx="4698">
                  <c:v>359.66189995503237</c:v>
                </c:pt>
                <c:pt idx="4699">
                  <c:v>359.68048823840309</c:v>
                </c:pt>
                <c:pt idx="4700">
                  <c:v>359.69875902904596</c:v>
                </c:pt>
                <c:pt idx="4701">
                  <c:v>359.9115476064913</c:v>
                </c:pt>
                <c:pt idx="4702">
                  <c:v>360.03301115185536</c:v>
                </c:pt>
                <c:pt idx="4703">
                  <c:v>360.2326362660159</c:v>
                </c:pt>
                <c:pt idx="4704">
                  <c:v>360.28872495864653</c:v>
                </c:pt>
                <c:pt idx="4705">
                  <c:v>360.80953839038096</c:v>
                </c:pt>
                <c:pt idx="4706">
                  <c:v>361.01206625907707</c:v>
                </c:pt>
                <c:pt idx="4707">
                  <c:v>361.02258040777332</c:v>
                </c:pt>
                <c:pt idx="4708">
                  <c:v>361.04975998387272</c:v>
                </c:pt>
                <c:pt idx="4709">
                  <c:v>361.08702928209334</c:v>
                </c:pt>
                <c:pt idx="4710">
                  <c:v>361.57423811431738</c:v>
                </c:pt>
                <c:pt idx="4711">
                  <c:v>361.61960942042992</c:v>
                </c:pt>
                <c:pt idx="4712">
                  <c:v>362.35574451058437</c:v>
                </c:pt>
                <c:pt idx="4713">
                  <c:v>362.48811552173873</c:v>
                </c:pt>
                <c:pt idx="4714">
                  <c:v>362.56627213405102</c:v>
                </c:pt>
                <c:pt idx="4715">
                  <c:v>362.69629439440598</c:v>
                </c:pt>
                <c:pt idx="4716">
                  <c:v>362.76783184124531</c:v>
                </c:pt>
                <c:pt idx="4717">
                  <c:v>362.84386977510644</c:v>
                </c:pt>
                <c:pt idx="4718">
                  <c:v>362.99913839748967</c:v>
                </c:pt>
                <c:pt idx="4719">
                  <c:v>363.21595606517019</c:v>
                </c:pt>
                <c:pt idx="4720">
                  <c:v>363.27106158458423</c:v>
                </c:pt>
                <c:pt idx="4721">
                  <c:v>363.27318900414264</c:v>
                </c:pt>
                <c:pt idx="4722">
                  <c:v>363.52247336591483</c:v>
                </c:pt>
                <c:pt idx="4723">
                  <c:v>363.5878224286846</c:v>
                </c:pt>
                <c:pt idx="4724">
                  <c:v>363.72452302021884</c:v>
                </c:pt>
                <c:pt idx="4725">
                  <c:v>364.54404694834875</c:v>
                </c:pt>
                <c:pt idx="4726">
                  <c:v>364.5560363264035</c:v>
                </c:pt>
                <c:pt idx="4727">
                  <c:v>364.84417213634799</c:v>
                </c:pt>
                <c:pt idx="4728">
                  <c:v>364.84625967349871</c:v>
                </c:pt>
                <c:pt idx="4729">
                  <c:v>365.2982661421911</c:v>
                </c:pt>
                <c:pt idx="4730">
                  <c:v>365.41533761835603</c:v>
                </c:pt>
                <c:pt idx="4731">
                  <c:v>366.2853987635508</c:v>
                </c:pt>
                <c:pt idx="4732">
                  <c:v>366.4404403367048</c:v>
                </c:pt>
                <c:pt idx="4733">
                  <c:v>366.67044366563721</c:v>
                </c:pt>
                <c:pt idx="4734">
                  <c:v>366.79869402377813</c:v>
                </c:pt>
                <c:pt idx="4735">
                  <c:v>366.82175358694968</c:v>
                </c:pt>
                <c:pt idx="4736">
                  <c:v>366.88671703660685</c:v>
                </c:pt>
                <c:pt idx="4737">
                  <c:v>367.1063385738729</c:v>
                </c:pt>
                <c:pt idx="4738">
                  <c:v>367.36170214232072</c:v>
                </c:pt>
                <c:pt idx="4739">
                  <c:v>367.47739471326031</c:v>
                </c:pt>
                <c:pt idx="4740">
                  <c:v>367.64497034016625</c:v>
                </c:pt>
                <c:pt idx="4741">
                  <c:v>367.71863723361548</c:v>
                </c:pt>
                <c:pt idx="4742">
                  <c:v>367.72713874548589</c:v>
                </c:pt>
                <c:pt idx="4743">
                  <c:v>367.89856595352086</c:v>
                </c:pt>
                <c:pt idx="4744">
                  <c:v>368.28711484459092</c:v>
                </c:pt>
                <c:pt idx="4745">
                  <c:v>368.40622794993595</c:v>
                </c:pt>
                <c:pt idx="4746">
                  <c:v>368.41832271505177</c:v>
                </c:pt>
                <c:pt idx="4747">
                  <c:v>368.75145231241527</c:v>
                </c:pt>
                <c:pt idx="4748">
                  <c:v>368.91458160604031</c:v>
                </c:pt>
                <c:pt idx="4749">
                  <c:v>369.14905577072284</c:v>
                </c:pt>
                <c:pt idx="4750">
                  <c:v>369.35656682122647</c:v>
                </c:pt>
                <c:pt idx="4751">
                  <c:v>369.56851331582175</c:v>
                </c:pt>
                <c:pt idx="4752">
                  <c:v>369.60581449423034</c:v>
                </c:pt>
                <c:pt idx="4753">
                  <c:v>370.22898444033325</c:v>
                </c:pt>
                <c:pt idx="4754">
                  <c:v>370.67207937099823</c:v>
                </c:pt>
                <c:pt idx="4755">
                  <c:v>370.81855480222805</c:v>
                </c:pt>
                <c:pt idx="4756">
                  <c:v>370.90133305676807</c:v>
                </c:pt>
                <c:pt idx="4757">
                  <c:v>371.00545648942096</c:v>
                </c:pt>
                <c:pt idx="4758">
                  <c:v>371.10622847538639</c:v>
                </c:pt>
                <c:pt idx="4759">
                  <c:v>371.63648417962406</c:v>
                </c:pt>
                <c:pt idx="4760">
                  <c:v>371.88322660941071</c:v>
                </c:pt>
                <c:pt idx="4761">
                  <c:v>372.05178791673274</c:v>
                </c:pt>
                <c:pt idx="4762">
                  <c:v>372.14573051805149</c:v>
                </c:pt>
                <c:pt idx="4763">
                  <c:v>372.16993529726346</c:v>
                </c:pt>
                <c:pt idx="4764">
                  <c:v>372.64259861633525</c:v>
                </c:pt>
                <c:pt idx="4765">
                  <c:v>372.78732749525307</c:v>
                </c:pt>
                <c:pt idx="4766">
                  <c:v>372.83030622768968</c:v>
                </c:pt>
                <c:pt idx="4767">
                  <c:v>373.26040630205688</c:v>
                </c:pt>
                <c:pt idx="4768">
                  <c:v>373.40225527050336</c:v>
                </c:pt>
                <c:pt idx="4769">
                  <c:v>373.52045940035106</c:v>
                </c:pt>
                <c:pt idx="4770">
                  <c:v>373.64261440971859</c:v>
                </c:pt>
                <c:pt idx="4771">
                  <c:v>373.74514667190056</c:v>
                </c:pt>
                <c:pt idx="4772">
                  <c:v>373.83564563952461</c:v>
                </c:pt>
                <c:pt idx="4773">
                  <c:v>374.21454693832396</c:v>
                </c:pt>
                <c:pt idx="4774">
                  <c:v>374.21929180163079</c:v>
                </c:pt>
                <c:pt idx="4775">
                  <c:v>374.4409670703451</c:v>
                </c:pt>
                <c:pt idx="4776">
                  <c:v>374.58280849891679</c:v>
                </c:pt>
                <c:pt idx="4777">
                  <c:v>374.64734904746138</c:v>
                </c:pt>
                <c:pt idx="4778">
                  <c:v>375.26510821195359</c:v>
                </c:pt>
                <c:pt idx="4779">
                  <c:v>375.45960371644378</c:v>
                </c:pt>
                <c:pt idx="4780">
                  <c:v>375.78280469313364</c:v>
                </c:pt>
                <c:pt idx="4781">
                  <c:v>375.79845912154468</c:v>
                </c:pt>
                <c:pt idx="4782">
                  <c:v>375.86837231336</c:v>
                </c:pt>
                <c:pt idx="4783">
                  <c:v>376.03317590242852</c:v>
                </c:pt>
                <c:pt idx="4784">
                  <c:v>376.20760962524469</c:v>
                </c:pt>
                <c:pt idx="4785">
                  <c:v>376.26606204359598</c:v>
                </c:pt>
                <c:pt idx="4786">
                  <c:v>376.56212104469529</c:v>
                </c:pt>
                <c:pt idx="4787">
                  <c:v>376.67423541143012</c:v>
                </c:pt>
                <c:pt idx="4788">
                  <c:v>376.82192979347769</c:v>
                </c:pt>
                <c:pt idx="4789">
                  <c:v>376.95027546044673</c:v>
                </c:pt>
                <c:pt idx="4790">
                  <c:v>376.99977794416753</c:v>
                </c:pt>
                <c:pt idx="4791">
                  <c:v>377.03845175810625</c:v>
                </c:pt>
                <c:pt idx="4792">
                  <c:v>377.09869047192603</c:v>
                </c:pt>
                <c:pt idx="4793">
                  <c:v>377.36007444759952</c:v>
                </c:pt>
                <c:pt idx="4794">
                  <c:v>377.48509595251403</c:v>
                </c:pt>
                <c:pt idx="4795">
                  <c:v>377.51857699155062</c:v>
                </c:pt>
                <c:pt idx="4796">
                  <c:v>377.8767641537562</c:v>
                </c:pt>
                <c:pt idx="4797">
                  <c:v>377.92300216409353</c:v>
                </c:pt>
                <c:pt idx="4798">
                  <c:v>377.9439728591351</c:v>
                </c:pt>
                <c:pt idx="4799">
                  <c:v>378.3262559647826</c:v>
                </c:pt>
                <c:pt idx="4800">
                  <c:v>378.4423164713852</c:v>
                </c:pt>
                <c:pt idx="4801">
                  <c:v>378.70123851001722</c:v>
                </c:pt>
                <c:pt idx="4802">
                  <c:v>378.80392110158533</c:v>
                </c:pt>
                <c:pt idx="4803">
                  <c:v>379.0506930063458</c:v>
                </c:pt>
                <c:pt idx="4804">
                  <c:v>379.10777780144485</c:v>
                </c:pt>
                <c:pt idx="4805">
                  <c:v>379.28042209678949</c:v>
                </c:pt>
                <c:pt idx="4806">
                  <c:v>379.51070876831216</c:v>
                </c:pt>
                <c:pt idx="4807">
                  <c:v>379.51732093900978</c:v>
                </c:pt>
                <c:pt idx="4808">
                  <c:v>379.59742981081786</c:v>
                </c:pt>
                <c:pt idx="4809">
                  <c:v>380.35936863923837</c:v>
                </c:pt>
                <c:pt idx="4810">
                  <c:v>380.41268801300691</c:v>
                </c:pt>
                <c:pt idx="4811">
                  <c:v>380.45481728320556</c:v>
                </c:pt>
                <c:pt idx="4812">
                  <c:v>380.98882434334871</c:v>
                </c:pt>
                <c:pt idx="4813">
                  <c:v>381.18571570555468</c:v>
                </c:pt>
                <c:pt idx="4814">
                  <c:v>381.49686951181934</c:v>
                </c:pt>
                <c:pt idx="4815">
                  <c:v>381.51144573689737</c:v>
                </c:pt>
                <c:pt idx="4816">
                  <c:v>382.15826949504026</c:v>
                </c:pt>
                <c:pt idx="4817">
                  <c:v>382.56415103210793</c:v>
                </c:pt>
                <c:pt idx="4818">
                  <c:v>382.56526734878923</c:v>
                </c:pt>
                <c:pt idx="4819">
                  <c:v>382.74878676126434</c:v>
                </c:pt>
                <c:pt idx="4820">
                  <c:v>382.85641520847935</c:v>
                </c:pt>
                <c:pt idx="4821">
                  <c:v>382.8898218755354</c:v>
                </c:pt>
                <c:pt idx="4822">
                  <c:v>383.20086379939085</c:v>
                </c:pt>
                <c:pt idx="4823">
                  <c:v>383.22776179724883</c:v>
                </c:pt>
                <c:pt idx="4824">
                  <c:v>383.27483744061954</c:v>
                </c:pt>
                <c:pt idx="4825">
                  <c:v>384.0013198224305</c:v>
                </c:pt>
                <c:pt idx="4826">
                  <c:v>384.84665228608083</c:v>
                </c:pt>
                <c:pt idx="4827">
                  <c:v>384.85287715530922</c:v>
                </c:pt>
                <c:pt idx="4828">
                  <c:v>385.17342570954486</c:v>
                </c:pt>
                <c:pt idx="4829">
                  <c:v>385.31954894032867</c:v>
                </c:pt>
                <c:pt idx="4830">
                  <c:v>385.35181596676955</c:v>
                </c:pt>
                <c:pt idx="4831">
                  <c:v>385.50077573251178</c:v>
                </c:pt>
                <c:pt idx="4832">
                  <c:v>385.67863855754524</c:v>
                </c:pt>
                <c:pt idx="4833">
                  <c:v>385.83674468135894</c:v>
                </c:pt>
                <c:pt idx="4834">
                  <c:v>385.95173354190979</c:v>
                </c:pt>
                <c:pt idx="4835">
                  <c:v>386.2871564476718</c:v>
                </c:pt>
                <c:pt idx="4836">
                  <c:v>386.81280348695901</c:v>
                </c:pt>
                <c:pt idx="4837">
                  <c:v>386.97024004812215</c:v>
                </c:pt>
                <c:pt idx="4838">
                  <c:v>387.7607997059726</c:v>
                </c:pt>
                <c:pt idx="4839">
                  <c:v>389.01631616646978</c:v>
                </c:pt>
                <c:pt idx="4840">
                  <c:v>389.25126738675181</c:v>
                </c:pt>
                <c:pt idx="4841">
                  <c:v>389.36439369817009</c:v>
                </c:pt>
                <c:pt idx="4842">
                  <c:v>389.49022800841232</c:v>
                </c:pt>
                <c:pt idx="4843">
                  <c:v>389.80441435392333</c:v>
                </c:pt>
                <c:pt idx="4844">
                  <c:v>390.02946692053933</c:v>
                </c:pt>
                <c:pt idx="4845">
                  <c:v>390.45003193519869</c:v>
                </c:pt>
                <c:pt idx="4846">
                  <c:v>390.46779380617181</c:v>
                </c:pt>
                <c:pt idx="4847">
                  <c:v>390.51117667206597</c:v>
                </c:pt>
                <c:pt idx="4848">
                  <c:v>390.7337749824411</c:v>
                </c:pt>
                <c:pt idx="4849">
                  <c:v>391.27794304416864</c:v>
                </c:pt>
                <c:pt idx="4850">
                  <c:v>391.46319165954912</c:v>
                </c:pt>
                <c:pt idx="4851">
                  <c:v>391.61880780655912</c:v>
                </c:pt>
                <c:pt idx="4852">
                  <c:v>391.69774893009185</c:v>
                </c:pt>
                <c:pt idx="4853">
                  <c:v>391.91487022117451</c:v>
                </c:pt>
                <c:pt idx="4854">
                  <c:v>391.91751969112033</c:v>
                </c:pt>
                <c:pt idx="4855">
                  <c:v>392.09731634326454</c:v>
                </c:pt>
                <c:pt idx="4856">
                  <c:v>392.37353893312292</c:v>
                </c:pt>
                <c:pt idx="4857">
                  <c:v>392.41986054291431</c:v>
                </c:pt>
                <c:pt idx="4858">
                  <c:v>393.31546851020914</c:v>
                </c:pt>
                <c:pt idx="4859">
                  <c:v>393.36441408545755</c:v>
                </c:pt>
                <c:pt idx="4860">
                  <c:v>393.40652664152077</c:v>
                </c:pt>
                <c:pt idx="4861">
                  <c:v>394.10176544177904</c:v>
                </c:pt>
                <c:pt idx="4862">
                  <c:v>394.34544516323672</c:v>
                </c:pt>
                <c:pt idx="4863">
                  <c:v>394.89884870176797</c:v>
                </c:pt>
                <c:pt idx="4864">
                  <c:v>394.98044428237353</c:v>
                </c:pt>
                <c:pt idx="4865">
                  <c:v>395.03936151861956</c:v>
                </c:pt>
                <c:pt idx="4866">
                  <c:v>395.0932068755443</c:v>
                </c:pt>
                <c:pt idx="4867">
                  <c:v>395.11716266504538</c:v>
                </c:pt>
                <c:pt idx="4868">
                  <c:v>395.19049830002507</c:v>
                </c:pt>
                <c:pt idx="4869">
                  <c:v>395.78434480367832</c:v>
                </c:pt>
                <c:pt idx="4870">
                  <c:v>396.51706352566839</c:v>
                </c:pt>
                <c:pt idx="4871">
                  <c:v>396.57342454820514</c:v>
                </c:pt>
                <c:pt idx="4872">
                  <c:v>397.5083127515245</c:v>
                </c:pt>
                <c:pt idx="4873">
                  <c:v>397.67018764257227</c:v>
                </c:pt>
                <c:pt idx="4874">
                  <c:v>398.23045150076985</c:v>
                </c:pt>
                <c:pt idx="4875">
                  <c:v>398.25773238252305</c:v>
                </c:pt>
                <c:pt idx="4876">
                  <c:v>398.65444304384175</c:v>
                </c:pt>
                <c:pt idx="4877">
                  <c:v>398.76777057567392</c:v>
                </c:pt>
                <c:pt idx="4878">
                  <c:v>399.19810990565594</c:v>
                </c:pt>
                <c:pt idx="4879">
                  <c:v>399.41910919558029</c:v>
                </c:pt>
                <c:pt idx="4880">
                  <c:v>399.96540756350396</c:v>
                </c:pt>
                <c:pt idx="4881">
                  <c:v>400.12205507495401</c:v>
                </c:pt>
                <c:pt idx="4882">
                  <c:v>400.87790680733087</c:v>
                </c:pt>
                <c:pt idx="4883">
                  <c:v>401.22949461960496</c:v>
                </c:pt>
                <c:pt idx="4884">
                  <c:v>401.6090454310106</c:v>
                </c:pt>
                <c:pt idx="4885">
                  <c:v>402.80907278935695</c:v>
                </c:pt>
                <c:pt idx="4886">
                  <c:v>402.95576702967901</c:v>
                </c:pt>
                <c:pt idx="4887">
                  <c:v>403.21469225203356</c:v>
                </c:pt>
                <c:pt idx="4888">
                  <c:v>403.38940311883891</c:v>
                </c:pt>
                <c:pt idx="4889">
                  <c:v>403.60323490697829</c:v>
                </c:pt>
                <c:pt idx="4890">
                  <c:v>403.6860862657494</c:v>
                </c:pt>
                <c:pt idx="4891">
                  <c:v>403.78375197252126</c:v>
                </c:pt>
                <c:pt idx="4892">
                  <c:v>403.89061048067327</c:v>
                </c:pt>
                <c:pt idx="4893">
                  <c:v>405.10805545079029</c:v>
                </c:pt>
                <c:pt idx="4894">
                  <c:v>405.95555200105446</c:v>
                </c:pt>
                <c:pt idx="4895">
                  <c:v>405.9868340800723</c:v>
                </c:pt>
                <c:pt idx="4896">
                  <c:v>406.25383331254926</c:v>
                </c:pt>
                <c:pt idx="4897">
                  <c:v>406.55923283105483</c:v>
                </c:pt>
                <c:pt idx="4898">
                  <c:v>407.1175638900126</c:v>
                </c:pt>
                <c:pt idx="4899">
                  <c:v>407.61089365594739</c:v>
                </c:pt>
                <c:pt idx="4900">
                  <c:v>407.85728017499497</c:v>
                </c:pt>
                <c:pt idx="4901">
                  <c:v>407.92784202645964</c:v>
                </c:pt>
                <c:pt idx="4902">
                  <c:v>408.5202395364488</c:v>
                </c:pt>
                <c:pt idx="4903">
                  <c:v>409.11229682186649</c:v>
                </c:pt>
                <c:pt idx="4904">
                  <c:v>409.63963821981702</c:v>
                </c:pt>
                <c:pt idx="4905">
                  <c:v>410.10966902399116</c:v>
                </c:pt>
                <c:pt idx="4906">
                  <c:v>410.45671641150113</c:v>
                </c:pt>
                <c:pt idx="4907">
                  <c:v>411.23529531336806</c:v>
                </c:pt>
                <c:pt idx="4908">
                  <c:v>411.3799144872678</c:v>
                </c:pt>
                <c:pt idx="4909">
                  <c:v>411.46046628480553</c:v>
                </c:pt>
                <c:pt idx="4910">
                  <c:v>412.13884790195459</c:v>
                </c:pt>
                <c:pt idx="4911">
                  <c:v>412.2274831436103</c:v>
                </c:pt>
                <c:pt idx="4912">
                  <c:v>412.76949982474753</c:v>
                </c:pt>
                <c:pt idx="4913">
                  <c:v>412.83115098167821</c:v>
                </c:pt>
                <c:pt idx="4914">
                  <c:v>413.04467985659647</c:v>
                </c:pt>
                <c:pt idx="4915">
                  <c:v>413.24695400649119</c:v>
                </c:pt>
                <c:pt idx="4916">
                  <c:v>413.80367798447315</c:v>
                </c:pt>
                <c:pt idx="4917">
                  <c:v>414.17530139850402</c:v>
                </c:pt>
                <c:pt idx="4918">
                  <c:v>414.21646290087608</c:v>
                </c:pt>
                <c:pt idx="4919">
                  <c:v>414.29533006026782</c:v>
                </c:pt>
                <c:pt idx="4920">
                  <c:v>414.6663198225001</c:v>
                </c:pt>
                <c:pt idx="4921">
                  <c:v>415.01094208868722</c:v>
                </c:pt>
                <c:pt idx="4922">
                  <c:v>416.26186011818709</c:v>
                </c:pt>
                <c:pt idx="4923">
                  <c:v>416.41037854404215</c:v>
                </c:pt>
                <c:pt idx="4924">
                  <c:v>416.83659059785475</c:v>
                </c:pt>
                <c:pt idx="4925">
                  <c:v>417.17512676230763</c:v>
                </c:pt>
                <c:pt idx="4926">
                  <c:v>417.86926325808196</c:v>
                </c:pt>
                <c:pt idx="4927">
                  <c:v>418.05075168189853</c:v>
                </c:pt>
                <c:pt idx="4928">
                  <c:v>418.18778136357389</c:v>
                </c:pt>
                <c:pt idx="4929">
                  <c:v>418.89124070288443</c:v>
                </c:pt>
                <c:pt idx="4930">
                  <c:v>420.31727893366417</c:v>
                </c:pt>
                <c:pt idx="4931">
                  <c:v>421.59721691228589</c:v>
                </c:pt>
                <c:pt idx="4932">
                  <c:v>421.61402694362346</c:v>
                </c:pt>
                <c:pt idx="4933">
                  <c:v>422.50817800303435</c:v>
                </c:pt>
                <c:pt idx="4934">
                  <c:v>422.64082218821062</c:v>
                </c:pt>
                <c:pt idx="4935">
                  <c:v>422.90567201263741</c:v>
                </c:pt>
                <c:pt idx="4936">
                  <c:v>423.0059244489413</c:v>
                </c:pt>
                <c:pt idx="4937">
                  <c:v>423.15467084213208</c:v>
                </c:pt>
                <c:pt idx="4938">
                  <c:v>424.14926115347055</c:v>
                </c:pt>
                <c:pt idx="4939">
                  <c:v>424.80595235342548</c:v>
                </c:pt>
                <c:pt idx="4940">
                  <c:v>424.97154483657141</c:v>
                </c:pt>
                <c:pt idx="4941">
                  <c:v>426.1906009034027</c:v>
                </c:pt>
                <c:pt idx="4942">
                  <c:v>426.48064499609086</c:v>
                </c:pt>
                <c:pt idx="4943">
                  <c:v>429.17307488196161</c:v>
                </c:pt>
                <c:pt idx="4944">
                  <c:v>429.19672374403729</c:v>
                </c:pt>
                <c:pt idx="4945">
                  <c:v>429.85865640521638</c:v>
                </c:pt>
                <c:pt idx="4946">
                  <c:v>430.75226894019386</c:v>
                </c:pt>
                <c:pt idx="4947">
                  <c:v>432.03830145727852</c:v>
                </c:pt>
                <c:pt idx="4948">
                  <c:v>433.41537227570916</c:v>
                </c:pt>
                <c:pt idx="4949">
                  <c:v>433.73513366440852</c:v>
                </c:pt>
                <c:pt idx="4950">
                  <c:v>433.86994841994931</c:v>
                </c:pt>
                <c:pt idx="4951">
                  <c:v>434.18841030245824</c:v>
                </c:pt>
                <c:pt idx="4952">
                  <c:v>434.33434230456453</c:v>
                </c:pt>
                <c:pt idx="4953">
                  <c:v>434.36120526527066</c:v>
                </c:pt>
                <c:pt idx="4954">
                  <c:v>436.21357971645602</c:v>
                </c:pt>
                <c:pt idx="4955">
                  <c:v>437.79242017984092</c:v>
                </c:pt>
                <c:pt idx="4956">
                  <c:v>438.11322365716546</c:v>
                </c:pt>
                <c:pt idx="4957">
                  <c:v>441.14230964020055</c:v>
                </c:pt>
                <c:pt idx="4958">
                  <c:v>441.825232331498</c:v>
                </c:pt>
                <c:pt idx="4959">
                  <c:v>442.950198385102</c:v>
                </c:pt>
                <c:pt idx="4960">
                  <c:v>443.60375250429792</c:v>
                </c:pt>
                <c:pt idx="4961">
                  <c:v>443.7264177398838</c:v>
                </c:pt>
                <c:pt idx="4962">
                  <c:v>446.24035888424885</c:v>
                </c:pt>
                <c:pt idx="4963">
                  <c:v>447.14918228999966</c:v>
                </c:pt>
                <c:pt idx="4964">
                  <c:v>447.73544482619843</c:v>
                </c:pt>
                <c:pt idx="4965">
                  <c:v>448.64642344579073</c:v>
                </c:pt>
                <c:pt idx="4966">
                  <c:v>449.85144695121846</c:v>
                </c:pt>
                <c:pt idx="4967">
                  <c:v>451.27661541503693</c:v>
                </c:pt>
                <c:pt idx="4968">
                  <c:v>453.32069643596583</c:v>
                </c:pt>
                <c:pt idx="4969">
                  <c:v>455.33142858351198</c:v>
                </c:pt>
                <c:pt idx="4970">
                  <c:v>455.48337615721243</c:v>
                </c:pt>
                <c:pt idx="4971">
                  <c:v>456.87934657736321</c:v>
                </c:pt>
                <c:pt idx="4972">
                  <c:v>457.13796258618606</c:v>
                </c:pt>
                <c:pt idx="4973">
                  <c:v>457.51163965737686</c:v>
                </c:pt>
                <c:pt idx="4974">
                  <c:v>458.2273357460748</c:v>
                </c:pt>
                <c:pt idx="4975">
                  <c:v>462.1777470096996</c:v>
                </c:pt>
                <c:pt idx="4976">
                  <c:v>462.80107293355263</c:v>
                </c:pt>
                <c:pt idx="4977">
                  <c:v>463.13563371112559</c:v>
                </c:pt>
                <c:pt idx="4978">
                  <c:v>466.43796407181458</c:v>
                </c:pt>
                <c:pt idx="4979">
                  <c:v>472.03811261205556</c:v>
                </c:pt>
                <c:pt idx="4980">
                  <c:v>474.33251928315906</c:v>
                </c:pt>
                <c:pt idx="4981">
                  <c:v>483.90358532824143</c:v>
                </c:pt>
                <c:pt idx="4982">
                  <c:v>484.67707079434615</c:v>
                </c:pt>
                <c:pt idx="4983">
                  <c:v>493.95246964482453</c:v>
                </c:pt>
                <c:pt idx="4984">
                  <c:v>496.6401626002787</c:v>
                </c:pt>
                <c:pt idx="4985">
                  <c:v>496.93422954856123</c:v>
                </c:pt>
                <c:pt idx="4986">
                  <c:v>497.14358421408144</c:v>
                </c:pt>
                <c:pt idx="4987">
                  <c:v>499.27931677355639</c:v>
                </c:pt>
                <c:pt idx="4988">
                  <c:v>504.00931623186773</c:v>
                </c:pt>
                <c:pt idx="4989">
                  <c:v>505.84751083300358</c:v>
                </c:pt>
                <c:pt idx="4990">
                  <c:v>507.04160037643351</c:v>
                </c:pt>
                <c:pt idx="4991">
                  <c:v>516.99148041495766</c:v>
                </c:pt>
                <c:pt idx="4992">
                  <c:v>522.76726793853936</c:v>
                </c:pt>
                <c:pt idx="4993">
                  <c:v>525.29076877015893</c:v>
                </c:pt>
                <c:pt idx="4994">
                  <c:v>561.35676327876195</c:v>
                </c:pt>
                <c:pt idx="4995">
                  <c:v>568.3521014100487</c:v>
                </c:pt>
                <c:pt idx="4996">
                  <c:v>597.14753128056464</c:v>
                </c:pt>
                <c:pt idx="4997">
                  <c:v>608.54970659210676</c:v>
                </c:pt>
                <c:pt idx="4998">
                  <c:v>641.98320384530416</c:v>
                </c:pt>
                <c:pt idx="4999">
                  <c:v>652.44174702172313</c:v>
                </c:pt>
              </c:numCache>
            </c:numRef>
          </c:xVal>
          <c:yVal>
            <c:numRef>
              <c:f>'Iter No Test'!$AR$3:$AR$5002</c:f>
              <c:numCache>
                <c:formatCode>General</c:formatCode>
                <c:ptCount val="5000"/>
                <c:pt idx="0">
                  <c:v>0</c:v>
                </c:pt>
                <c:pt idx="1">
                  <c:v>2.0004000800160032E-4</c:v>
                </c:pt>
                <c:pt idx="2">
                  <c:v>4.0008001600320064E-4</c:v>
                </c:pt>
                <c:pt idx="3">
                  <c:v>6.0012002400480096E-4</c:v>
                </c:pt>
                <c:pt idx="4">
                  <c:v>8.0016003200640128E-4</c:v>
                </c:pt>
                <c:pt idx="5">
                  <c:v>1.0002000400080016E-3</c:v>
                </c:pt>
                <c:pt idx="6">
                  <c:v>1.2002400480096019E-3</c:v>
                </c:pt>
                <c:pt idx="7">
                  <c:v>1.4002800560112022E-3</c:v>
                </c:pt>
                <c:pt idx="8">
                  <c:v>1.6003200640128026E-3</c:v>
                </c:pt>
                <c:pt idx="9">
                  <c:v>1.8003600720144029E-3</c:v>
                </c:pt>
                <c:pt idx="10">
                  <c:v>2.0004000800160032E-3</c:v>
                </c:pt>
                <c:pt idx="11">
                  <c:v>2.2004400880176033E-3</c:v>
                </c:pt>
                <c:pt idx="12">
                  <c:v>2.4004800960192038E-3</c:v>
                </c:pt>
                <c:pt idx="13">
                  <c:v>2.6005201040208044E-3</c:v>
                </c:pt>
                <c:pt idx="14">
                  <c:v>2.8005601120224049E-3</c:v>
                </c:pt>
                <c:pt idx="15">
                  <c:v>3.0006001200240055E-3</c:v>
                </c:pt>
                <c:pt idx="16">
                  <c:v>3.200640128025606E-3</c:v>
                </c:pt>
                <c:pt idx="17">
                  <c:v>3.4006801360272065E-3</c:v>
                </c:pt>
                <c:pt idx="18">
                  <c:v>3.6007201440288071E-3</c:v>
                </c:pt>
                <c:pt idx="19">
                  <c:v>3.8007601520304076E-3</c:v>
                </c:pt>
                <c:pt idx="20">
                  <c:v>4.0008001600320081E-3</c:v>
                </c:pt>
                <c:pt idx="21">
                  <c:v>4.2008401680336087E-3</c:v>
                </c:pt>
                <c:pt idx="22">
                  <c:v>4.4008801760352092E-3</c:v>
                </c:pt>
                <c:pt idx="23">
                  <c:v>4.6009201840368098E-3</c:v>
                </c:pt>
                <c:pt idx="24">
                  <c:v>4.8009601920384103E-3</c:v>
                </c:pt>
                <c:pt idx="25">
                  <c:v>5.0010002000400108E-3</c:v>
                </c:pt>
                <c:pt idx="26">
                  <c:v>5.2010402080416114E-3</c:v>
                </c:pt>
                <c:pt idx="27">
                  <c:v>5.4010802160432119E-3</c:v>
                </c:pt>
                <c:pt idx="28">
                  <c:v>5.6011202240448124E-3</c:v>
                </c:pt>
                <c:pt idx="29">
                  <c:v>5.801160232046413E-3</c:v>
                </c:pt>
                <c:pt idx="30">
                  <c:v>6.0012002400480135E-3</c:v>
                </c:pt>
                <c:pt idx="31">
                  <c:v>6.2012402480496141E-3</c:v>
                </c:pt>
                <c:pt idx="32">
                  <c:v>6.4012802560512146E-3</c:v>
                </c:pt>
                <c:pt idx="33">
                  <c:v>6.6013202640528151E-3</c:v>
                </c:pt>
                <c:pt idx="34">
                  <c:v>6.8013602720544157E-3</c:v>
                </c:pt>
                <c:pt idx="35">
                  <c:v>7.0014002800560162E-3</c:v>
                </c:pt>
                <c:pt idx="36">
                  <c:v>7.2014402880576167E-3</c:v>
                </c:pt>
                <c:pt idx="37">
                  <c:v>7.4014802960592173E-3</c:v>
                </c:pt>
                <c:pt idx="38">
                  <c:v>7.6015203040608178E-3</c:v>
                </c:pt>
                <c:pt idx="39">
                  <c:v>7.8015603120624184E-3</c:v>
                </c:pt>
                <c:pt idx="40">
                  <c:v>8.001600320064018E-3</c:v>
                </c:pt>
                <c:pt idx="41">
                  <c:v>8.2016403280656177E-3</c:v>
                </c:pt>
                <c:pt idx="42">
                  <c:v>8.4016803360672174E-3</c:v>
                </c:pt>
                <c:pt idx="43">
                  <c:v>8.601720344068817E-3</c:v>
                </c:pt>
                <c:pt idx="44">
                  <c:v>8.8017603520704167E-3</c:v>
                </c:pt>
                <c:pt idx="45">
                  <c:v>9.0018003600720164E-3</c:v>
                </c:pt>
                <c:pt idx="46">
                  <c:v>9.201840368073616E-3</c:v>
                </c:pt>
                <c:pt idx="47">
                  <c:v>9.4018803760752157E-3</c:v>
                </c:pt>
                <c:pt idx="48">
                  <c:v>9.6019203840768154E-3</c:v>
                </c:pt>
                <c:pt idx="49">
                  <c:v>9.8019603920784151E-3</c:v>
                </c:pt>
                <c:pt idx="50">
                  <c:v>1.0002000400080015E-2</c:v>
                </c:pt>
                <c:pt idx="51">
                  <c:v>1.0202040408081614E-2</c:v>
                </c:pt>
                <c:pt idx="52">
                  <c:v>1.0402080416083214E-2</c:v>
                </c:pt>
                <c:pt idx="53">
                  <c:v>1.0602120424084814E-2</c:v>
                </c:pt>
                <c:pt idx="54">
                  <c:v>1.0802160432086413E-2</c:v>
                </c:pt>
                <c:pt idx="55">
                  <c:v>1.1002200440088013E-2</c:v>
                </c:pt>
                <c:pt idx="56">
                  <c:v>1.1202240448089613E-2</c:v>
                </c:pt>
                <c:pt idx="57">
                  <c:v>1.1402280456091212E-2</c:v>
                </c:pt>
                <c:pt idx="58">
                  <c:v>1.1602320464092812E-2</c:v>
                </c:pt>
                <c:pt idx="59">
                  <c:v>1.1802360472094412E-2</c:v>
                </c:pt>
                <c:pt idx="60">
                  <c:v>1.2002400480096011E-2</c:v>
                </c:pt>
                <c:pt idx="61">
                  <c:v>1.2202440488097611E-2</c:v>
                </c:pt>
                <c:pt idx="62">
                  <c:v>1.2402480496099211E-2</c:v>
                </c:pt>
                <c:pt idx="63">
                  <c:v>1.260252050410081E-2</c:v>
                </c:pt>
                <c:pt idx="64">
                  <c:v>1.280256051210241E-2</c:v>
                </c:pt>
                <c:pt idx="65">
                  <c:v>1.300260052010401E-2</c:v>
                </c:pt>
                <c:pt idx="66">
                  <c:v>1.3202640528105609E-2</c:v>
                </c:pt>
                <c:pt idx="67">
                  <c:v>1.3402680536107209E-2</c:v>
                </c:pt>
                <c:pt idx="68">
                  <c:v>1.3602720544108809E-2</c:v>
                </c:pt>
                <c:pt idx="69">
                  <c:v>1.3802760552110408E-2</c:v>
                </c:pt>
                <c:pt idx="70">
                  <c:v>1.4002800560112008E-2</c:v>
                </c:pt>
                <c:pt idx="71">
                  <c:v>1.4202840568113608E-2</c:v>
                </c:pt>
                <c:pt idx="72">
                  <c:v>1.4402880576115207E-2</c:v>
                </c:pt>
                <c:pt idx="73">
                  <c:v>1.4602920584116807E-2</c:v>
                </c:pt>
                <c:pt idx="74">
                  <c:v>1.4802960592118407E-2</c:v>
                </c:pt>
                <c:pt idx="75">
                  <c:v>1.5003000600120006E-2</c:v>
                </c:pt>
                <c:pt idx="76">
                  <c:v>1.5203040608121606E-2</c:v>
                </c:pt>
                <c:pt idx="77">
                  <c:v>1.5403080616123206E-2</c:v>
                </c:pt>
                <c:pt idx="78">
                  <c:v>1.5603120624124805E-2</c:v>
                </c:pt>
                <c:pt idx="79">
                  <c:v>1.5803160632126407E-2</c:v>
                </c:pt>
                <c:pt idx="80">
                  <c:v>1.6003200640128008E-2</c:v>
                </c:pt>
                <c:pt idx="81">
                  <c:v>1.620324064812961E-2</c:v>
                </c:pt>
                <c:pt idx="82">
                  <c:v>1.6403280656131211E-2</c:v>
                </c:pt>
                <c:pt idx="83">
                  <c:v>1.6603320664132813E-2</c:v>
                </c:pt>
                <c:pt idx="84">
                  <c:v>1.6803360672134414E-2</c:v>
                </c:pt>
                <c:pt idx="85">
                  <c:v>1.7003400680136015E-2</c:v>
                </c:pt>
                <c:pt idx="86">
                  <c:v>1.7203440688137617E-2</c:v>
                </c:pt>
                <c:pt idx="87">
                  <c:v>1.7403480696139218E-2</c:v>
                </c:pt>
                <c:pt idx="88">
                  <c:v>1.760352070414082E-2</c:v>
                </c:pt>
                <c:pt idx="89">
                  <c:v>1.7803560712142421E-2</c:v>
                </c:pt>
                <c:pt idx="90">
                  <c:v>1.8003600720144022E-2</c:v>
                </c:pt>
                <c:pt idx="91">
                  <c:v>1.8203640728145624E-2</c:v>
                </c:pt>
                <c:pt idx="92">
                  <c:v>1.8403680736147225E-2</c:v>
                </c:pt>
                <c:pt idx="93">
                  <c:v>1.8603720744148827E-2</c:v>
                </c:pt>
                <c:pt idx="94">
                  <c:v>1.8803760752150428E-2</c:v>
                </c:pt>
                <c:pt idx="95">
                  <c:v>1.9003800760152029E-2</c:v>
                </c:pt>
                <c:pt idx="96">
                  <c:v>1.9203840768153631E-2</c:v>
                </c:pt>
                <c:pt idx="97">
                  <c:v>1.9403880776155232E-2</c:v>
                </c:pt>
                <c:pt idx="98">
                  <c:v>1.9603920784156834E-2</c:v>
                </c:pt>
                <c:pt idx="99">
                  <c:v>1.9803960792158435E-2</c:v>
                </c:pt>
                <c:pt idx="100">
                  <c:v>2.0004000800160036E-2</c:v>
                </c:pt>
                <c:pt idx="101">
                  <c:v>2.0204040808161638E-2</c:v>
                </c:pt>
                <c:pt idx="102">
                  <c:v>2.0404080816163239E-2</c:v>
                </c:pt>
                <c:pt idx="103">
                  <c:v>2.0604120824164841E-2</c:v>
                </c:pt>
                <c:pt idx="104">
                  <c:v>2.0804160832166442E-2</c:v>
                </c:pt>
                <c:pt idx="105">
                  <c:v>2.1004200840168043E-2</c:v>
                </c:pt>
                <c:pt idx="106">
                  <c:v>2.1204240848169645E-2</c:v>
                </c:pt>
                <c:pt idx="107">
                  <c:v>2.1404280856171246E-2</c:v>
                </c:pt>
                <c:pt idx="108">
                  <c:v>2.1604320864172848E-2</c:v>
                </c:pt>
                <c:pt idx="109">
                  <c:v>2.1804360872174449E-2</c:v>
                </c:pt>
                <c:pt idx="110">
                  <c:v>2.200440088017605E-2</c:v>
                </c:pt>
                <c:pt idx="111">
                  <c:v>2.2204440888177652E-2</c:v>
                </c:pt>
                <c:pt idx="112">
                  <c:v>2.2404480896179253E-2</c:v>
                </c:pt>
                <c:pt idx="113">
                  <c:v>2.2604520904180855E-2</c:v>
                </c:pt>
                <c:pt idx="114">
                  <c:v>2.2804560912182456E-2</c:v>
                </c:pt>
                <c:pt idx="115">
                  <c:v>2.3004600920184057E-2</c:v>
                </c:pt>
                <c:pt idx="116">
                  <c:v>2.3204640928185659E-2</c:v>
                </c:pt>
                <c:pt idx="117">
                  <c:v>2.340468093618726E-2</c:v>
                </c:pt>
                <c:pt idx="118">
                  <c:v>2.3604720944188862E-2</c:v>
                </c:pt>
                <c:pt idx="119">
                  <c:v>2.3804760952190463E-2</c:v>
                </c:pt>
                <c:pt idx="120">
                  <c:v>2.4004800960192064E-2</c:v>
                </c:pt>
                <c:pt idx="121">
                  <c:v>2.4204840968193666E-2</c:v>
                </c:pt>
                <c:pt idx="122">
                  <c:v>2.4404880976195267E-2</c:v>
                </c:pt>
                <c:pt idx="123">
                  <c:v>2.4604920984196869E-2</c:v>
                </c:pt>
                <c:pt idx="124">
                  <c:v>2.480496099219847E-2</c:v>
                </c:pt>
                <c:pt idx="125">
                  <c:v>2.5005001000200072E-2</c:v>
                </c:pt>
                <c:pt idx="126">
                  <c:v>2.5205041008201673E-2</c:v>
                </c:pt>
                <c:pt idx="127">
                  <c:v>2.5405081016203274E-2</c:v>
                </c:pt>
                <c:pt idx="128">
                  <c:v>2.5605121024204876E-2</c:v>
                </c:pt>
                <c:pt idx="129">
                  <c:v>2.5805161032206477E-2</c:v>
                </c:pt>
                <c:pt idx="130">
                  <c:v>2.6005201040208079E-2</c:v>
                </c:pt>
                <c:pt idx="131">
                  <c:v>2.620524104820968E-2</c:v>
                </c:pt>
                <c:pt idx="132">
                  <c:v>2.6405281056211281E-2</c:v>
                </c:pt>
                <c:pt idx="133">
                  <c:v>2.6605321064212883E-2</c:v>
                </c:pt>
                <c:pt idx="134">
                  <c:v>2.6805361072214484E-2</c:v>
                </c:pt>
                <c:pt idx="135">
                  <c:v>2.7005401080216086E-2</c:v>
                </c:pt>
                <c:pt idx="136">
                  <c:v>2.7205441088217687E-2</c:v>
                </c:pt>
                <c:pt idx="137">
                  <c:v>2.7405481096219288E-2</c:v>
                </c:pt>
                <c:pt idx="138">
                  <c:v>2.760552110422089E-2</c:v>
                </c:pt>
                <c:pt idx="139">
                  <c:v>2.7805561112222491E-2</c:v>
                </c:pt>
                <c:pt idx="140">
                  <c:v>2.8005601120224093E-2</c:v>
                </c:pt>
                <c:pt idx="141">
                  <c:v>2.8205641128225694E-2</c:v>
                </c:pt>
                <c:pt idx="142">
                  <c:v>2.8405681136227295E-2</c:v>
                </c:pt>
                <c:pt idx="143">
                  <c:v>2.8605721144228897E-2</c:v>
                </c:pt>
                <c:pt idx="144">
                  <c:v>2.8805761152230498E-2</c:v>
                </c:pt>
                <c:pt idx="145">
                  <c:v>2.90058011602321E-2</c:v>
                </c:pt>
                <c:pt idx="146">
                  <c:v>2.9205841168233701E-2</c:v>
                </c:pt>
                <c:pt idx="147">
                  <c:v>2.9405881176235302E-2</c:v>
                </c:pt>
                <c:pt idx="148">
                  <c:v>2.9605921184236904E-2</c:v>
                </c:pt>
                <c:pt idx="149">
                  <c:v>2.9805961192238505E-2</c:v>
                </c:pt>
                <c:pt idx="150">
                  <c:v>3.0006001200240107E-2</c:v>
                </c:pt>
                <c:pt idx="151">
                  <c:v>3.0206041208241708E-2</c:v>
                </c:pt>
                <c:pt idx="152">
                  <c:v>3.0406081216243309E-2</c:v>
                </c:pt>
                <c:pt idx="153">
                  <c:v>3.0606121224244911E-2</c:v>
                </c:pt>
                <c:pt idx="154">
                  <c:v>3.0806161232246512E-2</c:v>
                </c:pt>
                <c:pt idx="155">
                  <c:v>3.1006201240248114E-2</c:v>
                </c:pt>
                <c:pt idx="156">
                  <c:v>3.1206241248249715E-2</c:v>
                </c:pt>
                <c:pt idx="157">
                  <c:v>3.1406281256251313E-2</c:v>
                </c:pt>
                <c:pt idx="158">
                  <c:v>3.1606321264252911E-2</c:v>
                </c:pt>
                <c:pt idx="159">
                  <c:v>3.1806361272254509E-2</c:v>
                </c:pt>
                <c:pt idx="160">
                  <c:v>3.2006401280256107E-2</c:v>
                </c:pt>
                <c:pt idx="161">
                  <c:v>3.2206441288257705E-2</c:v>
                </c:pt>
                <c:pt idx="162">
                  <c:v>3.2406481296259303E-2</c:v>
                </c:pt>
                <c:pt idx="163">
                  <c:v>3.2606521304260901E-2</c:v>
                </c:pt>
                <c:pt idx="164">
                  <c:v>3.2806561312262499E-2</c:v>
                </c:pt>
                <c:pt idx="165">
                  <c:v>3.3006601320264096E-2</c:v>
                </c:pt>
                <c:pt idx="166">
                  <c:v>3.3206641328265694E-2</c:v>
                </c:pt>
                <c:pt idx="167">
                  <c:v>3.3406681336267292E-2</c:v>
                </c:pt>
                <c:pt idx="168">
                  <c:v>3.360672134426889E-2</c:v>
                </c:pt>
                <c:pt idx="169">
                  <c:v>3.3806761352270488E-2</c:v>
                </c:pt>
                <c:pt idx="170">
                  <c:v>3.4006801360272086E-2</c:v>
                </c:pt>
                <c:pt idx="171">
                  <c:v>3.4206841368273684E-2</c:v>
                </c:pt>
                <c:pt idx="172">
                  <c:v>3.4406881376275282E-2</c:v>
                </c:pt>
                <c:pt idx="173">
                  <c:v>3.460692138427688E-2</c:v>
                </c:pt>
                <c:pt idx="174">
                  <c:v>3.4806961392278478E-2</c:v>
                </c:pt>
                <c:pt idx="175">
                  <c:v>3.5007001400280076E-2</c:v>
                </c:pt>
                <c:pt idx="176">
                  <c:v>3.5207041408281674E-2</c:v>
                </c:pt>
                <c:pt idx="177">
                  <c:v>3.5407081416283272E-2</c:v>
                </c:pt>
                <c:pt idx="178">
                  <c:v>3.560712142428487E-2</c:v>
                </c:pt>
                <c:pt idx="179">
                  <c:v>3.5807161432286468E-2</c:v>
                </c:pt>
                <c:pt idx="180">
                  <c:v>3.6007201440288066E-2</c:v>
                </c:pt>
                <c:pt idx="181">
                  <c:v>3.6207241448289663E-2</c:v>
                </c:pt>
                <c:pt idx="182">
                  <c:v>3.6407281456291261E-2</c:v>
                </c:pt>
                <c:pt idx="183">
                  <c:v>3.6607321464292859E-2</c:v>
                </c:pt>
                <c:pt idx="184">
                  <c:v>3.6807361472294457E-2</c:v>
                </c:pt>
                <c:pt idx="185">
                  <c:v>3.7007401480296055E-2</c:v>
                </c:pt>
                <c:pt idx="186">
                  <c:v>3.7207441488297653E-2</c:v>
                </c:pt>
                <c:pt idx="187">
                  <c:v>3.7407481496299251E-2</c:v>
                </c:pt>
                <c:pt idx="188">
                  <c:v>3.7607521504300849E-2</c:v>
                </c:pt>
                <c:pt idx="189">
                  <c:v>3.7807561512302447E-2</c:v>
                </c:pt>
                <c:pt idx="190">
                  <c:v>3.8007601520304045E-2</c:v>
                </c:pt>
                <c:pt idx="191">
                  <c:v>3.8207641528305643E-2</c:v>
                </c:pt>
                <c:pt idx="192">
                  <c:v>3.8407681536307241E-2</c:v>
                </c:pt>
                <c:pt idx="193">
                  <c:v>3.8607721544308839E-2</c:v>
                </c:pt>
                <c:pt idx="194">
                  <c:v>3.8807761552310437E-2</c:v>
                </c:pt>
                <c:pt idx="195">
                  <c:v>3.9007801560312035E-2</c:v>
                </c:pt>
                <c:pt idx="196">
                  <c:v>3.9207841568313632E-2</c:v>
                </c:pt>
                <c:pt idx="197">
                  <c:v>3.940788157631523E-2</c:v>
                </c:pt>
                <c:pt idx="198">
                  <c:v>3.9607921584316828E-2</c:v>
                </c:pt>
                <c:pt idx="199">
                  <c:v>3.9807961592318426E-2</c:v>
                </c:pt>
                <c:pt idx="200">
                  <c:v>4.0008001600320024E-2</c:v>
                </c:pt>
                <c:pt idx="201">
                  <c:v>4.0208041608321622E-2</c:v>
                </c:pt>
                <c:pt idx="202">
                  <c:v>4.040808161632322E-2</c:v>
                </c:pt>
                <c:pt idx="203">
                  <c:v>4.0608121624324818E-2</c:v>
                </c:pt>
                <c:pt idx="204">
                  <c:v>4.0808161632326416E-2</c:v>
                </c:pt>
                <c:pt idx="205">
                  <c:v>4.1008201640328014E-2</c:v>
                </c:pt>
                <c:pt idx="206">
                  <c:v>4.1208241648329612E-2</c:v>
                </c:pt>
                <c:pt idx="207">
                  <c:v>4.140828165633121E-2</c:v>
                </c:pt>
                <c:pt idx="208">
                  <c:v>4.1608321664332808E-2</c:v>
                </c:pt>
                <c:pt idx="209">
                  <c:v>4.1808361672334406E-2</c:v>
                </c:pt>
                <c:pt idx="210">
                  <c:v>4.2008401680336004E-2</c:v>
                </c:pt>
                <c:pt idx="211">
                  <c:v>4.2208441688337602E-2</c:v>
                </c:pt>
                <c:pt idx="212">
                  <c:v>4.2408481696339199E-2</c:v>
                </c:pt>
                <c:pt idx="213">
                  <c:v>4.2608521704340797E-2</c:v>
                </c:pt>
                <c:pt idx="214">
                  <c:v>4.2808561712342395E-2</c:v>
                </c:pt>
                <c:pt idx="215">
                  <c:v>4.3008601720343993E-2</c:v>
                </c:pt>
                <c:pt idx="216">
                  <c:v>4.3208641728345591E-2</c:v>
                </c:pt>
                <c:pt idx="217">
                  <c:v>4.3408681736347189E-2</c:v>
                </c:pt>
                <c:pt idx="218">
                  <c:v>4.3608721744348787E-2</c:v>
                </c:pt>
                <c:pt idx="219">
                  <c:v>4.3808761752350385E-2</c:v>
                </c:pt>
                <c:pt idx="220">
                  <c:v>4.4008801760351983E-2</c:v>
                </c:pt>
                <c:pt idx="221">
                  <c:v>4.4208841768353581E-2</c:v>
                </c:pt>
                <c:pt idx="222">
                  <c:v>4.4408881776355179E-2</c:v>
                </c:pt>
                <c:pt idx="223">
                  <c:v>4.4608921784356777E-2</c:v>
                </c:pt>
                <c:pt idx="224">
                  <c:v>4.4808961792358375E-2</c:v>
                </c:pt>
                <c:pt idx="225">
                  <c:v>4.5009001800359973E-2</c:v>
                </c:pt>
                <c:pt idx="226">
                  <c:v>4.5209041808361571E-2</c:v>
                </c:pt>
                <c:pt idx="227">
                  <c:v>4.5409081816363168E-2</c:v>
                </c:pt>
                <c:pt idx="228">
                  <c:v>4.5609121824364766E-2</c:v>
                </c:pt>
                <c:pt idx="229">
                  <c:v>4.5809161832366364E-2</c:v>
                </c:pt>
                <c:pt idx="230">
                  <c:v>4.6009201840367962E-2</c:v>
                </c:pt>
                <c:pt idx="231">
                  <c:v>4.620924184836956E-2</c:v>
                </c:pt>
                <c:pt idx="232">
                  <c:v>4.6409281856371158E-2</c:v>
                </c:pt>
                <c:pt idx="233">
                  <c:v>4.6609321864372756E-2</c:v>
                </c:pt>
                <c:pt idx="234">
                  <c:v>4.6809361872374354E-2</c:v>
                </c:pt>
                <c:pt idx="235">
                  <c:v>4.7009401880375952E-2</c:v>
                </c:pt>
                <c:pt idx="236">
                  <c:v>4.720944188837755E-2</c:v>
                </c:pt>
                <c:pt idx="237">
                  <c:v>4.7409481896379148E-2</c:v>
                </c:pt>
                <c:pt idx="238">
                  <c:v>4.7609521904380746E-2</c:v>
                </c:pt>
                <c:pt idx="239">
                  <c:v>4.7809561912382344E-2</c:v>
                </c:pt>
                <c:pt idx="240">
                  <c:v>4.8009601920383942E-2</c:v>
                </c:pt>
                <c:pt idx="241">
                  <c:v>4.820964192838554E-2</c:v>
                </c:pt>
                <c:pt idx="242">
                  <c:v>4.8409681936387138E-2</c:v>
                </c:pt>
                <c:pt idx="243">
                  <c:v>4.8609721944388735E-2</c:v>
                </c:pt>
                <c:pt idx="244">
                  <c:v>4.8809761952390333E-2</c:v>
                </c:pt>
                <c:pt idx="245">
                  <c:v>4.9009801960391931E-2</c:v>
                </c:pt>
                <c:pt idx="246">
                  <c:v>4.9209841968393529E-2</c:v>
                </c:pt>
                <c:pt idx="247">
                  <c:v>4.9409881976395127E-2</c:v>
                </c:pt>
                <c:pt idx="248">
                  <c:v>4.9609921984396725E-2</c:v>
                </c:pt>
                <c:pt idx="249">
                  <c:v>4.9809961992398323E-2</c:v>
                </c:pt>
                <c:pt idx="250">
                  <c:v>5.0010002000399921E-2</c:v>
                </c:pt>
                <c:pt idx="251">
                  <c:v>5.0210042008401519E-2</c:v>
                </c:pt>
                <c:pt idx="252">
                  <c:v>5.0410082016403117E-2</c:v>
                </c:pt>
                <c:pt idx="253">
                  <c:v>5.0610122024404715E-2</c:v>
                </c:pt>
                <c:pt idx="254">
                  <c:v>5.0810162032406313E-2</c:v>
                </c:pt>
                <c:pt idx="255">
                  <c:v>5.1010202040407911E-2</c:v>
                </c:pt>
                <c:pt idx="256">
                  <c:v>5.1210242048409509E-2</c:v>
                </c:pt>
                <c:pt idx="257">
                  <c:v>5.1410282056411107E-2</c:v>
                </c:pt>
                <c:pt idx="258">
                  <c:v>5.1610322064412704E-2</c:v>
                </c:pt>
                <c:pt idx="259">
                  <c:v>5.1810362072414302E-2</c:v>
                </c:pt>
                <c:pt idx="260">
                  <c:v>5.20104020804159E-2</c:v>
                </c:pt>
                <c:pt idx="261">
                  <c:v>5.2210442088417498E-2</c:v>
                </c:pt>
                <c:pt idx="262">
                  <c:v>5.2410482096419096E-2</c:v>
                </c:pt>
                <c:pt idx="263">
                  <c:v>5.2610522104420694E-2</c:v>
                </c:pt>
                <c:pt idx="264">
                  <c:v>5.2810562112422292E-2</c:v>
                </c:pt>
                <c:pt idx="265">
                  <c:v>5.301060212042389E-2</c:v>
                </c:pt>
                <c:pt idx="266">
                  <c:v>5.3210642128425488E-2</c:v>
                </c:pt>
                <c:pt idx="267">
                  <c:v>5.3410682136427086E-2</c:v>
                </c:pt>
                <c:pt idx="268">
                  <c:v>5.3610722144428684E-2</c:v>
                </c:pt>
                <c:pt idx="269">
                  <c:v>5.3810762152430282E-2</c:v>
                </c:pt>
                <c:pt idx="270">
                  <c:v>5.401080216043188E-2</c:v>
                </c:pt>
                <c:pt idx="271">
                  <c:v>5.4210842168433478E-2</c:v>
                </c:pt>
                <c:pt idx="272">
                  <c:v>5.4410882176435076E-2</c:v>
                </c:pt>
                <c:pt idx="273">
                  <c:v>5.4610922184436674E-2</c:v>
                </c:pt>
                <c:pt idx="274">
                  <c:v>5.4810962192438271E-2</c:v>
                </c:pt>
                <c:pt idx="275">
                  <c:v>5.5011002200439869E-2</c:v>
                </c:pt>
                <c:pt idx="276">
                  <c:v>5.5211042208441467E-2</c:v>
                </c:pt>
                <c:pt idx="277">
                  <c:v>5.5411082216443065E-2</c:v>
                </c:pt>
                <c:pt idx="278">
                  <c:v>5.5611122224444663E-2</c:v>
                </c:pt>
                <c:pt idx="279">
                  <c:v>5.5811162232446261E-2</c:v>
                </c:pt>
                <c:pt idx="280">
                  <c:v>5.6011202240447859E-2</c:v>
                </c:pt>
                <c:pt idx="281">
                  <c:v>5.6211242248449457E-2</c:v>
                </c:pt>
                <c:pt idx="282">
                  <c:v>5.6411282256451055E-2</c:v>
                </c:pt>
                <c:pt idx="283">
                  <c:v>5.6611322264452653E-2</c:v>
                </c:pt>
                <c:pt idx="284">
                  <c:v>5.6811362272454251E-2</c:v>
                </c:pt>
                <c:pt idx="285">
                  <c:v>5.7011402280455849E-2</c:v>
                </c:pt>
                <c:pt idx="286">
                  <c:v>5.7211442288457447E-2</c:v>
                </c:pt>
                <c:pt idx="287">
                  <c:v>5.7411482296459045E-2</c:v>
                </c:pt>
                <c:pt idx="288">
                  <c:v>5.7611522304460643E-2</c:v>
                </c:pt>
                <c:pt idx="289">
                  <c:v>5.781156231246224E-2</c:v>
                </c:pt>
                <c:pt idx="290">
                  <c:v>5.8011602320463838E-2</c:v>
                </c:pt>
                <c:pt idx="291">
                  <c:v>5.8211642328465436E-2</c:v>
                </c:pt>
                <c:pt idx="292">
                  <c:v>5.8411682336467034E-2</c:v>
                </c:pt>
                <c:pt idx="293">
                  <c:v>5.8611722344468632E-2</c:v>
                </c:pt>
                <c:pt idx="294">
                  <c:v>5.881176235247023E-2</c:v>
                </c:pt>
                <c:pt idx="295">
                  <c:v>5.9011802360471828E-2</c:v>
                </c:pt>
                <c:pt idx="296">
                  <c:v>5.9211842368473426E-2</c:v>
                </c:pt>
                <c:pt idx="297">
                  <c:v>5.9411882376475024E-2</c:v>
                </c:pt>
                <c:pt idx="298">
                  <c:v>5.9611922384476622E-2</c:v>
                </c:pt>
                <c:pt idx="299">
                  <c:v>5.981196239247822E-2</c:v>
                </c:pt>
                <c:pt idx="300">
                  <c:v>6.0012002400479818E-2</c:v>
                </c:pt>
                <c:pt idx="301">
                  <c:v>6.0212042408481416E-2</c:v>
                </c:pt>
                <c:pt idx="302">
                  <c:v>6.0412082416483014E-2</c:v>
                </c:pt>
                <c:pt idx="303">
                  <c:v>6.0612122424484612E-2</c:v>
                </c:pt>
                <c:pt idx="304">
                  <c:v>6.081216243248621E-2</c:v>
                </c:pt>
                <c:pt idx="305">
                  <c:v>6.1012202440487807E-2</c:v>
                </c:pt>
                <c:pt idx="306">
                  <c:v>6.1212242448489405E-2</c:v>
                </c:pt>
                <c:pt idx="307">
                  <c:v>6.1412282456491003E-2</c:v>
                </c:pt>
                <c:pt idx="308">
                  <c:v>6.1612322464492601E-2</c:v>
                </c:pt>
                <c:pt idx="309">
                  <c:v>6.1812362472494199E-2</c:v>
                </c:pt>
                <c:pt idx="310">
                  <c:v>6.2012402480495797E-2</c:v>
                </c:pt>
                <c:pt idx="311">
                  <c:v>6.2212442488497395E-2</c:v>
                </c:pt>
                <c:pt idx="312">
                  <c:v>6.2412482496498993E-2</c:v>
                </c:pt>
                <c:pt idx="313">
                  <c:v>6.2612522504500598E-2</c:v>
                </c:pt>
                <c:pt idx="314">
                  <c:v>6.2812562512502196E-2</c:v>
                </c:pt>
                <c:pt idx="315">
                  <c:v>6.3012602520503794E-2</c:v>
                </c:pt>
                <c:pt idx="316">
                  <c:v>6.3212642528505392E-2</c:v>
                </c:pt>
                <c:pt idx="317">
                  <c:v>6.341268253650699E-2</c:v>
                </c:pt>
                <c:pt idx="318">
                  <c:v>6.3612722544508588E-2</c:v>
                </c:pt>
                <c:pt idx="319">
                  <c:v>6.3812762552510185E-2</c:v>
                </c:pt>
                <c:pt idx="320">
                  <c:v>6.4012802560511783E-2</c:v>
                </c:pt>
                <c:pt idx="321">
                  <c:v>6.4212842568513381E-2</c:v>
                </c:pt>
                <c:pt idx="322">
                  <c:v>6.4412882576514979E-2</c:v>
                </c:pt>
                <c:pt idx="323">
                  <c:v>6.4612922584516577E-2</c:v>
                </c:pt>
                <c:pt idx="324">
                  <c:v>6.4812962592518175E-2</c:v>
                </c:pt>
                <c:pt idx="325">
                  <c:v>6.5013002600519773E-2</c:v>
                </c:pt>
                <c:pt idx="326">
                  <c:v>6.5213042608521371E-2</c:v>
                </c:pt>
                <c:pt idx="327">
                  <c:v>6.5413082616522969E-2</c:v>
                </c:pt>
                <c:pt idx="328">
                  <c:v>6.5613122624524567E-2</c:v>
                </c:pt>
                <c:pt idx="329">
                  <c:v>6.5813162632526165E-2</c:v>
                </c:pt>
                <c:pt idx="330">
                  <c:v>6.6013202640527763E-2</c:v>
                </c:pt>
                <c:pt idx="331">
                  <c:v>6.6213242648529361E-2</c:v>
                </c:pt>
                <c:pt idx="332">
                  <c:v>6.6413282656530959E-2</c:v>
                </c:pt>
                <c:pt idx="333">
                  <c:v>6.6613322664532557E-2</c:v>
                </c:pt>
                <c:pt idx="334">
                  <c:v>6.6813362672534155E-2</c:v>
                </c:pt>
                <c:pt idx="335">
                  <c:v>6.7013402680535752E-2</c:v>
                </c:pt>
                <c:pt idx="336">
                  <c:v>6.721344268853735E-2</c:v>
                </c:pt>
                <c:pt idx="337">
                  <c:v>6.7413482696538948E-2</c:v>
                </c:pt>
                <c:pt idx="338">
                  <c:v>6.7613522704540546E-2</c:v>
                </c:pt>
                <c:pt idx="339">
                  <c:v>6.7813562712542144E-2</c:v>
                </c:pt>
                <c:pt idx="340">
                  <c:v>6.8013602720543742E-2</c:v>
                </c:pt>
                <c:pt idx="341">
                  <c:v>6.821364272854534E-2</c:v>
                </c:pt>
                <c:pt idx="342">
                  <c:v>6.8413682736546938E-2</c:v>
                </c:pt>
                <c:pt idx="343">
                  <c:v>6.8613722744548536E-2</c:v>
                </c:pt>
                <c:pt idx="344">
                  <c:v>6.8813762752550134E-2</c:v>
                </c:pt>
                <c:pt idx="345">
                  <c:v>6.9013802760551732E-2</c:v>
                </c:pt>
                <c:pt idx="346">
                  <c:v>6.921384276855333E-2</c:v>
                </c:pt>
                <c:pt idx="347">
                  <c:v>6.9413882776554928E-2</c:v>
                </c:pt>
                <c:pt idx="348">
                  <c:v>6.9613922784556526E-2</c:v>
                </c:pt>
                <c:pt idx="349">
                  <c:v>6.9813962792558124E-2</c:v>
                </c:pt>
                <c:pt idx="350">
                  <c:v>7.0014002800559721E-2</c:v>
                </c:pt>
                <c:pt idx="351">
                  <c:v>7.0214042808561319E-2</c:v>
                </c:pt>
                <c:pt idx="352">
                  <c:v>7.0414082816562917E-2</c:v>
                </c:pt>
                <c:pt idx="353">
                  <c:v>7.0614122824564515E-2</c:v>
                </c:pt>
                <c:pt idx="354">
                  <c:v>7.0814162832566113E-2</c:v>
                </c:pt>
                <c:pt idx="355">
                  <c:v>7.1014202840567711E-2</c:v>
                </c:pt>
                <c:pt idx="356">
                  <c:v>7.1214242848569309E-2</c:v>
                </c:pt>
                <c:pt idx="357">
                  <c:v>7.1414282856570907E-2</c:v>
                </c:pt>
                <c:pt idx="358">
                  <c:v>7.1614322864572505E-2</c:v>
                </c:pt>
                <c:pt idx="359">
                  <c:v>7.1814362872574103E-2</c:v>
                </c:pt>
                <c:pt idx="360">
                  <c:v>7.2014402880575701E-2</c:v>
                </c:pt>
                <c:pt idx="361">
                  <c:v>7.2214442888577299E-2</c:v>
                </c:pt>
                <c:pt idx="362">
                  <c:v>7.2414482896578897E-2</c:v>
                </c:pt>
                <c:pt idx="363">
                  <c:v>7.2614522904580495E-2</c:v>
                </c:pt>
                <c:pt idx="364">
                  <c:v>7.2814562912582093E-2</c:v>
                </c:pt>
                <c:pt idx="365">
                  <c:v>7.3014602920583691E-2</c:v>
                </c:pt>
                <c:pt idx="366">
                  <c:v>7.3214642928585288E-2</c:v>
                </c:pt>
                <c:pt idx="367">
                  <c:v>7.3414682936586886E-2</c:v>
                </c:pt>
                <c:pt idx="368">
                  <c:v>7.3614722944588484E-2</c:v>
                </c:pt>
                <c:pt idx="369">
                  <c:v>7.3814762952590082E-2</c:v>
                </c:pt>
                <c:pt idx="370">
                  <c:v>7.401480296059168E-2</c:v>
                </c:pt>
                <c:pt idx="371">
                  <c:v>7.4214842968593278E-2</c:v>
                </c:pt>
                <c:pt idx="372">
                  <c:v>7.4414882976594876E-2</c:v>
                </c:pt>
                <c:pt idx="373">
                  <c:v>7.4614922984596474E-2</c:v>
                </c:pt>
                <c:pt idx="374">
                  <c:v>7.4814962992598072E-2</c:v>
                </c:pt>
                <c:pt idx="375">
                  <c:v>7.501500300059967E-2</c:v>
                </c:pt>
                <c:pt idx="376">
                  <c:v>7.5215043008601268E-2</c:v>
                </c:pt>
                <c:pt idx="377">
                  <c:v>7.5415083016602866E-2</c:v>
                </c:pt>
                <c:pt idx="378">
                  <c:v>7.5615123024604464E-2</c:v>
                </c:pt>
                <c:pt idx="379">
                  <c:v>7.5815163032606062E-2</c:v>
                </c:pt>
                <c:pt idx="380">
                  <c:v>7.601520304060766E-2</c:v>
                </c:pt>
                <c:pt idx="381">
                  <c:v>7.6215243048609257E-2</c:v>
                </c:pt>
                <c:pt idx="382">
                  <c:v>7.6415283056610855E-2</c:v>
                </c:pt>
                <c:pt idx="383">
                  <c:v>7.6615323064612453E-2</c:v>
                </c:pt>
                <c:pt idx="384">
                  <c:v>7.6815363072614051E-2</c:v>
                </c:pt>
                <c:pt idx="385">
                  <c:v>7.7015403080615649E-2</c:v>
                </c:pt>
                <c:pt idx="386">
                  <c:v>7.7215443088617247E-2</c:v>
                </c:pt>
                <c:pt idx="387">
                  <c:v>7.7415483096618845E-2</c:v>
                </c:pt>
                <c:pt idx="388">
                  <c:v>7.7615523104620443E-2</c:v>
                </c:pt>
                <c:pt idx="389">
                  <c:v>7.7815563112622041E-2</c:v>
                </c:pt>
                <c:pt idx="390">
                  <c:v>7.8015603120623639E-2</c:v>
                </c:pt>
                <c:pt idx="391">
                  <c:v>7.8215643128625237E-2</c:v>
                </c:pt>
                <c:pt idx="392">
                  <c:v>7.8415683136626835E-2</c:v>
                </c:pt>
                <c:pt idx="393">
                  <c:v>7.8615723144628433E-2</c:v>
                </c:pt>
                <c:pt idx="394">
                  <c:v>7.8815763152630031E-2</c:v>
                </c:pt>
                <c:pt idx="395">
                  <c:v>7.9015803160631629E-2</c:v>
                </c:pt>
                <c:pt idx="396">
                  <c:v>7.9215843168633227E-2</c:v>
                </c:pt>
                <c:pt idx="397">
                  <c:v>7.9415883176634824E-2</c:v>
                </c:pt>
                <c:pt idx="398">
                  <c:v>7.9615923184636422E-2</c:v>
                </c:pt>
                <c:pt idx="399">
                  <c:v>7.981596319263802E-2</c:v>
                </c:pt>
                <c:pt idx="400">
                  <c:v>8.0016003200639618E-2</c:v>
                </c:pt>
                <c:pt idx="401">
                  <c:v>8.0216043208641216E-2</c:v>
                </c:pt>
                <c:pt idx="402">
                  <c:v>8.0416083216642814E-2</c:v>
                </c:pt>
                <c:pt idx="403">
                  <c:v>8.0616123224644412E-2</c:v>
                </c:pt>
                <c:pt idx="404">
                  <c:v>8.081616323264601E-2</c:v>
                </c:pt>
                <c:pt idx="405">
                  <c:v>8.1016203240647608E-2</c:v>
                </c:pt>
                <c:pt idx="406">
                  <c:v>8.1216243248649206E-2</c:v>
                </c:pt>
                <c:pt idx="407">
                  <c:v>8.1416283256650804E-2</c:v>
                </c:pt>
                <c:pt idx="408">
                  <c:v>8.1616323264652402E-2</c:v>
                </c:pt>
                <c:pt idx="409">
                  <c:v>8.1816363272654E-2</c:v>
                </c:pt>
                <c:pt idx="410">
                  <c:v>8.2016403280655598E-2</c:v>
                </c:pt>
                <c:pt idx="411">
                  <c:v>8.2216443288657196E-2</c:v>
                </c:pt>
                <c:pt idx="412">
                  <c:v>8.2416483296658793E-2</c:v>
                </c:pt>
                <c:pt idx="413">
                  <c:v>8.2616523304660391E-2</c:v>
                </c:pt>
                <c:pt idx="414">
                  <c:v>8.2816563312661989E-2</c:v>
                </c:pt>
                <c:pt idx="415">
                  <c:v>8.3016603320663587E-2</c:v>
                </c:pt>
                <c:pt idx="416">
                  <c:v>8.3216643328665185E-2</c:v>
                </c:pt>
                <c:pt idx="417">
                  <c:v>8.3416683336666783E-2</c:v>
                </c:pt>
                <c:pt idx="418">
                  <c:v>8.3616723344668381E-2</c:v>
                </c:pt>
                <c:pt idx="419">
                  <c:v>8.3816763352669979E-2</c:v>
                </c:pt>
                <c:pt idx="420">
                  <c:v>8.4016803360671577E-2</c:v>
                </c:pt>
                <c:pt idx="421">
                  <c:v>8.4216843368673175E-2</c:v>
                </c:pt>
                <c:pt idx="422">
                  <c:v>8.4416883376674773E-2</c:v>
                </c:pt>
                <c:pt idx="423">
                  <c:v>8.4616923384676371E-2</c:v>
                </c:pt>
                <c:pt idx="424">
                  <c:v>8.4816963392677969E-2</c:v>
                </c:pt>
                <c:pt idx="425">
                  <c:v>8.5017003400679567E-2</c:v>
                </c:pt>
                <c:pt idx="426">
                  <c:v>8.5217043408681165E-2</c:v>
                </c:pt>
                <c:pt idx="427">
                  <c:v>8.5417083416682762E-2</c:v>
                </c:pt>
                <c:pt idx="428">
                  <c:v>8.561712342468436E-2</c:v>
                </c:pt>
                <c:pt idx="429">
                  <c:v>8.5817163432685958E-2</c:v>
                </c:pt>
                <c:pt idx="430">
                  <c:v>8.6017203440687556E-2</c:v>
                </c:pt>
                <c:pt idx="431">
                  <c:v>8.6217243448689154E-2</c:v>
                </c:pt>
                <c:pt idx="432">
                  <c:v>8.6417283456690752E-2</c:v>
                </c:pt>
                <c:pt idx="433">
                  <c:v>8.661732346469235E-2</c:v>
                </c:pt>
                <c:pt idx="434">
                  <c:v>8.6817363472693948E-2</c:v>
                </c:pt>
                <c:pt idx="435">
                  <c:v>8.7017403480695546E-2</c:v>
                </c:pt>
                <c:pt idx="436">
                  <c:v>8.7217443488697144E-2</c:v>
                </c:pt>
                <c:pt idx="437">
                  <c:v>8.7417483496698742E-2</c:v>
                </c:pt>
                <c:pt idx="438">
                  <c:v>8.761752350470034E-2</c:v>
                </c:pt>
                <c:pt idx="439">
                  <c:v>8.7817563512701938E-2</c:v>
                </c:pt>
                <c:pt idx="440">
                  <c:v>8.8017603520703536E-2</c:v>
                </c:pt>
                <c:pt idx="441">
                  <c:v>8.8217643528705134E-2</c:v>
                </c:pt>
                <c:pt idx="442">
                  <c:v>8.8417683536706732E-2</c:v>
                </c:pt>
                <c:pt idx="443">
                  <c:v>8.8617723544708329E-2</c:v>
                </c:pt>
                <c:pt idx="444">
                  <c:v>8.8817763552709927E-2</c:v>
                </c:pt>
                <c:pt idx="445">
                  <c:v>8.9017803560711525E-2</c:v>
                </c:pt>
                <c:pt idx="446">
                  <c:v>8.9217843568713123E-2</c:v>
                </c:pt>
                <c:pt idx="447">
                  <c:v>8.9417883576714721E-2</c:v>
                </c:pt>
                <c:pt idx="448">
                  <c:v>8.9617923584716319E-2</c:v>
                </c:pt>
                <c:pt idx="449">
                  <c:v>8.9817963592717917E-2</c:v>
                </c:pt>
                <c:pt idx="450">
                  <c:v>9.0018003600719515E-2</c:v>
                </c:pt>
                <c:pt idx="451">
                  <c:v>9.0218043608721113E-2</c:v>
                </c:pt>
                <c:pt idx="452">
                  <c:v>9.0418083616722711E-2</c:v>
                </c:pt>
                <c:pt idx="453">
                  <c:v>9.0618123624724309E-2</c:v>
                </c:pt>
                <c:pt idx="454">
                  <c:v>9.0818163632725907E-2</c:v>
                </c:pt>
                <c:pt idx="455">
                  <c:v>9.1018203640727505E-2</c:v>
                </c:pt>
                <c:pt idx="456">
                  <c:v>9.1218243648729103E-2</c:v>
                </c:pt>
                <c:pt idx="457">
                  <c:v>9.1418283656730701E-2</c:v>
                </c:pt>
                <c:pt idx="458">
                  <c:v>9.1618323664732298E-2</c:v>
                </c:pt>
                <c:pt idx="459">
                  <c:v>9.1818363672733896E-2</c:v>
                </c:pt>
                <c:pt idx="460">
                  <c:v>9.2018403680735494E-2</c:v>
                </c:pt>
                <c:pt idx="461">
                  <c:v>9.2218443688737092E-2</c:v>
                </c:pt>
                <c:pt idx="462">
                  <c:v>9.241848369673869E-2</c:v>
                </c:pt>
                <c:pt idx="463">
                  <c:v>9.2618523704740288E-2</c:v>
                </c:pt>
                <c:pt idx="464">
                  <c:v>9.2818563712741886E-2</c:v>
                </c:pt>
                <c:pt idx="465">
                  <c:v>9.3018603720743484E-2</c:v>
                </c:pt>
                <c:pt idx="466">
                  <c:v>9.3218643728745082E-2</c:v>
                </c:pt>
                <c:pt idx="467">
                  <c:v>9.341868373674668E-2</c:v>
                </c:pt>
                <c:pt idx="468">
                  <c:v>9.3618723744748278E-2</c:v>
                </c:pt>
                <c:pt idx="469">
                  <c:v>9.3818763752749876E-2</c:v>
                </c:pt>
                <c:pt idx="470">
                  <c:v>9.4018803760751474E-2</c:v>
                </c:pt>
                <c:pt idx="471">
                  <c:v>9.4218843768753072E-2</c:v>
                </c:pt>
                <c:pt idx="472">
                  <c:v>9.441888377675467E-2</c:v>
                </c:pt>
                <c:pt idx="473">
                  <c:v>9.4618923784756268E-2</c:v>
                </c:pt>
                <c:pt idx="474">
                  <c:v>9.4818963792757865E-2</c:v>
                </c:pt>
                <c:pt idx="475">
                  <c:v>9.5019003800759463E-2</c:v>
                </c:pt>
                <c:pt idx="476">
                  <c:v>9.5219043808761061E-2</c:v>
                </c:pt>
                <c:pt idx="477">
                  <c:v>9.5419083816762659E-2</c:v>
                </c:pt>
                <c:pt idx="478">
                  <c:v>9.5619123824764257E-2</c:v>
                </c:pt>
                <c:pt idx="479">
                  <c:v>9.5819163832765855E-2</c:v>
                </c:pt>
                <c:pt idx="480">
                  <c:v>9.6019203840767453E-2</c:v>
                </c:pt>
                <c:pt idx="481">
                  <c:v>9.6219243848769051E-2</c:v>
                </c:pt>
                <c:pt idx="482">
                  <c:v>9.6419283856770649E-2</c:v>
                </c:pt>
                <c:pt idx="483">
                  <c:v>9.6619323864772247E-2</c:v>
                </c:pt>
                <c:pt idx="484">
                  <c:v>9.6819363872773845E-2</c:v>
                </c:pt>
                <c:pt idx="485">
                  <c:v>9.7019403880775443E-2</c:v>
                </c:pt>
                <c:pt idx="486">
                  <c:v>9.7219443888777041E-2</c:v>
                </c:pt>
                <c:pt idx="487">
                  <c:v>9.7419483896778639E-2</c:v>
                </c:pt>
                <c:pt idx="488">
                  <c:v>9.7619523904780237E-2</c:v>
                </c:pt>
                <c:pt idx="489">
                  <c:v>9.7819563912781834E-2</c:v>
                </c:pt>
                <c:pt idx="490">
                  <c:v>9.8019603920783432E-2</c:v>
                </c:pt>
                <c:pt idx="491">
                  <c:v>9.821964392878503E-2</c:v>
                </c:pt>
                <c:pt idx="492">
                  <c:v>9.8419683936786628E-2</c:v>
                </c:pt>
                <c:pt idx="493">
                  <c:v>9.8619723944788226E-2</c:v>
                </c:pt>
                <c:pt idx="494">
                  <c:v>9.8819763952789824E-2</c:v>
                </c:pt>
                <c:pt idx="495">
                  <c:v>9.9019803960791422E-2</c:v>
                </c:pt>
                <c:pt idx="496">
                  <c:v>9.921984396879302E-2</c:v>
                </c:pt>
                <c:pt idx="497">
                  <c:v>9.9419883976794618E-2</c:v>
                </c:pt>
                <c:pt idx="498">
                  <c:v>9.9619923984796216E-2</c:v>
                </c:pt>
                <c:pt idx="499">
                  <c:v>9.9819963992797814E-2</c:v>
                </c:pt>
                <c:pt idx="500">
                  <c:v>0.10002000400079941</c:v>
                </c:pt>
                <c:pt idx="501">
                  <c:v>0.10022004400880101</c:v>
                </c:pt>
                <c:pt idx="502">
                  <c:v>0.10042008401680261</c:v>
                </c:pt>
                <c:pt idx="503">
                  <c:v>0.10062012402480421</c:v>
                </c:pt>
                <c:pt idx="504">
                  <c:v>0.1008201640328058</c:v>
                </c:pt>
                <c:pt idx="505">
                  <c:v>0.1010202040408074</c:v>
                </c:pt>
                <c:pt idx="506">
                  <c:v>0.101220244048809</c:v>
                </c:pt>
                <c:pt idx="507">
                  <c:v>0.1014202840568106</c:v>
                </c:pt>
                <c:pt idx="508">
                  <c:v>0.1016203240648122</c:v>
                </c:pt>
                <c:pt idx="509">
                  <c:v>0.10182036407281379</c:v>
                </c:pt>
                <c:pt idx="510">
                  <c:v>0.10202040408081539</c:v>
                </c:pt>
                <c:pt idx="511">
                  <c:v>0.10222044408881699</c:v>
                </c:pt>
                <c:pt idx="512">
                  <c:v>0.10242048409681859</c:v>
                </c:pt>
                <c:pt idx="513">
                  <c:v>0.10262052410482018</c:v>
                </c:pt>
                <c:pt idx="514">
                  <c:v>0.10282056411282178</c:v>
                </c:pt>
                <c:pt idx="515">
                  <c:v>0.10302060412082338</c:v>
                </c:pt>
                <c:pt idx="516">
                  <c:v>0.10322064412882498</c:v>
                </c:pt>
                <c:pt idx="517">
                  <c:v>0.10342068413682658</c:v>
                </c:pt>
                <c:pt idx="518">
                  <c:v>0.10362072414482817</c:v>
                </c:pt>
                <c:pt idx="519">
                  <c:v>0.10382076415282977</c:v>
                </c:pt>
                <c:pt idx="520">
                  <c:v>0.10402080416083137</c:v>
                </c:pt>
                <c:pt idx="521">
                  <c:v>0.10422084416883297</c:v>
                </c:pt>
                <c:pt idx="522">
                  <c:v>0.10442088417683457</c:v>
                </c:pt>
                <c:pt idx="523">
                  <c:v>0.10462092418483616</c:v>
                </c:pt>
                <c:pt idx="524">
                  <c:v>0.10482096419283776</c:v>
                </c:pt>
                <c:pt idx="525">
                  <c:v>0.10502100420083936</c:v>
                </c:pt>
                <c:pt idx="526">
                  <c:v>0.10522104420884096</c:v>
                </c:pt>
                <c:pt idx="527">
                  <c:v>0.10542108421684256</c:v>
                </c:pt>
                <c:pt idx="528">
                  <c:v>0.10562112422484415</c:v>
                </c:pt>
                <c:pt idx="529">
                  <c:v>0.10582116423284575</c:v>
                </c:pt>
                <c:pt idx="530">
                  <c:v>0.10602120424084735</c:v>
                </c:pt>
                <c:pt idx="531">
                  <c:v>0.10622124424884895</c:v>
                </c:pt>
                <c:pt idx="532">
                  <c:v>0.10642128425685055</c:v>
                </c:pt>
                <c:pt idx="533">
                  <c:v>0.10662132426485214</c:v>
                </c:pt>
                <c:pt idx="534">
                  <c:v>0.10682136427285374</c:v>
                </c:pt>
                <c:pt idx="535">
                  <c:v>0.10702140428085534</c:v>
                </c:pt>
                <c:pt idx="536">
                  <c:v>0.10722144428885694</c:v>
                </c:pt>
                <c:pt idx="537">
                  <c:v>0.10742148429685854</c:v>
                </c:pt>
                <c:pt idx="538">
                  <c:v>0.10762152430486013</c:v>
                </c:pt>
                <c:pt idx="539">
                  <c:v>0.10782156431286173</c:v>
                </c:pt>
                <c:pt idx="540">
                  <c:v>0.10802160432086333</c:v>
                </c:pt>
                <c:pt idx="541">
                  <c:v>0.10822164432886493</c:v>
                </c:pt>
                <c:pt idx="542">
                  <c:v>0.10842168433686653</c:v>
                </c:pt>
                <c:pt idx="543">
                  <c:v>0.10862172434486812</c:v>
                </c:pt>
                <c:pt idx="544">
                  <c:v>0.10882176435286972</c:v>
                </c:pt>
                <c:pt idx="545">
                  <c:v>0.10902180436087132</c:v>
                </c:pt>
                <c:pt idx="546">
                  <c:v>0.10922184436887292</c:v>
                </c:pt>
                <c:pt idx="547">
                  <c:v>0.10942188437687451</c:v>
                </c:pt>
                <c:pt idx="548">
                  <c:v>0.10962192438487611</c:v>
                </c:pt>
                <c:pt idx="549">
                  <c:v>0.10982196439287771</c:v>
                </c:pt>
                <c:pt idx="550">
                  <c:v>0.11002200440087931</c:v>
                </c:pt>
                <c:pt idx="551">
                  <c:v>0.11022204440888091</c:v>
                </c:pt>
                <c:pt idx="552">
                  <c:v>0.1104220844168825</c:v>
                </c:pt>
                <c:pt idx="553">
                  <c:v>0.1106221244248841</c:v>
                </c:pt>
                <c:pt idx="554">
                  <c:v>0.1108221644328857</c:v>
                </c:pt>
                <c:pt idx="555">
                  <c:v>0.1110222044408873</c:v>
                </c:pt>
                <c:pt idx="556">
                  <c:v>0.1112222444488889</c:v>
                </c:pt>
                <c:pt idx="557">
                  <c:v>0.11142228445689049</c:v>
                </c:pt>
                <c:pt idx="558">
                  <c:v>0.11162232446489209</c:v>
                </c:pt>
                <c:pt idx="559">
                  <c:v>0.11182236447289369</c:v>
                </c:pt>
                <c:pt idx="560">
                  <c:v>0.11202240448089529</c:v>
                </c:pt>
                <c:pt idx="561">
                  <c:v>0.11222244448889689</c:v>
                </c:pt>
                <c:pt idx="562">
                  <c:v>0.11242248449689848</c:v>
                </c:pt>
                <c:pt idx="563">
                  <c:v>0.11262252450490008</c:v>
                </c:pt>
                <c:pt idx="564">
                  <c:v>0.11282256451290168</c:v>
                </c:pt>
                <c:pt idx="565">
                  <c:v>0.11302260452090328</c:v>
                </c:pt>
                <c:pt idx="566">
                  <c:v>0.11322264452890488</c:v>
                </c:pt>
                <c:pt idx="567">
                  <c:v>0.11342268453690647</c:v>
                </c:pt>
                <c:pt idx="568">
                  <c:v>0.11362272454490807</c:v>
                </c:pt>
                <c:pt idx="569">
                  <c:v>0.11382276455290967</c:v>
                </c:pt>
                <c:pt idx="570">
                  <c:v>0.11402280456091127</c:v>
                </c:pt>
                <c:pt idx="571">
                  <c:v>0.11422284456891287</c:v>
                </c:pt>
                <c:pt idx="572">
                  <c:v>0.11442288457691446</c:v>
                </c:pt>
                <c:pt idx="573">
                  <c:v>0.11462292458491606</c:v>
                </c:pt>
                <c:pt idx="574">
                  <c:v>0.11482296459291766</c:v>
                </c:pt>
                <c:pt idx="575">
                  <c:v>0.11502300460091926</c:v>
                </c:pt>
                <c:pt idx="576">
                  <c:v>0.11522304460892085</c:v>
                </c:pt>
                <c:pt idx="577">
                  <c:v>0.11542308461692245</c:v>
                </c:pt>
                <c:pt idx="578">
                  <c:v>0.11562312462492405</c:v>
                </c:pt>
                <c:pt idx="579">
                  <c:v>0.11582316463292565</c:v>
                </c:pt>
                <c:pt idx="580">
                  <c:v>0.11602320464092725</c:v>
                </c:pt>
                <c:pt idx="581">
                  <c:v>0.11622324464892884</c:v>
                </c:pt>
                <c:pt idx="582">
                  <c:v>0.11642328465693044</c:v>
                </c:pt>
                <c:pt idx="583">
                  <c:v>0.11662332466493204</c:v>
                </c:pt>
                <c:pt idx="584">
                  <c:v>0.11682336467293364</c:v>
                </c:pt>
                <c:pt idx="585">
                  <c:v>0.11702340468093524</c:v>
                </c:pt>
                <c:pt idx="586">
                  <c:v>0.11722344468893683</c:v>
                </c:pt>
                <c:pt idx="587">
                  <c:v>0.11742348469693843</c:v>
                </c:pt>
                <c:pt idx="588">
                  <c:v>0.11762352470494003</c:v>
                </c:pt>
                <c:pt idx="589">
                  <c:v>0.11782356471294163</c:v>
                </c:pt>
                <c:pt idx="590">
                  <c:v>0.11802360472094323</c:v>
                </c:pt>
                <c:pt idx="591">
                  <c:v>0.11822364472894482</c:v>
                </c:pt>
                <c:pt idx="592">
                  <c:v>0.11842368473694642</c:v>
                </c:pt>
                <c:pt idx="593">
                  <c:v>0.11862372474494802</c:v>
                </c:pt>
                <c:pt idx="594">
                  <c:v>0.11882376475294962</c:v>
                </c:pt>
                <c:pt idx="595">
                  <c:v>0.11902380476095122</c:v>
                </c:pt>
                <c:pt idx="596">
                  <c:v>0.11922384476895281</c:v>
                </c:pt>
                <c:pt idx="597">
                  <c:v>0.11942388477695441</c:v>
                </c:pt>
                <c:pt idx="598">
                  <c:v>0.11962392478495601</c:v>
                </c:pt>
                <c:pt idx="599">
                  <c:v>0.11982396479295761</c:v>
                </c:pt>
                <c:pt idx="600">
                  <c:v>0.12002400480095921</c:v>
                </c:pt>
                <c:pt idx="601">
                  <c:v>0.1202240448089608</c:v>
                </c:pt>
                <c:pt idx="602">
                  <c:v>0.1204240848169624</c:v>
                </c:pt>
                <c:pt idx="603">
                  <c:v>0.120624124824964</c:v>
                </c:pt>
                <c:pt idx="604">
                  <c:v>0.1208241648329656</c:v>
                </c:pt>
                <c:pt idx="605">
                  <c:v>0.12102420484096719</c:v>
                </c:pt>
                <c:pt idx="606">
                  <c:v>0.12122424484896879</c:v>
                </c:pt>
                <c:pt idx="607">
                  <c:v>0.12142428485697039</c:v>
                </c:pt>
                <c:pt idx="608">
                  <c:v>0.12162432486497199</c:v>
                </c:pt>
                <c:pt idx="609">
                  <c:v>0.12182436487297359</c:v>
                </c:pt>
                <c:pt idx="610">
                  <c:v>0.12202440488097518</c:v>
                </c:pt>
                <c:pt idx="611">
                  <c:v>0.12222444488897678</c:v>
                </c:pt>
                <c:pt idx="612">
                  <c:v>0.12242448489697838</c:v>
                </c:pt>
                <c:pt idx="613">
                  <c:v>0.12262452490497998</c:v>
                </c:pt>
                <c:pt idx="614">
                  <c:v>0.12282456491298158</c:v>
                </c:pt>
                <c:pt idx="615">
                  <c:v>0.12302460492098317</c:v>
                </c:pt>
                <c:pt idx="616">
                  <c:v>0.12322464492898477</c:v>
                </c:pt>
                <c:pt idx="617">
                  <c:v>0.12342468493698637</c:v>
                </c:pt>
                <c:pt idx="618">
                  <c:v>0.12362472494498797</c:v>
                </c:pt>
                <c:pt idx="619">
                  <c:v>0.12382476495298957</c:v>
                </c:pt>
                <c:pt idx="620">
                  <c:v>0.12402480496099116</c:v>
                </c:pt>
                <c:pt idx="621">
                  <c:v>0.12422484496899276</c:v>
                </c:pt>
                <c:pt idx="622">
                  <c:v>0.12442488497699436</c:v>
                </c:pt>
                <c:pt idx="623">
                  <c:v>0.12462492498499596</c:v>
                </c:pt>
                <c:pt idx="624">
                  <c:v>0.12482496499299756</c:v>
                </c:pt>
                <c:pt idx="625">
                  <c:v>0.12502500500099917</c:v>
                </c:pt>
                <c:pt idx="626">
                  <c:v>0.12522504500900078</c:v>
                </c:pt>
                <c:pt idx="627">
                  <c:v>0.12542508501700239</c:v>
                </c:pt>
                <c:pt idx="628">
                  <c:v>0.125625125025004</c:v>
                </c:pt>
                <c:pt idx="629">
                  <c:v>0.12582516503300561</c:v>
                </c:pt>
                <c:pt idx="630">
                  <c:v>0.12602520504100723</c:v>
                </c:pt>
                <c:pt idx="631">
                  <c:v>0.12622524504900884</c:v>
                </c:pt>
                <c:pt idx="632">
                  <c:v>0.12642528505701045</c:v>
                </c:pt>
                <c:pt idx="633">
                  <c:v>0.12662532506501206</c:v>
                </c:pt>
                <c:pt idx="634">
                  <c:v>0.12682536507301367</c:v>
                </c:pt>
                <c:pt idx="635">
                  <c:v>0.12702540508101529</c:v>
                </c:pt>
                <c:pt idx="636">
                  <c:v>0.1272254450890169</c:v>
                </c:pt>
                <c:pt idx="637">
                  <c:v>0.12742548509701851</c:v>
                </c:pt>
                <c:pt idx="638">
                  <c:v>0.12762552510502012</c:v>
                </c:pt>
                <c:pt idx="639">
                  <c:v>0.12782556511302173</c:v>
                </c:pt>
                <c:pt idx="640">
                  <c:v>0.12802560512102334</c:v>
                </c:pt>
                <c:pt idx="641">
                  <c:v>0.12822564512902496</c:v>
                </c:pt>
                <c:pt idx="642">
                  <c:v>0.12842568513702657</c:v>
                </c:pt>
                <c:pt idx="643">
                  <c:v>0.12862572514502818</c:v>
                </c:pt>
                <c:pt idx="644">
                  <c:v>0.12882576515302979</c:v>
                </c:pt>
                <c:pt idx="645">
                  <c:v>0.1290258051610314</c:v>
                </c:pt>
                <c:pt idx="646">
                  <c:v>0.12922584516903302</c:v>
                </c:pt>
                <c:pt idx="647">
                  <c:v>0.12942588517703463</c:v>
                </c:pt>
                <c:pt idx="648">
                  <c:v>0.12962592518503624</c:v>
                </c:pt>
                <c:pt idx="649">
                  <c:v>0.12982596519303785</c:v>
                </c:pt>
                <c:pt idx="650">
                  <c:v>0.13002600520103946</c:v>
                </c:pt>
                <c:pt idx="651">
                  <c:v>0.13022604520904107</c:v>
                </c:pt>
                <c:pt idx="652">
                  <c:v>0.13042608521704269</c:v>
                </c:pt>
                <c:pt idx="653">
                  <c:v>0.1306261252250443</c:v>
                </c:pt>
                <c:pt idx="654">
                  <c:v>0.13082616523304591</c:v>
                </c:pt>
                <c:pt idx="655">
                  <c:v>0.13102620524104752</c:v>
                </c:pt>
                <c:pt idx="656">
                  <c:v>0.13122624524904913</c:v>
                </c:pt>
                <c:pt idx="657">
                  <c:v>0.13142628525705075</c:v>
                </c:pt>
                <c:pt idx="658">
                  <c:v>0.13162632526505236</c:v>
                </c:pt>
                <c:pt idx="659">
                  <c:v>0.13182636527305397</c:v>
                </c:pt>
                <c:pt idx="660">
                  <c:v>0.13202640528105558</c:v>
                </c:pt>
                <c:pt idx="661">
                  <c:v>0.13222644528905719</c:v>
                </c:pt>
                <c:pt idx="662">
                  <c:v>0.1324264852970588</c:v>
                </c:pt>
                <c:pt idx="663">
                  <c:v>0.13262652530506042</c:v>
                </c:pt>
                <c:pt idx="664">
                  <c:v>0.13282656531306203</c:v>
                </c:pt>
                <c:pt idx="665">
                  <c:v>0.13302660532106364</c:v>
                </c:pt>
                <c:pt idx="666">
                  <c:v>0.13322664532906525</c:v>
                </c:pt>
                <c:pt idx="667">
                  <c:v>0.13342668533706686</c:v>
                </c:pt>
                <c:pt idx="668">
                  <c:v>0.13362672534506848</c:v>
                </c:pt>
                <c:pt idx="669">
                  <c:v>0.13382676535307009</c:v>
                </c:pt>
                <c:pt idx="670">
                  <c:v>0.1340268053610717</c:v>
                </c:pt>
                <c:pt idx="671">
                  <c:v>0.13422684536907331</c:v>
                </c:pt>
                <c:pt idx="672">
                  <c:v>0.13442688537707492</c:v>
                </c:pt>
                <c:pt idx="673">
                  <c:v>0.13462692538507653</c:v>
                </c:pt>
                <c:pt idx="674">
                  <c:v>0.13482696539307815</c:v>
                </c:pt>
                <c:pt idx="675">
                  <c:v>0.13502700540107976</c:v>
                </c:pt>
                <c:pt idx="676">
                  <c:v>0.13522704540908137</c:v>
                </c:pt>
                <c:pt idx="677">
                  <c:v>0.13542708541708298</c:v>
                </c:pt>
                <c:pt idx="678">
                  <c:v>0.13562712542508459</c:v>
                </c:pt>
                <c:pt idx="679">
                  <c:v>0.13582716543308621</c:v>
                </c:pt>
                <c:pt idx="680">
                  <c:v>0.13602720544108782</c:v>
                </c:pt>
                <c:pt idx="681">
                  <c:v>0.13622724544908943</c:v>
                </c:pt>
                <c:pt idx="682">
                  <c:v>0.13642728545709104</c:v>
                </c:pt>
                <c:pt idx="683">
                  <c:v>0.13662732546509265</c:v>
                </c:pt>
                <c:pt idx="684">
                  <c:v>0.13682736547309426</c:v>
                </c:pt>
                <c:pt idx="685">
                  <c:v>0.13702740548109588</c:v>
                </c:pt>
                <c:pt idx="686">
                  <c:v>0.13722744548909749</c:v>
                </c:pt>
                <c:pt idx="687">
                  <c:v>0.1374274854970991</c:v>
                </c:pt>
                <c:pt idx="688">
                  <c:v>0.13762752550510071</c:v>
                </c:pt>
                <c:pt idx="689">
                  <c:v>0.13782756551310232</c:v>
                </c:pt>
                <c:pt idx="690">
                  <c:v>0.13802760552110394</c:v>
                </c:pt>
                <c:pt idx="691">
                  <c:v>0.13822764552910555</c:v>
                </c:pt>
                <c:pt idx="692">
                  <c:v>0.13842768553710716</c:v>
                </c:pt>
                <c:pt idx="693">
                  <c:v>0.13862772554510877</c:v>
                </c:pt>
                <c:pt idx="694">
                  <c:v>0.13882776555311038</c:v>
                </c:pt>
                <c:pt idx="695">
                  <c:v>0.13902780556111199</c:v>
                </c:pt>
                <c:pt idx="696">
                  <c:v>0.13922784556911361</c:v>
                </c:pt>
                <c:pt idx="697">
                  <c:v>0.13942788557711522</c:v>
                </c:pt>
                <c:pt idx="698">
                  <c:v>0.13962792558511683</c:v>
                </c:pt>
                <c:pt idx="699">
                  <c:v>0.13982796559311844</c:v>
                </c:pt>
                <c:pt idx="700">
                  <c:v>0.14002800560112005</c:v>
                </c:pt>
                <c:pt idx="701">
                  <c:v>0.14022804560912167</c:v>
                </c:pt>
                <c:pt idx="702">
                  <c:v>0.14042808561712328</c:v>
                </c:pt>
                <c:pt idx="703">
                  <c:v>0.14062812562512489</c:v>
                </c:pt>
                <c:pt idx="704">
                  <c:v>0.1408281656331265</c:v>
                </c:pt>
                <c:pt idx="705">
                  <c:v>0.14102820564112811</c:v>
                </c:pt>
                <c:pt idx="706">
                  <c:v>0.14122824564912972</c:v>
                </c:pt>
                <c:pt idx="707">
                  <c:v>0.14142828565713134</c:v>
                </c:pt>
                <c:pt idx="708">
                  <c:v>0.14162832566513295</c:v>
                </c:pt>
                <c:pt idx="709">
                  <c:v>0.14182836567313456</c:v>
                </c:pt>
                <c:pt idx="710">
                  <c:v>0.14202840568113617</c:v>
                </c:pt>
                <c:pt idx="711">
                  <c:v>0.14222844568913778</c:v>
                </c:pt>
                <c:pt idx="712">
                  <c:v>0.1424284856971394</c:v>
                </c:pt>
                <c:pt idx="713">
                  <c:v>0.14262852570514101</c:v>
                </c:pt>
                <c:pt idx="714">
                  <c:v>0.14282856571314262</c:v>
                </c:pt>
                <c:pt idx="715">
                  <c:v>0.14302860572114423</c:v>
                </c:pt>
                <c:pt idx="716">
                  <c:v>0.14322864572914584</c:v>
                </c:pt>
                <c:pt idx="717">
                  <c:v>0.14342868573714745</c:v>
                </c:pt>
                <c:pt idx="718">
                  <c:v>0.14362872574514907</c:v>
                </c:pt>
                <c:pt idx="719">
                  <c:v>0.14382876575315068</c:v>
                </c:pt>
                <c:pt idx="720">
                  <c:v>0.14402880576115229</c:v>
                </c:pt>
                <c:pt idx="721">
                  <c:v>0.1442288457691539</c:v>
                </c:pt>
                <c:pt idx="722">
                  <c:v>0.14442888577715551</c:v>
                </c:pt>
                <c:pt idx="723">
                  <c:v>0.14462892578515713</c:v>
                </c:pt>
                <c:pt idx="724">
                  <c:v>0.14482896579315874</c:v>
                </c:pt>
                <c:pt idx="725">
                  <c:v>0.14502900580116035</c:v>
                </c:pt>
                <c:pt idx="726">
                  <c:v>0.14522904580916196</c:v>
                </c:pt>
                <c:pt idx="727">
                  <c:v>0.14542908581716357</c:v>
                </c:pt>
                <c:pt idx="728">
                  <c:v>0.14562912582516518</c:v>
                </c:pt>
                <c:pt idx="729">
                  <c:v>0.1458291658331668</c:v>
                </c:pt>
                <c:pt idx="730">
                  <c:v>0.14602920584116841</c:v>
                </c:pt>
                <c:pt idx="731">
                  <c:v>0.14622924584917002</c:v>
                </c:pt>
                <c:pt idx="732">
                  <c:v>0.14642928585717163</c:v>
                </c:pt>
                <c:pt idx="733">
                  <c:v>0.14662932586517324</c:v>
                </c:pt>
                <c:pt idx="734">
                  <c:v>0.14682936587317486</c:v>
                </c:pt>
                <c:pt idx="735">
                  <c:v>0.14702940588117647</c:v>
                </c:pt>
                <c:pt idx="736">
                  <c:v>0.14722944588917808</c:v>
                </c:pt>
                <c:pt idx="737">
                  <c:v>0.14742948589717969</c:v>
                </c:pt>
                <c:pt idx="738">
                  <c:v>0.1476295259051813</c:v>
                </c:pt>
                <c:pt idx="739">
                  <c:v>0.14782956591318291</c:v>
                </c:pt>
                <c:pt idx="740">
                  <c:v>0.14802960592118453</c:v>
                </c:pt>
                <c:pt idx="741">
                  <c:v>0.14822964592918614</c:v>
                </c:pt>
                <c:pt idx="742">
                  <c:v>0.14842968593718775</c:v>
                </c:pt>
                <c:pt idx="743">
                  <c:v>0.14862972594518936</c:v>
                </c:pt>
                <c:pt idx="744">
                  <c:v>0.14882976595319097</c:v>
                </c:pt>
                <c:pt idx="745">
                  <c:v>0.14902980596119259</c:v>
                </c:pt>
                <c:pt idx="746">
                  <c:v>0.1492298459691942</c:v>
                </c:pt>
                <c:pt idx="747">
                  <c:v>0.14942988597719581</c:v>
                </c:pt>
                <c:pt idx="748">
                  <c:v>0.14962992598519742</c:v>
                </c:pt>
                <c:pt idx="749">
                  <c:v>0.14982996599319903</c:v>
                </c:pt>
                <c:pt idx="750">
                  <c:v>0.15003000600120064</c:v>
                </c:pt>
                <c:pt idx="751">
                  <c:v>0.15023004600920226</c:v>
                </c:pt>
                <c:pt idx="752">
                  <c:v>0.15043008601720387</c:v>
                </c:pt>
                <c:pt idx="753">
                  <c:v>0.15063012602520548</c:v>
                </c:pt>
                <c:pt idx="754">
                  <c:v>0.15083016603320709</c:v>
                </c:pt>
                <c:pt idx="755">
                  <c:v>0.1510302060412087</c:v>
                </c:pt>
                <c:pt idx="756">
                  <c:v>0.15123024604921032</c:v>
                </c:pt>
                <c:pt idx="757">
                  <c:v>0.15143028605721193</c:v>
                </c:pt>
                <c:pt idx="758">
                  <c:v>0.15163032606521354</c:v>
                </c:pt>
                <c:pt idx="759">
                  <c:v>0.15183036607321515</c:v>
                </c:pt>
                <c:pt idx="760">
                  <c:v>0.15203040608121676</c:v>
                </c:pt>
                <c:pt idx="761">
                  <c:v>0.15223044608921837</c:v>
                </c:pt>
                <c:pt idx="762">
                  <c:v>0.15243048609721999</c:v>
                </c:pt>
                <c:pt idx="763">
                  <c:v>0.1526305261052216</c:v>
                </c:pt>
                <c:pt idx="764">
                  <c:v>0.15283056611322321</c:v>
                </c:pt>
                <c:pt idx="765">
                  <c:v>0.15303060612122482</c:v>
                </c:pt>
                <c:pt idx="766">
                  <c:v>0.15323064612922643</c:v>
                </c:pt>
                <c:pt idx="767">
                  <c:v>0.15343068613722805</c:v>
                </c:pt>
                <c:pt idx="768">
                  <c:v>0.15363072614522966</c:v>
                </c:pt>
                <c:pt idx="769">
                  <c:v>0.15383076615323127</c:v>
                </c:pt>
                <c:pt idx="770">
                  <c:v>0.15403080616123288</c:v>
                </c:pt>
                <c:pt idx="771">
                  <c:v>0.15423084616923449</c:v>
                </c:pt>
                <c:pt idx="772">
                  <c:v>0.1544308861772361</c:v>
                </c:pt>
                <c:pt idx="773">
                  <c:v>0.15463092618523772</c:v>
                </c:pt>
                <c:pt idx="774">
                  <c:v>0.15483096619323933</c:v>
                </c:pt>
                <c:pt idx="775">
                  <c:v>0.15503100620124094</c:v>
                </c:pt>
                <c:pt idx="776">
                  <c:v>0.15523104620924255</c:v>
                </c:pt>
                <c:pt idx="777">
                  <c:v>0.15543108621724416</c:v>
                </c:pt>
                <c:pt idx="778">
                  <c:v>0.15563112622524577</c:v>
                </c:pt>
                <c:pt idx="779">
                  <c:v>0.15583116623324739</c:v>
                </c:pt>
                <c:pt idx="780">
                  <c:v>0.156031206241249</c:v>
                </c:pt>
                <c:pt idx="781">
                  <c:v>0.15623124624925061</c:v>
                </c:pt>
                <c:pt idx="782">
                  <c:v>0.15643128625725222</c:v>
                </c:pt>
                <c:pt idx="783">
                  <c:v>0.15663132626525383</c:v>
                </c:pt>
                <c:pt idx="784">
                  <c:v>0.15683136627325545</c:v>
                </c:pt>
                <c:pt idx="785">
                  <c:v>0.15703140628125706</c:v>
                </c:pt>
                <c:pt idx="786">
                  <c:v>0.15723144628925867</c:v>
                </c:pt>
                <c:pt idx="787">
                  <c:v>0.15743148629726028</c:v>
                </c:pt>
                <c:pt idx="788">
                  <c:v>0.15763152630526189</c:v>
                </c:pt>
                <c:pt idx="789">
                  <c:v>0.1578315663132635</c:v>
                </c:pt>
                <c:pt idx="790">
                  <c:v>0.15803160632126512</c:v>
                </c:pt>
                <c:pt idx="791">
                  <c:v>0.15823164632926673</c:v>
                </c:pt>
                <c:pt idx="792">
                  <c:v>0.15843168633726834</c:v>
                </c:pt>
                <c:pt idx="793">
                  <c:v>0.15863172634526995</c:v>
                </c:pt>
                <c:pt idx="794">
                  <c:v>0.15883176635327156</c:v>
                </c:pt>
                <c:pt idx="795">
                  <c:v>0.15903180636127318</c:v>
                </c:pt>
                <c:pt idx="796">
                  <c:v>0.15923184636927479</c:v>
                </c:pt>
                <c:pt idx="797">
                  <c:v>0.1594318863772764</c:v>
                </c:pt>
                <c:pt idx="798">
                  <c:v>0.15963192638527801</c:v>
                </c:pt>
                <c:pt idx="799">
                  <c:v>0.15983196639327962</c:v>
                </c:pt>
                <c:pt idx="800">
                  <c:v>0.16003200640128123</c:v>
                </c:pt>
                <c:pt idx="801">
                  <c:v>0.16023204640928285</c:v>
                </c:pt>
                <c:pt idx="802">
                  <c:v>0.16043208641728446</c:v>
                </c:pt>
                <c:pt idx="803">
                  <c:v>0.16063212642528607</c:v>
                </c:pt>
                <c:pt idx="804">
                  <c:v>0.16083216643328768</c:v>
                </c:pt>
                <c:pt idx="805">
                  <c:v>0.16103220644128929</c:v>
                </c:pt>
                <c:pt idx="806">
                  <c:v>0.16123224644929091</c:v>
                </c:pt>
                <c:pt idx="807">
                  <c:v>0.16143228645729252</c:v>
                </c:pt>
                <c:pt idx="808">
                  <c:v>0.16163232646529413</c:v>
                </c:pt>
                <c:pt idx="809">
                  <c:v>0.16183236647329574</c:v>
                </c:pt>
                <c:pt idx="810">
                  <c:v>0.16203240648129735</c:v>
                </c:pt>
                <c:pt idx="811">
                  <c:v>0.16223244648929896</c:v>
                </c:pt>
                <c:pt idx="812">
                  <c:v>0.16243248649730058</c:v>
                </c:pt>
                <c:pt idx="813">
                  <c:v>0.16263252650530219</c:v>
                </c:pt>
                <c:pt idx="814">
                  <c:v>0.1628325665133038</c:v>
                </c:pt>
                <c:pt idx="815">
                  <c:v>0.16303260652130541</c:v>
                </c:pt>
                <c:pt idx="816">
                  <c:v>0.16323264652930702</c:v>
                </c:pt>
                <c:pt idx="817">
                  <c:v>0.16343268653730864</c:v>
                </c:pt>
                <c:pt idx="818">
                  <c:v>0.16363272654531025</c:v>
                </c:pt>
                <c:pt idx="819">
                  <c:v>0.16383276655331186</c:v>
                </c:pt>
                <c:pt idx="820">
                  <c:v>0.16403280656131347</c:v>
                </c:pt>
                <c:pt idx="821">
                  <c:v>0.16423284656931508</c:v>
                </c:pt>
                <c:pt idx="822">
                  <c:v>0.16443288657731669</c:v>
                </c:pt>
                <c:pt idx="823">
                  <c:v>0.16463292658531831</c:v>
                </c:pt>
                <c:pt idx="824">
                  <c:v>0.16483296659331992</c:v>
                </c:pt>
                <c:pt idx="825">
                  <c:v>0.16503300660132153</c:v>
                </c:pt>
                <c:pt idx="826">
                  <c:v>0.16523304660932314</c:v>
                </c:pt>
                <c:pt idx="827">
                  <c:v>0.16543308661732475</c:v>
                </c:pt>
                <c:pt idx="828">
                  <c:v>0.16563312662532637</c:v>
                </c:pt>
                <c:pt idx="829">
                  <c:v>0.16583316663332798</c:v>
                </c:pt>
                <c:pt idx="830">
                  <c:v>0.16603320664132959</c:v>
                </c:pt>
                <c:pt idx="831">
                  <c:v>0.1662332466493312</c:v>
                </c:pt>
                <c:pt idx="832">
                  <c:v>0.16643328665733281</c:v>
                </c:pt>
                <c:pt idx="833">
                  <c:v>0.16663332666533442</c:v>
                </c:pt>
                <c:pt idx="834">
                  <c:v>0.16683336667333604</c:v>
                </c:pt>
                <c:pt idx="835">
                  <c:v>0.16703340668133765</c:v>
                </c:pt>
                <c:pt idx="836">
                  <c:v>0.16723344668933926</c:v>
                </c:pt>
                <c:pt idx="837">
                  <c:v>0.16743348669734087</c:v>
                </c:pt>
                <c:pt idx="838">
                  <c:v>0.16763352670534248</c:v>
                </c:pt>
                <c:pt idx="839">
                  <c:v>0.1678335667133441</c:v>
                </c:pt>
                <c:pt idx="840">
                  <c:v>0.16803360672134571</c:v>
                </c:pt>
                <c:pt idx="841">
                  <c:v>0.16823364672934732</c:v>
                </c:pt>
                <c:pt idx="842">
                  <c:v>0.16843368673734893</c:v>
                </c:pt>
                <c:pt idx="843">
                  <c:v>0.16863372674535054</c:v>
                </c:pt>
                <c:pt idx="844">
                  <c:v>0.16883376675335215</c:v>
                </c:pt>
                <c:pt idx="845">
                  <c:v>0.16903380676135377</c:v>
                </c:pt>
                <c:pt idx="846">
                  <c:v>0.16923384676935538</c:v>
                </c:pt>
                <c:pt idx="847">
                  <c:v>0.16943388677735699</c:v>
                </c:pt>
                <c:pt idx="848">
                  <c:v>0.1696339267853586</c:v>
                </c:pt>
                <c:pt idx="849">
                  <c:v>0.16983396679336021</c:v>
                </c:pt>
                <c:pt idx="850">
                  <c:v>0.17003400680136183</c:v>
                </c:pt>
                <c:pt idx="851">
                  <c:v>0.17023404680936344</c:v>
                </c:pt>
                <c:pt idx="852">
                  <c:v>0.17043408681736505</c:v>
                </c:pt>
                <c:pt idx="853">
                  <c:v>0.17063412682536666</c:v>
                </c:pt>
                <c:pt idx="854">
                  <c:v>0.17083416683336827</c:v>
                </c:pt>
                <c:pt idx="855">
                  <c:v>0.17103420684136988</c:v>
                </c:pt>
                <c:pt idx="856">
                  <c:v>0.1712342468493715</c:v>
                </c:pt>
                <c:pt idx="857">
                  <c:v>0.17143428685737311</c:v>
                </c:pt>
                <c:pt idx="858">
                  <c:v>0.17163432686537472</c:v>
                </c:pt>
                <c:pt idx="859">
                  <c:v>0.17183436687337633</c:v>
                </c:pt>
                <c:pt idx="860">
                  <c:v>0.17203440688137794</c:v>
                </c:pt>
                <c:pt idx="861">
                  <c:v>0.17223444688937956</c:v>
                </c:pt>
                <c:pt idx="862">
                  <c:v>0.17243448689738117</c:v>
                </c:pt>
                <c:pt idx="863">
                  <c:v>0.17263452690538278</c:v>
                </c:pt>
                <c:pt idx="864">
                  <c:v>0.17283456691338439</c:v>
                </c:pt>
                <c:pt idx="865">
                  <c:v>0.173034606921386</c:v>
                </c:pt>
                <c:pt idx="866">
                  <c:v>0.17323464692938761</c:v>
                </c:pt>
                <c:pt idx="867">
                  <c:v>0.17343468693738923</c:v>
                </c:pt>
                <c:pt idx="868">
                  <c:v>0.17363472694539084</c:v>
                </c:pt>
                <c:pt idx="869">
                  <c:v>0.17383476695339245</c:v>
                </c:pt>
                <c:pt idx="870">
                  <c:v>0.17403480696139406</c:v>
                </c:pt>
                <c:pt idx="871">
                  <c:v>0.17423484696939567</c:v>
                </c:pt>
                <c:pt idx="872">
                  <c:v>0.17443488697739729</c:v>
                </c:pt>
                <c:pt idx="873">
                  <c:v>0.1746349269853989</c:v>
                </c:pt>
                <c:pt idx="874">
                  <c:v>0.17483496699340051</c:v>
                </c:pt>
                <c:pt idx="875">
                  <c:v>0.17503500700140212</c:v>
                </c:pt>
                <c:pt idx="876">
                  <c:v>0.17523504700940373</c:v>
                </c:pt>
                <c:pt idx="877">
                  <c:v>0.17543508701740534</c:v>
                </c:pt>
                <c:pt idx="878">
                  <c:v>0.17563512702540696</c:v>
                </c:pt>
                <c:pt idx="879">
                  <c:v>0.17583516703340857</c:v>
                </c:pt>
                <c:pt idx="880">
                  <c:v>0.17603520704141018</c:v>
                </c:pt>
                <c:pt idx="881">
                  <c:v>0.17623524704941179</c:v>
                </c:pt>
                <c:pt idx="882">
                  <c:v>0.1764352870574134</c:v>
                </c:pt>
                <c:pt idx="883">
                  <c:v>0.17663532706541502</c:v>
                </c:pt>
                <c:pt idx="884">
                  <c:v>0.17683536707341663</c:v>
                </c:pt>
                <c:pt idx="885">
                  <c:v>0.17703540708141824</c:v>
                </c:pt>
                <c:pt idx="886">
                  <c:v>0.17723544708941985</c:v>
                </c:pt>
                <c:pt idx="887">
                  <c:v>0.17743548709742146</c:v>
                </c:pt>
                <c:pt idx="888">
                  <c:v>0.17763552710542307</c:v>
                </c:pt>
                <c:pt idx="889">
                  <c:v>0.17783556711342469</c:v>
                </c:pt>
                <c:pt idx="890">
                  <c:v>0.1780356071214263</c:v>
                </c:pt>
                <c:pt idx="891">
                  <c:v>0.17823564712942791</c:v>
                </c:pt>
                <c:pt idx="892">
                  <c:v>0.17843568713742952</c:v>
                </c:pt>
                <c:pt idx="893">
                  <c:v>0.17863572714543113</c:v>
                </c:pt>
                <c:pt idx="894">
                  <c:v>0.17883576715343275</c:v>
                </c:pt>
                <c:pt idx="895">
                  <c:v>0.17903580716143436</c:v>
                </c:pt>
                <c:pt idx="896">
                  <c:v>0.17923584716943597</c:v>
                </c:pt>
                <c:pt idx="897">
                  <c:v>0.17943588717743758</c:v>
                </c:pt>
                <c:pt idx="898">
                  <c:v>0.17963592718543919</c:v>
                </c:pt>
                <c:pt idx="899">
                  <c:v>0.1798359671934408</c:v>
                </c:pt>
                <c:pt idx="900">
                  <c:v>0.18003600720144242</c:v>
                </c:pt>
                <c:pt idx="901">
                  <c:v>0.18023604720944403</c:v>
                </c:pt>
                <c:pt idx="902">
                  <c:v>0.18043608721744564</c:v>
                </c:pt>
                <c:pt idx="903">
                  <c:v>0.18063612722544725</c:v>
                </c:pt>
                <c:pt idx="904">
                  <c:v>0.18083616723344886</c:v>
                </c:pt>
                <c:pt idx="905">
                  <c:v>0.18103620724145048</c:v>
                </c:pt>
                <c:pt idx="906">
                  <c:v>0.18123624724945209</c:v>
                </c:pt>
                <c:pt idx="907">
                  <c:v>0.1814362872574537</c:v>
                </c:pt>
                <c:pt idx="908">
                  <c:v>0.18163632726545531</c:v>
                </c:pt>
                <c:pt idx="909">
                  <c:v>0.18183636727345692</c:v>
                </c:pt>
                <c:pt idx="910">
                  <c:v>0.18203640728145853</c:v>
                </c:pt>
                <c:pt idx="911">
                  <c:v>0.18223644728946015</c:v>
                </c:pt>
                <c:pt idx="912">
                  <c:v>0.18243648729746176</c:v>
                </c:pt>
                <c:pt idx="913">
                  <c:v>0.18263652730546337</c:v>
                </c:pt>
                <c:pt idx="914">
                  <c:v>0.18283656731346498</c:v>
                </c:pt>
                <c:pt idx="915">
                  <c:v>0.18303660732146659</c:v>
                </c:pt>
                <c:pt idx="916">
                  <c:v>0.18323664732946821</c:v>
                </c:pt>
                <c:pt idx="917">
                  <c:v>0.18343668733746982</c:v>
                </c:pt>
                <c:pt idx="918">
                  <c:v>0.18363672734547143</c:v>
                </c:pt>
                <c:pt idx="919">
                  <c:v>0.18383676735347304</c:v>
                </c:pt>
                <c:pt idx="920">
                  <c:v>0.18403680736147465</c:v>
                </c:pt>
                <c:pt idx="921">
                  <c:v>0.18423684736947626</c:v>
                </c:pt>
                <c:pt idx="922">
                  <c:v>0.18443688737747788</c:v>
                </c:pt>
                <c:pt idx="923">
                  <c:v>0.18463692738547949</c:v>
                </c:pt>
                <c:pt idx="924">
                  <c:v>0.1848369673934811</c:v>
                </c:pt>
                <c:pt idx="925">
                  <c:v>0.18503700740148271</c:v>
                </c:pt>
                <c:pt idx="926">
                  <c:v>0.18523704740948432</c:v>
                </c:pt>
                <c:pt idx="927">
                  <c:v>0.18543708741748594</c:v>
                </c:pt>
                <c:pt idx="928">
                  <c:v>0.18563712742548755</c:v>
                </c:pt>
                <c:pt idx="929">
                  <c:v>0.18583716743348916</c:v>
                </c:pt>
                <c:pt idx="930">
                  <c:v>0.18603720744149077</c:v>
                </c:pt>
                <c:pt idx="931">
                  <c:v>0.18623724744949238</c:v>
                </c:pt>
                <c:pt idx="932">
                  <c:v>0.18643728745749399</c:v>
                </c:pt>
                <c:pt idx="933">
                  <c:v>0.18663732746549561</c:v>
                </c:pt>
                <c:pt idx="934">
                  <c:v>0.18683736747349722</c:v>
                </c:pt>
                <c:pt idx="935">
                  <c:v>0.18703740748149883</c:v>
                </c:pt>
                <c:pt idx="936">
                  <c:v>0.18723744748950044</c:v>
                </c:pt>
                <c:pt idx="937">
                  <c:v>0.18743748749750205</c:v>
                </c:pt>
                <c:pt idx="938">
                  <c:v>0.18763752750550367</c:v>
                </c:pt>
                <c:pt idx="939">
                  <c:v>0.18783756751350528</c:v>
                </c:pt>
                <c:pt idx="940">
                  <c:v>0.18803760752150689</c:v>
                </c:pt>
                <c:pt idx="941">
                  <c:v>0.1882376475295085</c:v>
                </c:pt>
                <c:pt idx="942">
                  <c:v>0.18843768753751011</c:v>
                </c:pt>
                <c:pt idx="943">
                  <c:v>0.18863772754551172</c:v>
                </c:pt>
                <c:pt idx="944">
                  <c:v>0.18883776755351334</c:v>
                </c:pt>
                <c:pt idx="945">
                  <c:v>0.18903780756151495</c:v>
                </c:pt>
                <c:pt idx="946">
                  <c:v>0.18923784756951656</c:v>
                </c:pt>
                <c:pt idx="947">
                  <c:v>0.18943788757751817</c:v>
                </c:pt>
                <c:pt idx="948">
                  <c:v>0.18963792758551978</c:v>
                </c:pt>
                <c:pt idx="949">
                  <c:v>0.1898379675935214</c:v>
                </c:pt>
                <c:pt idx="950">
                  <c:v>0.19003800760152301</c:v>
                </c:pt>
                <c:pt idx="951">
                  <c:v>0.19023804760952462</c:v>
                </c:pt>
                <c:pt idx="952">
                  <c:v>0.19043808761752623</c:v>
                </c:pt>
                <c:pt idx="953">
                  <c:v>0.19063812762552784</c:v>
                </c:pt>
                <c:pt idx="954">
                  <c:v>0.19083816763352945</c:v>
                </c:pt>
                <c:pt idx="955">
                  <c:v>0.19103820764153107</c:v>
                </c:pt>
                <c:pt idx="956">
                  <c:v>0.19123824764953268</c:v>
                </c:pt>
                <c:pt idx="957">
                  <c:v>0.19143828765753429</c:v>
                </c:pt>
                <c:pt idx="958">
                  <c:v>0.1916383276655359</c:v>
                </c:pt>
                <c:pt idx="959">
                  <c:v>0.19183836767353751</c:v>
                </c:pt>
                <c:pt idx="960">
                  <c:v>0.19203840768153912</c:v>
                </c:pt>
                <c:pt idx="961">
                  <c:v>0.19223844768954074</c:v>
                </c:pt>
                <c:pt idx="962">
                  <c:v>0.19243848769754235</c:v>
                </c:pt>
                <c:pt idx="963">
                  <c:v>0.19263852770554396</c:v>
                </c:pt>
                <c:pt idx="964">
                  <c:v>0.19283856771354557</c:v>
                </c:pt>
                <c:pt idx="965">
                  <c:v>0.19303860772154718</c:v>
                </c:pt>
                <c:pt idx="966">
                  <c:v>0.1932386477295488</c:v>
                </c:pt>
                <c:pt idx="967">
                  <c:v>0.19343868773755041</c:v>
                </c:pt>
                <c:pt idx="968">
                  <c:v>0.19363872774555202</c:v>
                </c:pt>
                <c:pt idx="969">
                  <c:v>0.19383876775355363</c:v>
                </c:pt>
                <c:pt idx="970">
                  <c:v>0.19403880776155524</c:v>
                </c:pt>
                <c:pt idx="971">
                  <c:v>0.19423884776955685</c:v>
                </c:pt>
                <c:pt idx="972">
                  <c:v>0.19443888777755847</c:v>
                </c:pt>
                <c:pt idx="973">
                  <c:v>0.19463892778556008</c:v>
                </c:pt>
                <c:pt idx="974">
                  <c:v>0.19483896779356169</c:v>
                </c:pt>
                <c:pt idx="975">
                  <c:v>0.1950390078015633</c:v>
                </c:pt>
                <c:pt idx="976">
                  <c:v>0.19523904780956491</c:v>
                </c:pt>
                <c:pt idx="977">
                  <c:v>0.19543908781756653</c:v>
                </c:pt>
                <c:pt idx="978">
                  <c:v>0.19563912782556814</c:v>
                </c:pt>
                <c:pt idx="979">
                  <c:v>0.19583916783356975</c:v>
                </c:pt>
                <c:pt idx="980">
                  <c:v>0.19603920784157136</c:v>
                </c:pt>
                <c:pt idx="981">
                  <c:v>0.19623924784957297</c:v>
                </c:pt>
                <c:pt idx="982">
                  <c:v>0.19643928785757458</c:v>
                </c:pt>
                <c:pt idx="983">
                  <c:v>0.1966393278655762</c:v>
                </c:pt>
                <c:pt idx="984">
                  <c:v>0.19683936787357781</c:v>
                </c:pt>
                <c:pt idx="985">
                  <c:v>0.19703940788157942</c:v>
                </c:pt>
                <c:pt idx="986">
                  <c:v>0.19723944788958103</c:v>
                </c:pt>
                <c:pt idx="987">
                  <c:v>0.19743948789758264</c:v>
                </c:pt>
                <c:pt idx="988">
                  <c:v>0.19763952790558426</c:v>
                </c:pt>
                <c:pt idx="989">
                  <c:v>0.19783956791358587</c:v>
                </c:pt>
                <c:pt idx="990">
                  <c:v>0.19803960792158748</c:v>
                </c:pt>
                <c:pt idx="991">
                  <c:v>0.19823964792958909</c:v>
                </c:pt>
                <c:pt idx="992">
                  <c:v>0.1984396879375907</c:v>
                </c:pt>
                <c:pt idx="993">
                  <c:v>0.19863972794559231</c:v>
                </c:pt>
                <c:pt idx="994">
                  <c:v>0.19883976795359393</c:v>
                </c:pt>
                <c:pt idx="995">
                  <c:v>0.19903980796159554</c:v>
                </c:pt>
                <c:pt idx="996">
                  <c:v>0.19923984796959715</c:v>
                </c:pt>
                <c:pt idx="997">
                  <c:v>0.19943988797759876</c:v>
                </c:pt>
                <c:pt idx="998">
                  <c:v>0.19963992798560037</c:v>
                </c:pt>
                <c:pt idx="999">
                  <c:v>0.19983996799360199</c:v>
                </c:pt>
                <c:pt idx="1000">
                  <c:v>0.2000400080016036</c:v>
                </c:pt>
                <c:pt idx="1001">
                  <c:v>0.20024004800960521</c:v>
                </c:pt>
                <c:pt idx="1002">
                  <c:v>0.20044008801760682</c:v>
                </c:pt>
                <c:pt idx="1003">
                  <c:v>0.20064012802560843</c:v>
                </c:pt>
                <c:pt idx="1004">
                  <c:v>0.20084016803361004</c:v>
                </c:pt>
                <c:pt idx="1005">
                  <c:v>0.20104020804161166</c:v>
                </c:pt>
                <c:pt idx="1006">
                  <c:v>0.20124024804961327</c:v>
                </c:pt>
                <c:pt idx="1007">
                  <c:v>0.20144028805761488</c:v>
                </c:pt>
                <c:pt idx="1008">
                  <c:v>0.20164032806561649</c:v>
                </c:pt>
                <c:pt idx="1009">
                  <c:v>0.2018403680736181</c:v>
                </c:pt>
                <c:pt idx="1010">
                  <c:v>0.20204040808161972</c:v>
                </c:pt>
                <c:pt idx="1011">
                  <c:v>0.20224044808962133</c:v>
                </c:pt>
                <c:pt idx="1012">
                  <c:v>0.20244048809762294</c:v>
                </c:pt>
                <c:pt idx="1013">
                  <c:v>0.20264052810562455</c:v>
                </c:pt>
                <c:pt idx="1014">
                  <c:v>0.20284056811362616</c:v>
                </c:pt>
                <c:pt idx="1015">
                  <c:v>0.20304060812162777</c:v>
                </c:pt>
                <c:pt idx="1016">
                  <c:v>0.20324064812962939</c:v>
                </c:pt>
                <c:pt idx="1017">
                  <c:v>0.203440688137631</c:v>
                </c:pt>
                <c:pt idx="1018">
                  <c:v>0.20364072814563261</c:v>
                </c:pt>
                <c:pt idx="1019">
                  <c:v>0.20384076815363422</c:v>
                </c:pt>
                <c:pt idx="1020">
                  <c:v>0.20404080816163583</c:v>
                </c:pt>
                <c:pt idx="1021">
                  <c:v>0.20424084816963745</c:v>
                </c:pt>
                <c:pt idx="1022">
                  <c:v>0.20444088817763906</c:v>
                </c:pt>
                <c:pt idx="1023">
                  <c:v>0.20464092818564067</c:v>
                </c:pt>
                <c:pt idx="1024">
                  <c:v>0.20484096819364228</c:v>
                </c:pt>
                <c:pt idx="1025">
                  <c:v>0.20504100820164389</c:v>
                </c:pt>
                <c:pt idx="1026">
                  <c:v>0.2052410482096455</c:v>
                </c:pt>
                <c:pt idx="1027">
                  <c:v>0.20544108821764712</c:v>
                </c:pt>
                <c:pt idx="1028">
                  <c:v>0.20564112822564873</c:v>
                </c:pt>
                <c:pt idx="1029">
                  <c:v>0.20584116823365034</c:v>
                </c:pt>
                <c:pt idx="1030">
                  <c:v>0.20604120824165195</c:v>
                </c:pt>
                <c:pt idx="1031">
                  <c:v>0.20624124824965356</c:v>
                </c:pt>
                <c:pt idx="1032">
                  <c:v>0.20644128825765518</c:v>
                </c:pt>
                <c:pt idx="1033">
                  <c:v>0.20664132826565679</c:v>
                </c:pt>
                <c:pt idx="1034">
                  <c:v>0.2068413682736584</c:v>
                </c:pt>
                <c:pt idx="1035">
                  <c:v>0.20704140828166001</c:v>
                </c:pt>
                <c:pt idx="1036">
                  <c:v>0.20724144828966162</c:v>
                </c:pt>
                <c:pt idx="1037">
                  <c:v>0.20744148829766323</c:v>
                </c:pt>
                <c:pt idx="1038">
                  <c:v>0.20764152830566485</c:v>
                </c:pt>
                <c:pt idx="1039">
                  <c:v>0.20784156831366646</c:v>
                </c:pt>
                <c:pt idx="1040">
                  <c:v>0.20804160832166807</c:v>
                </c:pt>
                <c:pt idx="1041">
                  <c:v>0.20824164832966968</c:v>
                </c:pt>
                <c:pt idx="1042">
                  <c:v>0.20844168833767129</c:v>
                </c:pt>
                <c:pt idx="1043">
                  <c:v>0.20864172834567291</c:v>
                </c:pt>
                <c:pt idx="1044">
                  <c:v>0.20884176835367452</c:v>
                </c:pt>
                <c:pt idx="1045">
                  <c:v>0.20904180836167613</c:v>
                </c:pt>
                <c:pt idx="1046">
                  <c:v>0.20924184836967774</c:v>
                </c:pt>
                <c:pt idx="1047">
                  <c:v>0.20944188837767935</c:v>
                </c:pt>
                <c:pt idx="1048">
                  <c:v>0.20964192838568096</c:v>
                </c:pt>
                <c:pt idx="1049">
                  <c:v>0.20984196839368258</c:v>
                </c:pt>
                <c:pt idx="1050">
                  <c:v>0.21004200840168419</c:v>
                </c:pt>
                <c:pt idx="1051">
                  <c:v>0.2102420484096858</c:v>
                </c:pt>
                <c:pt idx="1052">
                  <c:v>0.21044208841768741</c:v>
                </c:pt>
                <c:pt idx="1053">
                  <c:v>0.21064212842568902</c:v>
                </c:pt>
                <c:pt idx="1054">
                  <c:v>0.21084216843369064</c:v>
                </c:pt>
                <c:pt idx="1055">
                  <c:v>0.21104220844169225</c:v>
                </c:pt>
                <c:pt idx="1056">
                  <c:v>0.21124224844969386</c:v>
                </c:pt>
                <c:pt idx="1057">
                  <c:v>0.21144228845769547</c:v>
                </c:pt>
                <c:pt idx="1058">
                  <c:v>0.21164232846569708</c:v>
                </c:pt>
                <c:pt idx="1059">
                  <c:v>0.21184236847369869</c:v>
                </c:pt>
                <c:pt idx="1060">
                  <c:v>0.21204240848170031</c:v>
                </c:pt>
                <c:pt idx="1061">
                  <c:v>0.21224244848970192</c:v>
                </c:pt>
                <c:pt idx="1062">
                  <c:v>0.21244248849770353</c:v>
                </c:pt>
                <c:pt idx="1063">
                  <c:v>0.21264252850570514</c:v>
                </c:pt>
                <c:pt idx="1064">
                  <c:v>0.21284256851370675</c:v>
                </c:pt>
                <c:pt idx="1065">
                  <c:v>0.21304260852170837</c:v>
                </c:pt>
                <c:pt idx="1066">
                  <c:v>0.21324264852970998</c:v>
                </c:pt>
                <c:pt idx="1067">
                  <c:v>0.21344268853771159</c:v>
                </c:pt>
                <c:pt idx="1068">
                  <c:v>0.2136427285457132</c:v>
                </c:pt>
                <c:pt idx="1069">
                  <c:v>0.21384276855371481</c:v>
                </c:pt>
                <c:pt idx="1070">
                  <c:v>0.21404280856171642</c:v>
                </c:pt>
                <c:pt idx="1071">
                  <c:v>0.21424284856971804</c:v>
                </c:pt>
                <c:pt idx="1072">
                  <c:v>0.21444288857771965</c:v>
                </c:pt>
                <c:pt idx="1073">
                  <c:v>0.21464292858572126</c:v>
                </c:pt>
                <c:pt idx="1074">
                  <c:v>0.21484296859372287</c:v>
                </c:pt>
                <c:pt idx="1075">
                  <c:v>0.21504300860172448</c:v>
                </c:pt>
                <c:pt idx="1076">
                  <c:v>0.2152430486097261</c:v>
                </c:pt>
                <c:pt idx="1077">
                  <c:v>0.21544308861772771</c:v>
                </c:pt>
                <c:pt idx="1078">
                  <c:v>0.21564312862572932</c:v>
                </c:pt>
                <c:pt idx="1079">
                  <c:v>0.21584316863373093</c:v>
                </c:pt>
                <c:pt idx="1080">
                  <c:v>0.21604320864173254</c:v>
                </c:pt>
                <c:pt idx="1081">
                  <c:v>0.21624324864973415</c:v>
                </c:pt>
                <c:pt idx="1082">
                  <c:v>0.21644328865773577</c:v>
                </c:pt>
                <c:pt idx="1083">
                  <c:v>0.21664332866573738</c:v>
                </c:pt>
                <c:pt idx="1084">
                  <c:v>0.21684336867373899</c:v>
                </c:pt>
                <c:pt idx="1085">
                  <c:v>0.2170434086817406</c:v>
                </c:pt>
                <c:pt idx="1086">
                  <c:v>0.21724344868974221</c:v>
                </c:pt>
                <c:pt idx="1087">
                  <c:v>0.21744348869774383</c:v>
                </c:pt>
                <c:pt idx="1088">
                  <c:v>0.21764352870574544</c:v>
                </c:pt>
                <c:pt idx="1089">
                  <c:v>0.21784356871374705</c:v>
                </c:pt>
                <c:pt idx="1090">
                  <c:v>0.21804360872174866</c:v>
                </c:pt>
                <c:pt idx="1091">
                  <c:v>0.21824364872975027</c:v>
                </c:pt>
                <c:pt idx="1092">
                  <c:v>0.21844368873775188</c:v>
                </c:pt>
                <c:pt idx="1093">
                  <c:v>0.2186437287457535</c:v>
                </c:pt>
                <c:pt idx="1094">
                  <c:v>0.21884376875375511</c:v>
                </c:pt>
                <c:pt idx="1095">
                  <c:v>0.21904380876175672</c:v>
                </c:pt>
                <c:pt idx="1096">
                  <c:v>0.21924384876975833</c:v>
                </c:pt>
                <c:pt idx="1097">
                  <c:v>0.21944388877775994</c:v>
                </c:pt>
                <c:pt idx="1098">
                  <c:v>0.21964392878576156</c:v>
                </c:pt>
                <c:pt idx="1099">
                  <c:v>0.21984396879376317</c:v>
                </c:pt>
                <c:pt idx="1100">
                  <c:v>0.22004400880176478</c:v>
                </c:pt>
                <c:pt idx="1101">
                  <c:v>0.22024404880976639</c:v>
                </c:pt>
                <c:pt idx="1102">
                  <c:v>0.220444088817768</c:v>
                </c:pt>
                <c:pt idx="1103">
                  <c:v>0.22064412882576961</c:v>
                </c:pt>
                <c:pt idx="1104">
                  <c:v>0.22084416883377123</c:v>
                </c:pt>
                <c:pt idx="1105">
                  <c:v>0.22104420884177284</c:v>
                </c:pt>
                <c:pt idx="1106">
                  <c:v>0.22124424884977445</c:v>
                </c:pt>
                <c:pt idx="1107">
                  <c:v>0.22144428885777606</c:v>
                </c:pt>
                <c:pt idx="1108">
                  <c:v>0.22164432886577767</c:v>
                </c:pt>
                <c:pt idx="1109">
                  <c:v>0.22184436887377929</c:v>
                </c:pt>
                <c:pt idx="1110">
                  <c:v>0.2220444088817809</c:v>
                </c:pt>
                <c:pt idx="1111">
                  <c:v>0.22224444888978251</c:v>
                </c:pt>
                <c:pt idx="1112">
                  <c:v>0.22244448889778412</c:v>
                </c:pt>
                <c:pt idx="1113">
                  <c:v>0.22264452890578573</c:v>
                </c:pt>
                <c:pt idx="1114">
                  <c:v>0.22284456891378734</c:v>
                </c:pt>
                <c:pt idx="1115">
                  <c:v>0.22304460892178896</c:v>
                </c:pt>
                <c:pt idx="1116">
                  <c:v>0.22324464892979057</c:v>
                </c:pt>
                <c:pt idx="1117">
                  <c:v>0.22344468893779218</c:v>
                </c:pt>
                <c:pt idx="1118">
                  <c:v>0.22364472894579379</c:v>
                </c:pt>
                <c:pt idx="1119">
                  <c:v>0.2238447689537954</c:v>
                </c:pt>
                <c:pt idx="1120">
                  <c:v>0.22404480896179702</c:v>
                </c:pt>
                <c:pt idx="1121">
                  <c:v>0.22424484896979863</c:v>
                </c:pt>
                <c:pt idx="1122">
                  <c:v>0.22444488897780024</c:v>
                </c:pt>
                <c:pt idx="1123">
                  <c:v>0.22464492898580185</c:v>
                </c:pt>
                <c:pt idx="1124">
                  <c:v>0.22484496899380346</c:v>
                </c:pt>
                <c:pt idx="1125">
                  <c:v>0.22504500900180507</c:v>
                </c:pt>
                <c:pt idx="1126">
                  <c:v>0.22524504900980669</c:v>
                </c:pt>
                <c:pt idx="1127">
                  <c:v>0.2254450890178083</c:v>
                </c:pt>
                <c:pt idx="1128">
                  <c:v>0.22564512902580991</c:v>
                </c:pt>
                <c:pt idx="1129">
                  <c:v>0.22584516903381152</c:v>
                </c:pt>
                <c:pt idx="1130">
                  <c:v>0.22604520904181313</c:v>
                </c:pt>
                <c:pt idx="1131">
                  <c:v>0.22624524904981475</c:v>
                </c:pt>
                <c:pt idx="1132">
                  <c:v>0.22644528905781636</c:v>
                </c:pt>
                <c:pt idx="1133">
                  <c:v>0.22664532906581797</c:v>
                </c:pt>
                <c:pt idx="1134">
                  <c:v>0.22684536907381958</c:v>
                </c:pt>
                <c:pt idx="1135">
                  <c:v>0.22704540908182119</c:v>
                </c:pt>
                <c:pt idx="1136">
                  <c:v>0.2272454490898228</c:v>
                </c:pt>
                <c:pt idx="1137">
                  <c:v>0.22744548909782442</c:v>
                </c:pt>
                <c:pt idx="1138">
                  <c:v>0.22764552910582603</c:v>
                </c:pt>
                <c:pt idx="1139">
                  <c:v>0.22784556911382764</c:v>
                </c:pt>
                <c:pt idx="1140">
                  <c:v>0.22804560912182925</c:v>
                </c:pt>
                <c:pt idx="1141">
                  <c:v>0.22824564912983086</c:v>
                </c:pt>
                <c:pt idx="1142">
                  <c:v>0.22844568913783247</c:v>
                </c:pt>
                <c:pt idx="1143">
                  <c:v>0.22864572914583409</c:v>
                </c:pt>
                <c:pt idx="1144">
                  <c:v>0.2288457691538357</c:v>
                </c:pt>
                <c:pt idx="1145">
                  <c:v>0.22904580916183731</c:v>
                </c:pt>
                <c:pt idx="1146">
                  <c:v>0.22924584916983892</c:v>
                </c:pt>
                <c:pt idx="1147">
                  <c:v>0.22944588917784053</c:v>
                </c:pt>
                <c:pt idx="1148">
                  <c:v>0.22964592918584215</c:v>
                </c:pt>
                <c:pt idx="1149">
                  <c:v>0.22984596919384376</c:v>
                </c:pt>
                <c:pt idx="1150">
                  <c:v>0.23004600920184537</c:v>
                </c:pt>
                <c:pt idx="1151">
                  <c:v>0.23024604920984698</c:v>
                </c:pt>
                <c:pt idx="1152">
                  <c:v>0.23044608921784859</c:v>
                </c:pt>
                <c:pt idx="1153">
                  <c:v>0.2306461292258502</c:v>
                </c:pt>
                <c:pt idx="1154">
                  <c:v>0.23084616923385182</c:v>
                </c:pt>
                <c:pt idx="1155">
                  <c:v>0.23104620924185343</c:v>
                </c:pt>
                <c:pt idx="1156">
                  <c:v>0.23124624924985504</c:v>
                </c:pt>
                <c:pt idx="1157">
                  <c:v>0.23144628925785665</c:v>
                </c:pt>
                <c:pt idx="1158">
                  <c:v>0.23164632926585826</c:v>
                </c:pt>
                <c:pt idx="1159">
                  <c:v>0.23184636927385988</c:v>
                </c:pt>
                <c:pt idx="1160">
                  <c:v>0.23204640928186149</c:v>
                </c:pt>
                <c:pt idx="1161">
                  <c:v>0.2322464492898631</c:v>
                </c:pt>
                <c:pt idx="1162">
                  <c:v>0.23244648929786471</c:v>
                </c:pt>
                <c:pt idx="1163">
                  <c:v>0.23264652930586632</c:v>
                </c:pt>
                <c:pt idx="1164">
                  <c:v>0.23284656931386793</c:v>
                </c:pt>
                <c:pt idx="1165">
                  <c:v>0.23304660932186955</c:v>
                </c:pt>
                <c:pt idx="1166">
                  <c:v>0.23324664932987116</c:v>
                </c:pt>
                <c:pt idx="1167">
                  <c:v>0.23344668933787277</c:v>
                </c:pt>
                <c:pt idx="1168">
                  <c:v>0.23364672934587438</c:v>
                </c:pt>
                <c:pt idx="1169">
                  <c:v>0.23384676935387599</c:v>
                </c:pt>
                <c:pt idx="1170">
                  <c:v>0.23404680936187761</c:v>
                </c:pt>
                <c:pt idx="1171">
                  <c:v>0.23424684936987922</c:v>
                </c:pt>
                <c:pt idx="1172">
                  <c:v>0.23444688937788083</c:v>
                </c:pt>
                <c:pt idx="1173">
                  <c:v>0.23464692938588244</c:v>
                </c:pt>
                <c:pt idx="1174">
                  <c:v>0.23484696939388405</c:v>
                </c:pt>
                <c:pt idx="1175">
                  <c:v>0.23504700940188566</c:v>
                </c:pt>
                <c:pt idx="1176">
                  <c:v>0.23524704940988728</c:v>
                </c:pt>
                <c:pt idx="1177">
                  <c:v>0.23544708941788889</c:v>
                </c:pt>
                <c:pt idx="1178">
                  <c:v>0.2356471294258905</c:v>
                </c:pt>
                <c:pt idx="1179">
                  <c:v>0.23584716943389211</c:v>
                </c:pt>
                <c:pt idx="1180">
                  <c:v>0.23604720944189372</c:v>
                </c:pt>
                <c:pt idx="1181">
                  <c:v>0.23624724944989534</c:v>
                </c:pt>
                <c:pt idx="1182">
                  <c:v>0.23644728945789695</c:v>
                </c:pt>
                <c:pt idx="1183">
                  <c:v>0.23664732946589856</c:v>
                </c:pt>
                <c:pt idx="1184">
                  <c:v>0.23684736947390017</c:v>
                </c:pt>
                <c:pt idx="1185">
                  <c:v>0.23704740948190178</c:v>
                </c:pt>
                <c:pt idx="1186">
                  <c:v>0.23724744948990339</c:v>
                </c:pt>
                <c:pt idx="1187">
                  <c:v>0.23744748949790501</c:v>
                </c:pt>
                <c:pt idx="1188">
                  <c:v>0.23764752950590662</c:v>
                </c:pt>
                <c:pt idx="1189">
                  <c:v>0.23784756951390823</c:v>
                </c:pt>
                <c:pt idx="1190">
                  <c:v>0.23804760952190984</c:v>
                </c:pt>
                <c:pt idx="1191">
                  <c:v>0.23824764952991145</c:v>
                </c:pt>
                <c:pt idx="1192">
                  <c:v>0.23844768953791307</c:v>
                </c:pt>
                <c:pt idx="1193">
                  <c:v>0.23864772954591468</c:v>
                </c:pt>
                <c:pt idx="1194">
                  <c:v>0.23884776955391629</c:v>
                </c:pt>
                <c:pt idx="1195">
                  <c:v>0.2390478095619179</c:v>
                </c:pt>
                <c:pt idx="1196">
                  <c:v>0.23924784956991951</c:v>
                </c:pt>
                <c:pt idx="1197">
                  <c:v>0.23944788957792112</c:v>
                </c:pt>
                <c:pt idx="1198">
                  <c:v>0.23964792958592274</c:v>
                </c:pt>
                <c:pt idx="1199">
                  <c:v>0.23984796959392435</c:v>
                </c:pt>
                <c:pt idx="1200">
                  <c:v>0.24004800960192596</c:v>
                </c:pt>
                <c:pt idx="1201">
                  <c:v>0.24024804960992757</c:v>
                </c:pt>
                <c:pt idx="1202">
                  <c:v>0.24044808961792918</c:v>
                </c:pt>
                <c:pt idx="1203">
                  <c:v>0.2406481296259308</c:v>
                </c:pt>
                <c:pt idx="1204">
                  <c:v>0.24084816963393241</c:v>
                </c:pt>
                <c:pt idx="1205">
                  <c:v>0.24104820964193402</c:v>
                </c:pt>
                <c:pt idx="1206">
                  <c:v>0.24124824964993563</c:v>
                </c:pt>
                <c:pt idx="1207">
                  <c:v>0.24144828965793724</c:v>
                </c:pt>
                <c:pt idx="1208">
                  <c:v>0.24164832966593885</c:v>
                </c:pt>
                <c:pt idx="1209">
                  <c:v>0.24184836967394047</c:v>
                </c:pt>
                <c:pt idx="1210">
                  <c:v>0.24204840968194208</c:v>
                </c:pt>
                <c:pt idx="1211">
                  <c:v>0.24224844968994369</c:v>
                </c:pt>
                <c:pt idx="1212">
                  <c:v>0.2424484896979453</c:v>
                </c:pt>
                <c:pt idx="1213">
                  <c:v>0.24264852970594691</c:v>
                </c:pt>
                <c:pt idx="1214">
                  <c:v>0.24284856971394853</c:v>
                </c:pt>
                <c:pt idx="1215">
                  <c:v>0.24304860972195014</c:v>
                </c:pt>
                <c:pt idx="1216">
                  <c:v>0.24324864972995175</c:v>
                </c:pt>
                <c:pt idx="1217">
                  <c:v>0.24344868973795336</c:v>
                </c:pt>
                <c:pt idx="1218">
                  <c:v>0.24364872974595497</c:v>
                </c:pt>
                <c:pt idx="1219">
                  <c:v>0.24384876975395658</c:v>
                </c:pt>
                <c:pt idx="1220">
                  <c:v>0.2440488097619582</c:v>
                </c:pt>
                <c:pt idx="1221">
                  <c:v>0.24424884976995981</c:v>
                </c:pt>
                <c:pt idx="1222">
                  <c:v>0.24444888977796142</c:v>
                </c:pt>
                <c:pt idx="1223">
                  <c:v>0.24464892978596303</c:v>
                </c:pt>
                <c:pt idx="1224">
                  <c:v>0.24484896979396464</c:v>
                </c:pt>
                <c:pt idx="1225">
                  <c:v>0.24504900980196626</c:v>
                </c:pt>
                <c:pt idx="1226">
                  <c:v>0.24524904980996787</c:v>
                </c:pt>
                <c:pt idx="1227">
                  <c:v>0.24544908981796948</c:v>
                </c:pt>
                <c:pt idx="1228">
                  <c:v>0.24564912982597109</c:v>
                </c:pt>
                <c:pt idx="1229">
                  <c:v>0.2458491698339727</c:v>
                </c:pt>
                <c:pt idx="1230">
                  <c:v>0.24604920984197431</c:v>
                </c:pt>
                <c:pt idx="1231">
                  <c:v>0.24624924984997593</c:v>
                </c:pt>
                <c:pt idx="1232">
                  <c:v>0.24644928985797754</c:v>
                </c:pt>
                <c:pt idx="1233">
                  <c:v>0.24664932986597915</c:v>
                </c:pt>
                <c:pt idx="1234">
                  <c:v>0.24684936987398076</c:v>
                </c:pt>
                <c:pt idx="1235">
                  <c:v>0.24704940988198237</c:v>
                </c:pt>
                <c:pt idx="1236">
                  <c:v>0.24724944988998399</c:v>
                </c:pt>
                <c:pt idx="1237">
                  <c:v>0.2474494898979856</c:v>
                </c:pt>
                <c:pt idx="1238">
                  <c:v>0.24764952990598721</c:v>
                </c:pt>
                <c:pt idx="1239">
                  <c:v>0.24784956991398882</c:v>
                </c:pt>
                <c:pt idx="1240">
                  <c:v>0.24804960992199043</c:v>
                </c:pt>
                <c:pt idx="1241">
                  <c:v>0.24824964992999204</c:v>
                </c:pt>
                <c:pt idx="1242">
                  <c:v>0.24844968993799366</c:v>
                </c:pt>
                <c:pt idx="1243">
                  <c:v>0.24864972994599527</c:v>
                </c:pt>
                <c:pt idx="1244">
                  <c:v>0.24884976995399688</c:v>
                </c:pt>
                <c:pt idx="1245">
                  <c:v>0.24904980996199849</c:v>
                </c:pt>
                <c:pt idx="1246">
                  <c:v>0.2492498499700001</c:v>
                </c:pt>
                <c:pt idx="1247">
                  <c:v>0.24944988997800172</c:v>
                </c:pt>
                <c:pt idx="1248">
                  <c:v>0.24964992998600333</c:v>
                </c:pt>
                <c:pt idx="1249">
                  <c:v>0.24984996999400494</c:v>
                </c:pt>
                <c:pt idx="1250">
                  <c:v>0.25005001000200655</c:v>
                </c:pt>
                <c:pt idx="1251">
                  <c:v>0.25025005001000816</c:v>
                </c:pt>
                <c:pt idx="1252">
                  <c:v>0.25045009001800977</c:v>
                </c:pt>
                <c:pt idx="1253">
                  <c:v>0.25065013002601139</c:v>
                </c:pt>
                <c:pt idx="1254">
                  <c:v>0.250850170034013</c:v>
                </c:pt>
                <c:pt idx="1255">
                  <c:v>0.25105021004201461</c:v>
                </c:pt>
                <c:pt idx="1256">
                  <c:v>0.25125025005001622</c:v>
                </c:pt>
                <c:pt idx="1257">
                  <c:v>0.25145029005801783</c:v>
                </c:pt>
                <c:pt idx="1258">
                  <c:v>0.25165033006601945</c:v>
                </c:pt>
                <c:pt idx="1259">
                  <c:v>0.25185037007402106</c:v>
                </c:pt>
                <c:pt idx="1260">
                  <c:v>0.25205041008202267</c:v>
                </c:pt>
                <c:pt idx="1261">
                  <c:v>0.25225045009002428</c:v>
                </c:pt>
                <c:pt idx="1262">
                  <c:v>0.25245049009802589</c:v>
                </c:pt>
                <c:pt idx="1263">
                  <c:v>0.2526505301060275</c:v>
                </c:pt>
                <c:pt idx="1264">
                  <c:v>0.25285057011402912</c:v>
                </c:pt>
                <c:pt idx="1265">
                  <c:v>0.25305061012203073</c:v>
                </c:pt>
                <c:pt idx="1266">
                  <c:v>0.25325065013003234</c:v>
                </c:pt>
                <c:pt idx="1267">
                  <c:v>0.25345069013803395</c:v>
                </c:pt>
                <c:pt idx="1268">
                  <c:v>0.25365073014603556</c:v>
                </c:pt>
                <c:pt idx="1269">
                  <c:v>0.25385077015403718</c:v>
                </c:pt>
                <c:pt idx="1270">
                  <c:v>0.25405081016203879</c:v>
                </c:pt>
                <c:pt idx="1271">
                  <c:v>0.2542508501700404</c:v>
                </c:pt>
                <c:pt idx="1272">
                  <c:v>0.25445089017804201</c:v>
                </c:pt>
                <c:pt idx="1273">
                  <c:v>0.25465093018604362</c:v>
                </c:pt>
                <c:pt idx="1274">
                  <c:v>0.25485097019404523</c:v>
                </c:pt>
                <c:pt idx="1275">
                  <c:v>0.25505101020204685</c:v>
                </c:pt>
                <c:pt idx="1276">
                  <c:v>0.25525105021004846</c:v>
                </c:pt>
                <c:pt idx="1277">
                  <c:v>0.25545109021805007</c:v>
                </c:pt>
                <c:pt idx="1278">
                  <c:v>0.25565113022605168</c:v>
                </c:pt>
                <c:pt idx="1279">
                  <c:v>0.25585117023405329</c:v>
                </c:pt>
                <c:pt idx="1280">
                  <c:v>0.25605121024205491</c:v>
                </c:pt>
                <c:pt idx="1281">
                  <c:v>0.25625125025005652</c:v>
                </c:pt>
                <c:pt idx="1282">
                  <c:v>0.25645129025805813</c:v>
                </c:pt>
                <c:pt idx="1283">
                  <c:v>0.25665133026605974</c:v>
                </c:pt>
                <c:pt idx="1284">
                  <c:v>0.25685137027406135</c:v>
                </c:pt>
                <c:pt idx="1285">
                  <c:v>0.25705141028206296</c:v>
                </c:pt>
                <c:pt idx="1286">
                  <c:v>0.25725145029006458</c:v>
                </c:pt>
                <c:pt idx="1287">
                  <c:v>0.25745149029806619</c:v>
                </c:pt>
                <c:pt idx="1288">
                  <c:v>0.2576515303060678</c:v>
                </c:pt>
                <c:pt idx="1289">
                  <c:v>0.25785157031406941</c:v>
                </c:pt>
                <c:pt idx="1290">
                  <c:v>0.25805161032207102</c:v>
                </c:pt>
                <c:pt idx="1291">
                  <c:v>0.25825165033007264</c:v>
                </c:pt>
                <c:pt idx="1292">
                  <c:v>0.25845169033807425</c:v>
                </c:pt>
                <c:pt idx="1293">
                  <c:v>0.25865173034607586</c:v>
                </c:pt>
                <c:pt idx="1294">
                  <c:v>0.25885177035407747</c:v>
                </c:pt>
                <c:pt idx="1295">
                  <c:v>0.25905181036207908</c:v>
                </c:pt>
                <c:pt idx="1296">
                  <c:v>0.25925185037008069</c:v>
                </c:pt>
                <c:pt idx="1297">
                  <c:v>0.25945189037808231</c:v>
                </c:pt>
                <c:pt idx="1298">
                  <c:v>0.25965193038608392</c:v>
                </c:pt>
                <c:pt idx="1299">
                  <c:v>0.25985197039408553</c:v>
                </c:pt>
                <c:pt idx="1300">
                  <c:v>0.26005201040208714</c:v>
                </c:pt>
                <c:pt idx="1301">
                  <c:v>0.26025205041008875</c:v>
                </c:pt>
                <c:pt idx="1302">
                  <c:v>0.26045209041809037</c:v>
                </c:pt>
                <c:pt idx="1303">
                  <c:v>0.26065213042609198</c:v>
                </c:pt>
                <c:pt idx="1304">
                  <c:v>0.26085217043409359</c:v>
                </c:pt>
                <c:pt idx="1305">
                  <c:v>0.2610522104420952</c:v>
                </c:pt>
                <c:pt idx="1306">
                  <c:v>0.26125225045009681</c:v>
                </c:pt>
                <c:pt idx="1307">
                  <c:v>0.26145229045809842</c:v>
                </c:pt>
                <c:pt idx="1308">
                  <c:v>0.26165233046610004</c:v>
                </c:pt>
                <c:pt idx="1309">
                  <c:v>0.26185237047410165</c:v>
                </c:pt>
                <c:pt idx="1310">
                  <c:v>0.26205241048210326</c:v>
                </c:pt>
                <c:pt idx="1311">
                  <c:v>0.26225245049010487</c:v>
                </c:pt>
                <c:pt idx="1312">
                  <c:v>0.26245249049810648</c:v>
                </c:pt>
                <c:pt idx="1313">
                  <c:v>0.2626525305061081</c:v>
                </c:pt>
                <c:pt idx="1314">
                  <c:v>0.26285257051410971</c:v>
                </c:pt>
                <c:pt idx="1315">
                  <c:v>0.26305261052211132</c:v>
                </c:pt>
                <c:pt idx="1316">
                  <c:v>0.26325265053011293</c:v>
                </c:pt>
                <c:pt idx="1317">
                  <c:v>0.26345269053811454</c:v>
                </c:pt>
                <c:pt idx="1318">
                  <c:v>0.26365273054611615</c:v>
                </c:pt>
                <c:pt idx="1319">
                  <c:v>0.26385277055411777</c:v>
                </c:pt>
                <c:pt idx="1320">
                  <c:v>0.26405281056211938</c:v>
                </c:pt>
                <c:pt idx="1321">
                  <c:v>0.26425285057012099</c:v>
                </c:pt>
                <c:pt idx="1322">
                  <c:v>0.2644528905781226</c:v>
                </c:pt>
                <c:pt idx="1323">
                  <c:v>0.26465293058612421</c:v>
                </c:pt>
                <c:pt idx="1324">
                  <c:v>0.26485297059412582</c:v>
                </c:pt>
                <c:pt idx="1325">
                  <c:v>0.26505301060212744</c:v>
                </c:pt>
                <c:pt idx="1326">
                  <c:v>0.26525305061012905</c:v>
                </c:pt>
                <c:pt idx="1327">
                  <c:v>0.26545309061813066</c:v>
                </c:pt>
                <c:pt idx="1328">
                  <c:v>0.26565313062613227</c:v>
                </c:pt>
                <c:pt idx="1329">
                  <c:v>0.26585317063413388</c:v>
                </c:pt>
                <c:pt idx="1330">
                  <c:v>0.2660532106421355</c:v>
                </c:pt>
                <c:pt idx="1331">
                  <c:v>0.26625325065013711</c:v>
                </c:pt>
                <c:pt idx="1332">
                  <c:v>0.26645329065813872</c:v>
                </c:pt>
                <c:pt idx="1333">
                  <c:v>0.26665333066614033</c:v>
                </c:pt>
                <c:pt idx="1334">
                  <c:v>0.26685337067414194</c:v>
                </c:pt>
                <c:pt idx="1335">
                  <c:v>0.26705341068214355</c:v>
                </c:pt>
                <c:pt idx="1336">
                  <c:v>0.26725345069014517</c:v>
                </c:pt>
                <c:pt idx="1337">
                  <c:v>0.26745349069814678</c:v>
                </c:pt>
                <c:pt idx="1338">
                  <c:v>0.26765353070614839</c:v>
                </c:pt>
                <c:pt idx="1339">
                  <c:v>0.26785357071415</c:v>
                </c:pt>
                <c:pt idx="1340">
                  <c:v>0.26805361072215161</c:v>
                </c:pt>
                <c:pt idx="1341">
                  <c:v>0.26825365073015323</c:v>
                </c:pt>
                <c:pt idx="1342">
                  <c:v>0.26845369073815484</c:v>
                </c:pt>
                <c:pt idx="1343">
                  <c:v>0.26865373074615645</c:v>
                </c:pt>
                <c:pt idx="1344">
                  <c:v>0.26885377075415806</c:v>
                </c:pt>
                <c:pt idx="1345">
                  <c:v>0.26905381076215967</c:v>
                </c:pt>
                <c:pt idx="1346">
                  <c:v>0.26925385077016128</c:v>
                </c:pt>
                <c:pt idx="1347">
                  <c:v>0.2694538907781629</c:v>
                </c:pt>
                <c:pt idx="1348">
                  <c:v>0.26965393078616451</c:v>
                </c:pt>
                <c:pt idx="1349">
                  <c:v>0.26985397079416612</c:v>
                </c:pt>
                <c:pt idx="1350">
                  <c:v>0.27005401080216773</c:v>
                </c:pt>
                <c:pt idx="1351">
                  <c:v>0.27025405081016934</c:v>
                </c:pt>
                <c:pt idx="1352">
                  <c:v>0.27045409081817096</c:v>
                </c:pt>
                <c:pt idx="1353">
                  <c:v>0.27065413082617257</c:v>
                </c:pt>
                <c:pt idx="1354">
                  <c:v>0.27085417083417418</c:v>
                </c:pt>
                <c:pt idx="1355">
                  <c:v>0.27105421084217579</c:v>
                </c:pt>
                <c:pt idx="1356">
                  <c:v>0.2712542508501774</c:v>
                </c:pt>
                <c:pt idx="1357">
                  <c:v>0.27145429085817901</c:v>
                </c:pt>
                <c:pt idx="1358">
                  <c:v>0.27165433086618063</c:v>
                </c:pt>
                <c:pt idx="1359">
                  <c:v>0.27185437087418224</c:v>
                </c:pt>
                <c:pt idx="1360">
                  <c:v>0.27205441088218385</c:v>
                </c:pt>
                <c:pt idx="1361">
                  <c:v>0.27225445089018546</c:v>
                </c:pt>
                <c:pt idx="1362">
                  <c:v>0.27245449089818707</c:v>
                </c:pt>
                <c:pt idx="1363">
                  <c:v>0.27265453090618869</c:v>
                </c:pt>
                <c:pt idx="1364">
                  <c:v>0.2728545709141903</c:v>
                </c:pt>
                <c:pt idx="1365">
                  <c:v>0.27305461092219191</c:v>
                </c:pt>
                <c:pt idx="1366">
                  <c:v>0.27325465093019352</c:v>
                </c:pt>
                <c:pt idx="1367">
                  <c:v>0.27345469093819513</c:v>
                </c:pt>
                <c:pt idx="1368">
                  <c:v>0.27365473094619674</c:v>
                </c:pt>
                <c:pt idx="1369">
                  <c:v>0.27385477095419836</c:v>
                </c:pt>
                <c:pt idx="1370">
                  <c:v>0.27405481096219997</c:v>
                </c:pt>
                <c:pt idx="1371">
                  <c:v>0.27425485097020158</c:v>
                </c:pt>
                <c:pt idx="1372">
                  <c:v>0.27445489097820319</c:v>
                </c:pt>
                <c:pt idx="1373">
                  <c:v>0.2746549309862048</c:v>
                </c:pt>
                <c:pt idx="1374">
                  <c:v>0.27485497099420642</c:v>
                </c:pt>
                <c:pt idx="1375">
                  <c:v>0.27505501100220803</c:v>
                </c:pt>
                <c:pt idx="1376">
                  <c:v>0.27525505101020964</c:v>
                </c:pt>
                <c:pt idx="1377">
                  <c:v>0.27545509101821125</c:v>
                </c:pt>
                <c:pt idx="1378">
                  <c:v>0.27565513102621286</c:v>
                </c:pt>
                <c:pt idx="1379">
                  <c:v>0.27585517103421447</c:v>
                </c:pt>
                <c:pt idx="1380">
                  <c:v>0.27605521104221609</c:v>
                </c:pt>
                <c:pt idx="1381">
                  <c:v>0.2762552510502177</c:v>
                </c:pt>
                <c:pt idx="1382">
                  <c:v>0.27645529105821931</c:v>
                </c:pt>
                <c:pt idx="1383">
                  <c:v>0.27665533106622092</c:v>
                </c:pt>
                <c:pt idx="1384">
                  <c:v>0.27685537107422253</c:v>
                </c:pt>
                <c:pt idx="1385">
                  <c:v>0.27705541108222415</c:v>
                </c:pt>
                <c:pt idx="1386">
                  <c:v>0.27725545109022576</c:v>
                </c:pt>
                <c:pt idx="1387">
                  <c:v>0.27745549109822737</c:v>
                </c:pt>
                <c:pt idx="1388">
                  <c:v>0.27765553110622898</c:v>
                </c:pt>
                <c:pt idx="1389">
                  <c:v>0.27785557111423059</c:v>
                </c:pt>
                <c:pt idx="1390">
                  <c:v>0.2780556111222322</c:v>
                </c:pt>
                <c:pt idx="1391">
                  <c:v>0.27825565113023382</c:v>
                </c:pt>
                <c:pt idx="1392">
                  <c:v>0.27845569113823543</c:v>
                </c:pt>
                <c:pt idx="1393">
                  <c:v>0.27865573114623704</c:v>
                </c:pt>
                <c:pt idx="1394">
                  <c:v>0.27885577115423865</c:v>
                </c:pt>
                <c:pt idx="1395">
                  <c:v>0.27905581116224026</c:v>
                </c:pt>
                <c:pt idx="1396">
                  <c:v>0.27925585117024188</c:v>
                </c:pt>
                <c:pt idx="1397">
                  <c:v>0.27945589117824349</c:v>
                </c:pt>
                <c:pt idx="1398">
                  <c:v>0.2796559311862451</c:v>
                </c:pt>
                <c:pt idx="1399">
                  <c:v>0.27985597119424671</c:v>
                </c:pt>
                <c:pt idx="1400">
                  <c:v>0.28005601120224832</c:v>
                </c:pt>
                <c:pt idx="1401">
                  <c:v>0.28025605121024993</c:v>
                </c:pt>
                <c:pt idx="1402">
                  <c:v>0.28045609121825155</c:v>
                </c:pt>
                <c:pt idx="1403">
                  <c:v>0.28065613122625316</c:v>
                </c:pt>
                <c:pt idx="1404">
                  <c:v>0.28085617123425477</c:v>
                </c:pt>
                <c:pt idx="1405">
                  <c:v>0.28105621124225638</c:v>
                </c:pt>
                <c:pt idx="1406">
                  <c:v>0.28125625125025799</c:v>
                </c:pt>
                <c:pt idx="1407">
                  <c:v>0.28145629125825961</c:v>
                </c:pt>
                <c:pt idx="1408">
                  <c:v>0.28165633126626122</c:v>
                </c:pt>
                <c:pt idx="1409">
                  <c:v>0.28185637127426283</c:v>
                </c:pt>
                <c:pt idx="1410">
                  <c:v>0.28205641128226444</c:v>
                </c:pt>
                <c:pt idx="1411">
                  <c:v>0.28225645129026605</c:v>
                </c:pt>
                <c:pt idx="1412">
                  <c:v>0.28245649129826766</c:v>
                </c:pt>
                <c:pt idx="1413">
                  <c:v>0.28265653130626928</c:v>
                </c:pt>
                <c:pt idx="1414">
                  <c:v>0.28285657131427089</c:v>
                </c:pt>
                <c:pt idx="1415">
                  <c:v>0.2830566113222725</c:v>
                </c:pt>
                <c:pt idx="1416">
                  <c:v>0.28325665133027411</c:v>
                </c:pt>
                <c:pt idx="1417">
                  <c:v>0.28345669133827572</c:v>
                </c:pt>
                <c:pt idx="1418">
                  <c:v>0.28365673134627734</c:v>
                </c:pt>
                <c:pt idx="1419">
                  <c:v>0.28385677135427895</c:v>
                </c:pt>
                <c:pt idx="1420">
                  <c:v>0.28405681136228056</c:v>
                </c:pt>
                <c:pt idx="1421">
                  <c:v>0.28425685137028217</c:v>
                </c:pt>
                <c:pt idx="1422">
                  <c:v>0.28445689137828378</c:v>
                </c:pt>
                <c:pt idx="1423">
                  <c:v>0.28465693138628539</c:v>
                </c:pt>
                <c:pt idx="1424">
                  <c:v>0.28485697139428701</c:v>
                </c:pt>
                <c:pt idx="1425">
                  <c:v>0.28505701140228862</c:v>
                </c:pt>
                <c:pt idx="1426">
                  <c:v>0.28525705141029023</c:v>
                </c:pt>
                <c:pt idx="1427">
                  <c:v>0.28545709141829184</c:v>
                </c:pt>
                <c:pt idx="1428">
                  <c:v>0.28565713142629345</c:v>
                </c:pt>
                <c:pt idx="1429">
                  <c:v>0.28585717143429507</c:v>
                </c:pt>
                <c:pt idx="1430">
                  <c:v>0.28605721144229668</c:v>
                </c:pt>
                <c:pt idx="1431">
                  <c:v>0.28625725145029829</c:v>
                </c:pt>
                <c:pt idx="1432">
                  <c:v>0.2864572914582999</c:v>
                </c:pt>
                <c:pt idx="1433">
                  <c:v>0.28665733146630151</c:v>
                </c:pt>
                <c:pt idx="1434">
                  <c:v>0.28685737147430312</c:v>
                </c:pt>
                <c:pt idx="1435">
                  <c:v>0.28705741148230474</c:v>
                </c:pt>
                <c:pt idx="1436">
                  <c:v>0.28725745149030635</c:v>
                </c:pt>
                <c:pt idx="1437">
                  <c:v>0.28745749149830796</c:v>
                </c:pt>
                <c:pt idx="1438">
                  <c:v>0.28765753150630957</c:v>
                </c:pt>
                <c:pt idx="1439">
                  <c:v>0.28785757151431118</c:v>
                </c:pt>
                <c:pt idx="1440">
                  <c:v>0.2880576115223128</c:v>
                </c:pt>
                <c:pt idx="1441">
                  <c:v>0.28825765153031441</c:v>
                </c:pt>
                <c:pt idx="1442">
                  <c:v>0.28845769153831602</c:v>
                </c:pt>
                <c:pt idx="1443">
                  <c:v>0.28865773154631763</c:v>
                </c:pt>
                <c:pt idx="1444">
                  <c:v>0.28885777155431924</c:v>
                </c:pt>
                <c:pt idx="1445">
                  <c:v>0.28905781156232085</c:v>
                </c:pt>
                <c:pt idx="1446">
                  <c:v>0.28925785157032247</c:v>
                </c:pt>
                <c:pt idx="1447">
                  <c:v>0.28945789157832408</c:v>
                </c:pt>
                <c:pt idx="1448">
                  <c:v>0.28965793158632569</c:v>
                </c:pt>
                <c:pt idx="1449">
                  <c:v>0.2898579715943273</c:v>
                </c:pt>
                <c:pt idx="1450">
                  <c:v>0.29005801160232891</c:v>
                </c:pt>
                <c:pt idx="1451">
                  <c:v>0.29025805161033053</c:v>
                </c:pt>
                <c:pt idx="1452">
                  <c:v>0.29045809161833214</c:v>
                </c:pt>
                <c:pt idx="1453">
                  <c:v>0.29065813162633375</c:v>
                </c:pt>
                <c:pt idx="1454">
                  <c:v>0.29085817163433536</c:v>
                </c:pt>
                <c:pt idx="1455">
                  <c:v>0.29105821164233697</c:v>
                </c:pt>
                <c:pt idx="1456">
                  <c:v>0.29125825165033858</c:v>
                </c:pt>
                <c:pt idx="1457">
                  <c:v>0.2914582916583402</c:v>
                </c:pt>
                <c:pt idx="1458">
                  <c:v>0.29165833166634181</c:v>
                </c:pt>
                <c:pt idx="1459">
                  <c:v>0.29185837167434342</c:v>
                </c:pt>
                <c:pt idx="1460">
                  <c:v>0.29205841168234503</c:v>
                </c:pt>
                <c:pt idx="1461">
                  <c:v>0.29225845169034664</c:v>
                </c:pt>
                <c:pt idx="1462">
                  <c:v>0.29245849169834826</c:v>
                </c:pt>
                <c:pt idx="1463">
                  <c:v>0.29265853170634987</c:v>
                </c:pt>
                <c:pt idx="1464">
                  <c:v>0.29285857171435148</c:v>
                </c:pt>
                <c:pt idx="1465">
                  <c:v>0.29305861172235309</c:v>
                </c:pt>
                <c:pt idx="1466">
                  <c:v>0.2932586517303547</c:v>
                </c:pt>
                <c:pt idx="1467">
                  <c:v>0.29345869173835631</c:v>
                </c:pt>
                <c:pt idx="1468">
                  <c:v>0.29365873174635793</c:v>
                </c:pt>
                <c:pt idx="1469">
                  <c:v>0.29385877175435954</c:v>
                </c:pt>
                <c:pt idx="1470">
                  <c:v>0.29405881176236115</c:v>
                </c:pt>
                <c:pt idx="1471">
                  <c:v>0.29425885177036276</c:v>
                </c:pt>
                <c:pt idx="1472">
                  <c:v>0.29445889177836437</c:v>
                </c:pt>
                <c:pt idx="1473">
                  <c:v>0.29465893178636599</c:v>
                </c:pt>
                <c:pt idx="1474">
                  <c:v>0.2948589717943676</c:v>
                </c:pt>
                <c:pt idx="1475">
                  <c:v>0.29505901180236921</c:v>
                </c:pt>
                <c:pt idx="1476">
                  <c:v>0.29525905181037082</c:v>
                </c:pt>
                <c:pt idx="1477">
                  <c:v>0.29545909181837243</c:v>
                </c:pt>
                <c:pt idx="1478">
                  <c:v>0.29565913182637404</c:v>
                </c:pt>
                <c:pt idx="1479">
                  <c:v>0.29585917183437566</c:v>
                </c:pt>
                <c:pt idx="1480">
                  <c:v>0.29605921184237727</c:v>
                </c:pt>
                <c:pt idx="1481">
                  <c:v>0.29625925185037888</c:v>
                </c:pt>
                <c:pt idx="1482">
                  <c:v>0.29645929185838049</c:v>
                </c:pt>
                <c:pt idx="1483">
                  <c:v>0.2966593318663821</c:v>
                </c:pt>
                <c:pt idx="1484">
                  <c:v>0.29685937187438372</c:v>
                </c:pt>
                <c:pt idx="1485">
                  <c:v>0.29705941188238533</c:v>
                </c:pt>
                <c:pt idx="1486">
                  <c:v>0.29725945189038694</c:v>
                </c:pt>
                <c:pt idx="1487">
                  <c:v>0.29745949189838855</c:v>
                </c:pt>
                <c:pt idx="1488">
                  <c:v>0.29765953190639016</c:v>
                </c:pt>
                <c:pt idx="1489">
                  <c:v>0.29785957191439177</c:v>
                </c:pt>
                <c:pt idx="1490">
                  <c:v>0.29805961192239339</c:v>
                </c:pt>
                <c:pt idx="1491">
                  <c:v>0.298259651930395</c:v>
                </c:pt>
                <c:pt idx="1492">
                  <c:v>0.29845969193839661</c:v>
                </c:pt>
                <c:pt idx="1493">
                  <c:v>0.29865973194639822</c:v>
                </c:pt>
                <c:pt idx="1494">
                  <c:v>0.29885977195439983</c:v>
                </c:pt>
                <c:pt idx="1495">
                  <c:v>0.29905981196240145</c:v>
                </c:pt>
                <c:pt idx="1496">
                  <c:v>0.29925985197040306</c:v>
                </c:pt>
                <c:pt idx="1497">
                  <c:v>0.29945989197840467</c:v>
                </c:pt>
                <c:pt idx="1498">
                  <c:v>0.29965993198640628</c:v>
                </c:pt>
                <c:pt idx="1499">
                  <c:v>0.29985997199440789</c:v>
                </c:pt>
                <c:pt idx="1500">
                  <c:v>0.3000600120024095</c:v>
                </c:pt>
                <c:pt idx="1501">
                  <c:v>0.30026005201041112</c:v>
                </c:pt>
                <c:pt idx="1502">
                  <c:v>0.30046009201841273</c:v>
                </c:pt>
                <c:pt idx="1503">
                  <c:v>0.30066013202641434</c:v>
                </c:pt>
                <c:pt idx="1504">
                  <c:v>0.30086017203441595</c:v>
                </c:pt>
                <c:pt idx="1505">
                  <c:v>0.30106021204241756</c:v>
                </c:pt>
                <c:pt idx="1506">
                  <c:v>0.30126025205041917</c:v>
                </c:pt>
                <c:pt idx="1507">
                  <c:v>0.30146029205842079</c:v>
                </c:pt>
                <c:pt idx="1508">
                  <c:v>0.3016603320664224</c:v>
                </c:pt>
                <c:pt idx="1509">
                  <c:v>0.30186037207442401</c:v>
                </c:pt>
                <c:pt idx="1510">
                  <c:v>0.30206041208242562</c:v>
                </c:pt>
                <c:pt idx="1511">
                  <c:v>0.30226045209042723</c:v>
                </c:pt>
                <c:pt idx="1512">
                  <c:v>0.30246049209842885</c:v>
                </c:pt>
                <c:pt idx="1513">
                  <c:v>0.30266053210643046</c:v>
                </c:pt>
                <c:pt idx="1514">
                  <c:v>0.30286057211443207</c:v>
                </c:pt>
                <c:pt idx="1515">
                  <c:v>0.30306061212243368</c:v>
                </c:pt>
                <c:pt idx="1516">
                  <c:v>0.30326065213043529</c:v>
                </c:pt>
                <c:pt idx="1517">
                  <c:v>0.3034606921384369</c:v>
                </c:pt>
                <c:pt idx="1518">
                  <c:v>0.30366073214643852</c:v>
                </c:pt>
                <c:pt idx="1519">
                  <c:v>0.30386077215444013</c:v>
                </c:pt>
                <c:pt idx="1520">
                  <c:v>0.30406081216244174</c:v>
                </c:pt>
                <c:pt idx="1521">
                  <c:v>0.30426085217044335</c:v>
                </c:pt>
                <c:pt idx="1522">
                  <c:v>0.30446089217844496</c:v>
                </c:pt>
                <c:pt idx="1523">
                  <c:v>0.30466093218644658</c:v>
                </c:pt>
                <c:pt idx="1524">
                  <c:v>0.30486097219444819</c:v>
                </c:pt>
                <c:pt idx="1525">
                  <c:v>0.3050610122024498</c:v>
                </c:pt>
                <c:pt idx="1526">
                  <c:v>0.30526105221045141</c:v>
                </c:pt>
                <c:pt idx="1527">
                  <c:v>0.30546109221845302</c:v>
                </c:pt>
                <c:pt idx="1528">
                  <c:v>0.30566113222645463</c:v>
                </c:pt>
                <c:pt idx="1529">
                  <c:v>0.30586117223445625</c:v>
                </c:pt>
                <c:pt idx="1530">
                  <c:v>0.30606121224245786</c:v>
                </c:pt>
                <c:pt idx="1531">
                  <c:v>0.30626125225045947</c:v>
                </c:pt>
                <c:pt idx="1532">
                  <c:v>0.30646129225846108</c:v>
                </c:pt>
                <c:pt idx="1533">
                  <c:v>0.30666133226646269</c:v>
                </c:pt>
                <c:pt idx="1534">
                  <c:v>0.30686137227446431</c:v>
                </c:pt>
                <c:pt idx="1535">
                  <c:v>0.30706141228246592</c:v>
                </c:pt>
                <c:pt idx="1536">
                  <c:v>0.30726145229046753</c:v>
                </c:pt>
                <c:pt idx="1537">
                  <c:v>0.30746149229846914</c:v>
                </c:pt>
                <c:pt idx="1538">
                  <c:v>0.30766153230647075</c:v>
                </c:pt>
                <c:pt idx="1539">
                  <c:v>0.30786157231447236</c:v>
                </c:pt>
                <c:pt idx="1540">
                  <c:v>0.30806161232247398</c:v>
                </c:pt>
                <c:pt idx="1541">
                  <c:v>0.30826165233047559</c:v>
                </c:pt>
                <c:pt idx="1542">
                  <c:v>0.3084616923384772</c:v>
                </c:pt>
                <c:pt idx="1543">
                  <c:v>0.30866173234647881</c:v>
                </c:pt>
                <c:pt idx="1544">
                  <c:v>0.30886177235448042</c:v>
                </c:pt>
                <c:pt idx="1545">
                  <c:v>0.30906181236248204</c:v>
                </c:pt>
                <c:pt idx="1546">
                  <c:v>0.30926185237048365</c:v>
                </c:pt>
                <c:pt idx="1547">
                  <c:v>0.30946189237848526</c:v>
                </c:pt>
                <c:pt idx="1548">
                  <c:v>0.30966193238648687</c:v>
                </c:pt>
                <c:pt idx="1549">
                  <c:v>0.30986197239448848</c:v>
                </c:pt>
                <c:pt idx="1550">
                  <c:v>0.31006201240249009</c:v>
                </c:pt>
                <c:pt idx="1551">
                  <c:v>0.31026205241049171</c:v>
                </c:pt>
                <c:pt idx="1552">
                  <c:v>0.31046209241849332</c:v>
                </c:pt>
                <c:pt idx="1553">
                  <c:v>0.31066213242649493</c:v>
                </c:pt>
                <c:pt idx="1554">
                  <c:v>0.31086217243449654</c:v>
                </c:pt>
                <c:pt idx="1555">
                  <c:v>0.31106221244249815</c:v>
                </c:pt>
                <c:pt idx="1556">
                  <c:v>0.31126225245049977</c:v>
                </c:pt>
                <c:pt idx="1557">
                  <c:v>0.31146229245850138</c:v>
                </c:pt>
                <c:pt idx="1558">
                  <c:v>0.31166233246650299</c:v>
                </c:pt>
                <c:pt idx="1559">
                  <c:v>0.3118623724745046</c:v>
                </c:pt>
                <c:pt idx="1560">
                  <c:v>0.31206241248250621</c:v>
                </c:pt>
                <c:pt idx="1561">
                  <c:v>0.31226245249050782</c:v>
                </c:pt>
                <c:pt idx="1562">
                  <c:v>0.31246249249850944</c:v>
                </c:pt>
                <c:pt idx="1563">
                  <c:v>0.31266253250651105</c:v>
                </c:pt>
                <c:pt idx="1564">
                  <c:v>0.31286257251451266</c:v>
                </c:pt>
                <c:pt idx="1565">
                  <c:v>0.31306261252251427</c:v>
                </c:pt>
                <c:pt idx="1566">
                  <c:v>0.31326265253051588</c:v>
                </c:pt>
                <c:pt idx="1567">
                  <c:v>0.3134626925385175</c:v>
                </c:pt>
                <c:pt idx="1568">
                  <c:v>0.31366273254651911</c:v>
                </c:pt>
                <c:pt idx="1569">
                  <c:v>0.31386277255452072</c:v>
                </c:pt>
                <c:pt idx="1570">
                  <c:v>0.31406281256252233</c:v>
                </c:pt>
                <c:pt idx="1571">
                  <c:v>0.31426285257052394</c:v>
                </c:pt>
                <c:pt idx="1572">
                  <c:v>0.31446289257852555</c:v>
                </c:pt>
                <c:pt idx="1573">
                  <c:v>0.31466293258652717</c:v>
                </c:pt>
                <c:pt idx="1574">
                  <c:v>0.31486297259452878</c:v>
                </c:pt>
                <c:pt idx="1575">
                  <c:v>0.31506301260253039</c:v>
                </c:pt>
                <c:pt idx="1576">
                  <c:v>0.315263052610532</c:v>
                </c:pt>
                <c:pt idx="1577">
                  <c:v>0.31546309261853361</c:v>
                </c:pt>
                <c:pt idx="1578">
                  <c:v>0.31566313262653523</c:v>
                </c:pt>
                <c:pt idx="1579">
                  <c:v>0.31586317263453684</c:v>
                </c:pt>
                <c:pt idx="1580">
                  <c:v>0.31606321264253845</c:v>
                </c:pt>
                <c:pt idx="1581">
                  <c:v>0.31626325265054006</c:v>
                </c:pt>
                <c:pt idx="1582">
                  <c:v>0.31646329265854167</c:v>
                </c:pt>
                <c:pt idx="1583">
                  <c:v>0.31666333266654328</c:v>
                </c:pt>
                <c:pt idx="1584">
                  <c:v>0.3168633726745449</c:v>
                </c:pt>
                <c:pt idx="1585">
                  <c:v>0.31706341268254651</c:v>
                </c:pt>
                <c:pt idx="1586">
                  <c:v>0.31726345269054812</c:v>
                </c:pt>
                <c:pt idx="1587">
                  <c:v>0.31746349269854973</c:v>
                </c:pt>
                <c:pt idx="1588">
                  <c:v>0.31766353270655134</c:v>
                </c:pt>
                <c:pt idx="1589">
                  <c:v>0.31786357271455296</c:v>
                </c:pt>
                <c:pt idx="1590">
                  <c:v>0.31806361272255457</c:v>
                </c:pt>
                <c:pt idx="1591">
                  <c:v>0.31826365273055618</c:v>
                </c:pt>
                <c:pt idx="1592">
                  <c:v>0.31846369273855779</c:v>
                </c:pt>
                <c:pt idx="1593">
                  <c:v>0.3186637327465594</c:v>
                </c:pt>
                <c:pt idx="1594">
                  <c:v>0.31886377275456101</c:v>
                </c:pt>
                <c:pt idx="1595">
                  <c:v>0.31906381276256263</c:v>
                </c:pt>
                <c:pt idx="1596">
                  <c:v>0.31926385277056424</c:v>
                </c:pt>
                <c:pt idx="1597">
                  <c:v>0.31946389277856585</c:v>
                </c:pt>
                <c:pt idx="1598">
                  <c:v>0.31966393278656746</c:v>
                </c:pt>
                <c:pt idx="1599">
                  <c:v>0.31986397279456907</c:v>
                </c:pt>
                <c:pt idx="1600">
                  <c:v>0.32006401280257069</c:v>
                </c:pt>
                <c:pt idx="1601">
                  <c:v>0.3202640528105723</c:v>
                </c:pt>
                <c:pt idx="1602">
                  <c:v>0.32046409281857391</c:v>
                </c:pt>
                <c:pt idx="1603">
                  <c:v>0.32066413282657552</c:v>
                </c:pt>
                <c:pt idx="1604">
                  <c:v>0.32086417283457713</c:v>
                </c:pt>
                <c:pt idx="1605">
                  <c:v>0.32106421284257874</c:v>
                </c:pt>
                <c:pt idx="1606">
                  <c:v>0.32126425285058036</c:v>
                </c:pt>
                <c:pt idx="1607">
                  <c:v>0.32146429285858197</c:v>
                </c:pt>
                <c:pt idx="1608">
                  <c:v>0.32166433286658358</c:v>
                </c:pt>
                <c:pt idx="1609">
                  <c:v>0.32186437287458519</c:v>
                </c:pt>
                <c:pt idx="1610">
                  <c:v>0.3220644128825868</c:v>
                </c:pt>
                <c:pt idx="1611">
                  <c:v>0.32226445289058842</c:v>
                </c:pt>
                <c:pt idx="1612">
                  <c:v>0.32246449289859003</c:v>
                </c:pt>
                <c:pt idx="1613">
                  <c:v>0.32266453290659164</c:v>
                </c:pt>
                <c:pt idx="1614">
                  <c:v>0.32286457291459325</c:v>
                </c:pt>
                <c:pt idx="1615">
                  <c:v>0.32306461292259486</c:v>
                </c:pt>
                <c:pt idx="1616">
                  <c:v>0.32326465293059647</c:v>
                </c:pt>
                <c:pt idx="1617">
                  <c:v>0.32346469293859809</c:v>
                </c:pt>
                <c:pt idx="1618">
                  <c:v>0.3236647329465997</c:v>
                </c:pt>
                <c:pt idx="1619">
                  <c:v>0.32386477295460131</c:v>
                </c:pt>
                <c:pt idx="1620">
                  <c:v>0.32406481296260292</c:v>
                </c:pt>
                <c:pt idx="1621">
                  <c:v>0.32426485297060453</c:v>
                </c:pt>
                <c:pt idx="1622">
                  <c:v>0.32446489297860615</c:v>
                </c:pt>
                <c:pt idx="1623">
                  <c:v>0.32466493298660776</c:v>
                </c:pt>
                <c:pt idx="1624">
                  <c:v>0.32486497299460937</c:v>
                </c:pt>
                <c:pt idx="1625">
                  <c:v>0.32506501300261098</c:v>
                </c:pt>
                <c:pt idx="1626">
                  <c:v>0.32526505301061259</c:v>
                </c:pt>
                <c:pt idx="1627">
                  <c:v>0.3254650930186142</c:v>
                </c:pt>
                <c:pt idx="1628">
                  <c:v>0.32566513302661582</c:v>
                </c:pt>
                <c:pt idx="1629">
                  <c:v>0.32586517303461743</c:v>
                </c:pt>
                <c:pt idx="1630">
                  <c:v>0.32606521304261904</c:v>
                </c:pt>
                <c:pt idx="1631">
                  <c:v>0.32626525305062065</c:v>
                </c:pt>
                <c:pt idx="1632">
                  <c:v>0.32646529305862226</c:v>
                </c:pt>
                <c:pt idx="1633">
                  <c:v>0.32666533306662388</c:v>
                </c:pt>
                <c:pt idx="1634">
                  <c:v>0.32686537307462549</c:v>
                </c:pt>
                <c:pt idx="1635">
                  <c:v>0.3270654130826271</c:v>
                </c:pt>
                <c:pt idx="1636">
                  <c:v>0.32726545309062871</c:v>
                </c:pt>
                <c:pt idx="1637">
                  <c:v>0.32746549309863032</c:v>
                </c:pt>
                <c:pt idx="1638">
                  <c:v>0.32766553310663193</c:v>
                </c:pt>
                <c:pt idx="1639">
                  <c:v>0.32786557311463355</c:v>
                </c:pt>
                <c:pt idx="1640">
                  <c:v>0.32806561312263516</c:v>
                </c:pt>
                <c:pt idx="1641">
                  <c:v>0.32826565313063677</c:v>
                </c:pt>
                <c:pt idx="1642">
                  <c:v>0.32846569313863838</c:v>
                </c:pt>
                <c:pt idx="1643">
                  <c:v>0.32866573314663999</c:v>
                </c:pt>
                <c:pt idx="1644">
                  <c:v>0.32886577315464161</c:v>
                </c:pt>
                <c:pt idx="1645">
                  <c:v>0.32906581316264322</c:v>
                </c:pt>
                <c:pt idx="1646">
                  <c:v>0.32926585317064483</c:v>
                </c:pt>
                <c:pt idx="1647">
                  <c:v>0.32946589317864644</c:v>
                </c:pt>
                <c:pt idx="1648">
                  <c:v>0.32966593318664805</c:v>
                </c:pt>
                <c:pt idx="1649">
                  <c:v>0.32986597319464966</c:v>
                </c:pt>
                <c:pt idx="1650">
                  <c:v>0.33006601320265128</c:v>
                </c:pt>
                <c:pt idx="1651">
                  <c:v>0.33026605321065289</c:v>
                </c:pt>
                <c:pt idx="1652">
                  <c:v>0.3304660932186545</c:v>
                </c:pt>
                <c:pt idx="1653">
                  <c:v>0.33066613322665611</c:v>
                </c:pt>
                <c:pt idx="1654">
                  <c:v>0.33086617323465772</c:v>
                </c:pt>
                <c:pt idx="1655">
                  <c:v>0.33106621324265934</c:v>
                </c:pt>
                <c:pt idx="1656">
                  <c:v>0.33126625325066095</c:v>
                </c:pt>
                <c:pt idx="1657">
                  <c:v>0.33146629325866256</c:v>
                </c:pt>
                <c:pt idx="1658">
                  <c:v>0.33166633326666417</c:v>
                </c:pt>
                <c:pt idx="1659">
                  <c:v>0.33186637327466578</c:v>
                </c:pt>
                <c:pt idx="1660">
                  <c:v>0.33206641328266739</c:v>
                </c:pt>
                <c:pt idx="1661">
                  <c:v>0.33226645329066901</c:v>
                </c:pt>
                <c:pt idx="1662">
                  <c:v>0.33246649329867062</c:v>
                </c:pt>
                <c:pt idx="1663">
                  <c:v>0.33266653330667223</c:v>
                </c:pt>
                <c:pt idx="1664">
                  <c:v>0.33286657331467384</c:v>
                </c:pt>
                <c:pt idx="1665">
                  <c:v>0.33306661332267545</c:v>
                </c:pt>
                <c:pt idx="1666">
                  <c:v>0.33326665333067707</c:v>
                </c:pt>
                <c:pt idx="1667">
                  <c:v>0.33346669333867868</c:v>
                </c:pt>
                <c:pt idx="1668">
                  <c:v>0.33366673334668029</c:v>
                </c:pt>
                <c:pt idx="1669">
                  <c:v>0.3338667733546819</c:v>
                </c:pt>
                <c:pt idx="1670">
                  <c:v>0.33406681336268351</c:v>
                </c:pt>
                <c:pt idx="1671">
                  <c:v>0.33426685337068512</c:v>
                </c:pt>
                <c:pt idx="1672">
                  <c:v>0.33446689337868674</c:v>
                </c:pt>
                <c:pt idx="1673">
                  <c:v>0.33466693338668835</c:v>
                </c:pt>
                <c:pt idx="1674">
                  <c:v>0.33486697339468996</c:v>
                </c:pt>
                <c:pt idx="1675">
                  <c:v>0.33506701340269157</c:v>
                </c:pt>
                <c:pt idx="1676">
                  <c:v>0.33526705341069318</c:v>
                </c:pt>
                <c:pt idx="1677">
                  <c:v>0.3354670934186948</c:v>
                </c:pt>
                <c:pt idx="1678">
                  <c:v>0.33566713342669641</c:v>
                </c:pt>
                <c:pt idx="1679">
                  <c:v>0.33586717343469802</c:v>
                </c:pt>
                <c:pt idx="1680">
                  <c:v>0.33606721344269963</c:v>
                </c:pt>
                <c:pt idx="1681">
                  <c:v>0.33626725345070124</c:v>
                </c:pt>
                <c:pt idx="1682">
                  <c:v>0.33646729345870285</c:v>
                </c:pt>
                <c:pt idx="1683">
                  <c:v>0.33666733346670447</c:v>
                </c:pt>
                <c:pt idx="1684">
                  <c:v>0.33686737347470608</c:v>
                </c:pt>
                <c:pt idx="1685">
                  <c:v>0.33706741348270769</c:v>
                </c:pt>
                <c:pt idx="1686">
                  <c:v>0.3372674534907093</c:v>
                </c:pt>
                <c:pt idx="1687">
                  <c:v>0.33746749349871091</c:v>
                </c:pt>
                <c:pt idx="1688">
                  <c:v>0.33766753350671252</c:v>
                </c:pt>
                <c:pt idx="1689">
                  <c:v>0.33786757351471414</c:v>
                </c:pt>
                <c:pt idx="1690">
                  <c:v>0.33806761352271575</c:v>
                </c:pt>
                <c:pt idx="1691">
                  <c:v>0.33826765353071736</c:v>
                </c:pt>
                <c:pt idx="1692">
                  <c:v>0.33846769353871897</c:v>
                </c:pt>
                <c:pt idx="1693">
                  <c:v>0.33866773354672058</c:v>
                </c:pt>
                <c:pt idx="1694">
                  <c:v>0.3388677735547222</c:v>
                </c:pt>
                <c:pt idx="1695">
                  <c:v>0.33906781356272381</c:v>
                </c:pt>
                <c:pt idx="1696">
                  <c:v>0.33926785357072542</c:v>
                </c:pt>
                <c:pt idx="1697">
                  <c:v>0.33946789357872703</c:v>
                </c:pt>
                <c:pt idx="1698">
                  <c:v>0.33966793358672864</c:v>
                </c:pt>
                <c:pt idx="1699">
                  <c:v>0.33986797359473025</c:v>
                </c:pt>
                <c:pt idx="1700">
                  <c:v>0.34006801360273187</c:v>
                </c:pt>
                <c:pt idx="1701">
                  <c:v>0.34026805361073348</c:v>
                </c:pt>
                <c:pt idx="1702">
                  <c:v>0.34046809361873509</c:v>
                </c:pt>
                <c:pt idx="1703">
                  <c:v>0.3406681336267367</c:v>
                </c:pt>
                <c:pt idx="1704">
                  <c:v>0.34086817363473831</c:v>
                </c:pt>
                <c:pt idx="1705">
                  <c:v>0.34106821364273993</c:v>
                </c:pt>
                <c:pt idx="1706">
                  <c:v>0.34126825365074154</c:v>
                </c:pt>
                <c:pt idx="1707">
                  <c:v>0.34146829365874315</c:v>
                </c:pt>
                <c:pt idx="1708">
                  <c:v>0.34166833366674476</c:v>
                </c:pt>
                <c:pt idx="1709">
                  <c:v>0.34186837367474637</c:v>
                </c:pt>
                <c:pt idx="1710">
                  <c:v>0.34206841368274798</c:v>
                </c:pt>
                <c:pt idx="1711">
                  <c:v>0.3422684536907496</c:v>
                </c:pt>
                <c:pt idx="1712">
                  <c:v>0.34246849369875121</c:v>
                </c:pt>
                <c:pt idx="1713">
                  <c:v>0.34266853370675282</c:v>
                </c:pt>
                <c:pt idx="1714">
                  <c:v>0.34286857371475443</c:v>
                </c:pt>
                <c:pt idx="1715">
                  <c:v>0.34306861372275604</c:v>
                </c:pt>
                <c:pt idx="1716">
                  <c:v>0.34326865373075766</c:v>
                </c:pt>
                <c:pt idx="1717">
                  <c:v>0.34346869373875927</c:v>
                </c:pt>
                <c:pt idx="1718">
                  <c:v>0.34366873374676088</c:v>
                </c:pt>
                <c:pt idx="1719">
                  <c:v>0.34386877375476249</c:v>
                </c:pt>
                <c:pt idx="1720">
                  <c:v>0.3440688137627641</c:v>
                </c:pt>
                <c:pt idx="1721">
                  <c:v>0.34426885377076571</c:v>
                </c:pt>
                <c:pt idx="1722">
                  <c:v>0.34446889377876733</c:v>
                </c:pt>
                <c:pt idx="1723">
                  <c:v>0.34466893378676894</c:v>
                </c:pt>
                <c:pt idx="1724">
                  <c:v>0.34486897379477055</c:v>
                </c:pt>
                <c:pt idx="1725">
                  <c:v>0.34506901380277216</c:v>
                </c:pt>
                <c:pt idx="1726">
                  <c:v>0.34526905381077377</c:v>
                </c:pt>
                <c:pt idx="1727">
                  <c:v>0.34546909381877539</c:v>
                </c:pt>
                <c:pt idx="1728">
                  <c:v>0.345669133826777</c:v>
                </c:pt>
                <c:pt idx="1729">
                  <c:v>0.34586917383477861</c:v>
                </c:pt>
                <c:pt idx="1730">
                  <c:v>0.34606921384278022</c:v>
                </c:pt>
                <c:pt idx="1731">
                  <c:v>0.34626925385078183</c:v>
                </c:pt>
                <c:pt idx="1732">
                  <c:v>0.34646929385878344</c:v>
                </c:pt>
                <c:pt idx="1733">
                  <c:v>0.34666933386678506</c:v>
                </c:pt>
                <c:pt idx="1734">
                  <c:v>0.34686937387478667</c:v>
                </c:pt>
                <c:pt idx="1735">
                  <c:v>0.34706941388278828</c:v>
                </c:pt>
                <c:pt idx="1736">
                  <c:v>0.34726945389078989</c:v>
                </c:pt>
                <c:pt idx="1737">
                  <c:v>0.3474694938987915</c:v>
                </c:pt>
                <c:pt idx="1738">
                  <c:v>0.34766953390679312</c:v>
                </c:pt>
                <c:pt idx="1739">
                  <c:v>0.34786957391479473</c:v>
                </c:pt>
                <c:pt idx="1740">
                  <c:v>0.34806961392279634</c:v>
                </c:pt>
                <c:pt idx="1741">
                  <c:v>0.34826965393079795</c:v>
                </c:pt>
                <c:pt idx="1742">
                  <c:v>0.34846969393879956</c:v>
                </c:pt>
                <c:pt idx="1743">
                  <c:v>0.34866973394680117</c:v>
                </c:pt>
                <c:pt idx="1744">
                  <c:v>0.34886977395480279</c:v>
                </c:pt>
                <c:pt idx="1745">
                  <c:v>0.3490698139628044</c:v>
                </c:pt>
                <c:pt idx="1746">
                  <c:v>0.34926985397080601</c:v>
                </c:pt>
                <c:pt idx="1747">
                  <c:v>0.34946989397880762</c:v>
                </c:pt>
                <c:pt idx="1748">
                  <c:v>0.34966993398680923</c:v>
                </c:pt>
                <c:pt idx="1749">
                  <c:v>0.34986997399481085</c:v>
                </c:pt>
                <c:pt idx="1750">
                  <c:v>0.35007001400281246</c:v>
                </c:pt>
                <c:pt idx="1751">
                  <c:v>0.35027005401081407</c:v>
                </c:pt>
                <c:pt idx="1752">
                  <c:v>0.35047009401881568</c:v>
                </c:pt>
                <c:pt idx="1753">
                  <c:v>0.35067013402681729</c:v>
                </c:pt>
                <c:pt idx="1754">
                  <c:v>0.3508701740348189</c:v>
                </c:pt>
                <c:pt idx="1755">
                  <c:v>0.35107021404282052</c:v>
                </c:pt>
                <c:pt idx="1756">
                  <c:v>0.35127025405082213</c:v>
                </c:pt>
                <c:pt idx="1757">
                  <c:v>0.35147029405882374</c:v>
                </c:pt>
                <c:pt idx="1758">
                  <c:v>0.35167033406682535</c:v>
                </c:pt>
                <c:pt idx="1759">
                  <c:v>0.35187037407482696</c:v>
                </c:pt>
                <c:pt idx="1760">
                  <c:v>0.35207041408282858</c:v>
                </c:pt>
                <c:pt idx="1761">
                  <c:v>0.35227045409083019</c:v>
                </c:pt>
                <c:pt idx="1762">
                  <c:v>0.3524704940988318</c:v>
                </c:pt>
                <c:pt idx="1763">
                  <c:v>0.35267053410683341</c:v>
                </c:pt>
                <c:pt idx="1764">
                  <c:v>0.35287057411483502</c:v>
                </c:pt>
                <c:pt idx="1765">
                  <c:v>0.35307061412283663</c:v>
                </c:pt>
                <c:pt idx="1766">
                  <c:v>0.35327065413083825</c:v>
                </c:pt>
                <c:pt idx="1767">
                  <c:v>0.35347069413883986</c:v>
                </c:pt>
                <c:pt idx="1768">
                  <c:v>0.35367073414684147</c:v>
                </c:pt>
                <c:pt idx="1769">
                  <c:v>0.35387077415484308</c:v>
                </c:pt>
                <c:pt idx="1770">
                  <c:v>0.35407081416284469</c:v>
                </c:pt>
                <c:pt idx="1771">
                  <c:v>0.35427085417084631</c:v>
                </c:pt>
                <c:pt idx="1772">
                  <c:v>0.35447089417884792</c:v>
                </c:pt>
                <c:pt idx="1773">
                  <c:v>0.35467093418684953</c:v>
                </c:pt>
                <c:pt idx="1774">
                  <c:v>0.35487097419485114</c:v>
                </c:pt>
                <c:pt idx="1775">
                  <c:v>0.35507101420285275</c:v>
                </c:pt>
                <c:pt idx="1776">
                  <c:v>0.35527105421085436</c:v>
                </c:pt>
                <c:pt idx="1777">
                  <c:v>0.35547109421885598</c:v>
                </c:pt>
                <c:pt idx="1778">
                  <c:v>0.35567113422685759</c:v>
                </c:pt>
                <c:pt idx="1779">
                  <c:v>0.3558711742348592</c:v>
                </c:pt>
                <c:pt idx="1780">
                  <c:v>0.35607121424286081</c:v>
                </c:pt>
                <c:pt idx="1781">
                  <c:v>0.35627125425086242</c:v>
                </c:pt>
                <c:pt idx="1782">
                  <c:v>0.35647129425886404</c:v>
                </c:pt>
                <c:pt idx="1783">
                  <c:v>0.35667133426686565</c:v>
                </c:pt>
                <c:pt idx="1784">
                  <c:v>0.35687137427486726</c:v>
                </c:pt>
                <c:pt idx="1785">
                  <c:v>0.35707141428286887</c:v>
                </c:pt>
                <c:pt idx="1786">
                  <c:v>0.35727145429087048</c:v>
                </c:pt>
                <c:pt idx="1787">
                  <c:v>0.35747149429887209</c:v>
                </c:pt>
                <c:pt idx="1788">
                  <c:v>0.35767153430687371</c:v>
                </c:pt>
                <c:pt idx="1789">
                  <c:v>0.35787157431487532</c:v>
                </c:pt>
                <c:pt idx="1790">
                  <c:v>0.35807161432287693</c:v>
                </c:pt>
                <c:pt idx="1791">
                  <c:v>0.35827165433087854</c:v>
                </c:pt>
                <c:pt idx="1792">
                  <c:v>0.35847169433888015</c:v>
                </c:pt>
                <c:pt idx="1793">
                  <c:v>0.35867173434688177</c:v>
                </c:pt>
                <c:pt idx="1794">
                  <c:v>0.35887177435488338</c:v>
                </c:pt>
                <c:pt idx="1795">
                  <c:v>0.35907181436288499</c:v>
                </c:pt>
                <c:pt idx="1796">
                  <c:v>0.3592718543708866</c:v>
                </c:pt>
                <c:pt idx="1797">
                  <c:v>0.35947189437888821</c:v>
                </c:pt>
                <c:pt idx="1798">
                  <c:v>0.35967193438688982</c:v>
                </c:pt>
                <c:pt idx="1799">
                  <c:v>0.35987197439489144</c:v>
                </c:pt>
                <c:pt idx="1800">
                  <c:v>0.36007201440289305</c:v>
                </c:pt>
                <c:pt idx="1801">
                  <c:v>0.36027205441089466</c:v>
                </c:pt>
                <c:pt idx="1802">
                  <c:v>0.36047209441889627</c:v>
                </c:pt>
                <c:pt idx="1803">
                  <c:v>0.36067213442689788</c:v>
                </c:pt>
                <c:pt idx="1804">
                  <c:v>0.3608721744348995</c:v>
                </c:pt>
                <c:pt idx="1805">
                  <c:v>0.36107221444290111</c:v>
                </c:pt>
                <c:pt idx="1806">
                  <c:v>0.36127225445090272</c:v>
                </c:pt>
                <c:pt idx="1807">
                  <c:v>0.36147229445890433</c:v>
                </c:pt>
                <c:pt idx="1808">
                  <c:v>0.36167233446690594</c:v>
                </c:pt>
                <c:pt idx="1809">
                  <c:v>0.36187237447490755</c:v>
                </c:pt>
                <c:pt idx="1810">
                  <c:v>0.36207241448290917</c:v>
                </c:pt>
                <c:pt idx="1811">
                  <c:v>0.36227245449091078</c:v>
                </c:pt>
                <c:pt idx="1812">
                  <c:v>0.36247249449891239</c:v>
                </c:pt>
                <c:pt idx="1813">
                  <c:v>0.362672534506914</c:v>
                </c:pt>
                <c:pt idx="1814">
                  <c:v>0.36287257451491561</c:v>
                </c:pt>
                <c:pt idx="1815">
                  <c:v>0.36307261452291723</c:v>
                </c:pt>
                <c:pt idx="1816">
                  <c:v>0.36327265453091884</c:v>
                </c:pt>
                <c:pt idx="1817">
                  <c:v>0.36347269453892045</c:v>
                </c:pt>
                <c:pt idx="1818">
                  <c:v>0.36367273454692206</c:v>
                </c:pt>
                <c:pt idx="1819">
                  <c:v>0.36387277455492367</c:v>
                </c:pt>
                <c:pt idx="1820">
                  <c:v>0.36407281456292528</c:v>
                </c:pt>
                <c:pt idx="1821">
                  <c:v>0.3642728545709269</c:v>
                </c:pt>
                <c:pt idx="1822">
                  <c:v>0.36447289457892851</c:v>
                </c:pt>
                <c:pt idx="1823">
                  <c:v>0.36467293458693012</c:v>
                </c:pt>
                <c:pt idx="1824">
                  <c:v>0.36487297459493173</c:v>
                </c:pt>
                <c:pt idx="1825">
                  <c:v>0.36507301460293334</c:v>
                </c:pt>
                <c:pt idx="1826">
                  <c:v>0.36527305461093496</c:v>
                </c:pt>
                <c:pt idx="1827">
                  <c:v>0.36547309461893657</c:v>
                </c:pt>
                <c:pt idx="1828">
                  <c:v>0.36567313462693818</c:v>
                </c:pt>
                <c:pt idx="1829">
                  <c:v>0.36587317463493979</c:v>
                </c:pt>
                <c:pt idx="1830">
                  <c:v>0.3660732146429414</c:v>
                </c:pt>
                <c:pt idx="1831">
                  <c:v>0.36627325465094301</c:v>
                </c:pt>
                <c:pt idx="1832">
                  <c:v>0.36647329465894463</c:v>
                </c:pt>
                <c:pt idx="1833">
                  <c:v>0.36667333466694624</c:v>
                </c:pt>
                <c:pt idx="1834">
                  <c:v>0.36687337467494785</c:v>
                </c:pt>
                <c:pt idx="1835">
                  <c:v>0.36707341468294946</c:v>
                </c:pt>
                <c:pt idx="1836">
                  <c:v>0.36727345469095107</c:v>
                </c:pt>
                <c:pt idx="1837">
                  <c:v>0.36747349469895269</c:v>
                </c:pt>
                <c:pt idx="1838">
                  <c:v>0.3676735347069543</c:v>
                </c:pt>
                <c:pt idx="1839">
                  <c:v>0.36787357471495591</c:v>
                </c:pt>
                <c:pt idx="1840">
                  <c:v>0.36807361472295752</c:v>
                </c:pt>
                <c:pt idx="1841">
                  <c:v>0.36827365473095913</c:v>
                </c:pt>
                <c:pt idx="1842">
                  <c:v>0.36847369473896074</c:v>
                </c:pt>
                <c:pt idx="1843">
                  <c:v>0.36867373474696236</c:v>
                </c:pt>
                <c:pt idx="1844">
                  <c:v>0.36887377475496397</c:v>
                </c:pt>
                <c:pt idx="1845">
                  <c:v>0.36907381476296558</c:v>
                </c:pt>
                <c:pt idx="1846">
                  <c:v>0.36927385477096719</c:v>
                </c:pt>
                <c:pt idx="1847">
                  <c:v>0.3694738947789688</c:v>
                </c:pt>
                <c:pt idx="1848">
                  <c:v>0.36967393478697042</c:v>
                </c:pt>
                <c:pt idx="1849">
                  <c:v>0.36987397479497203</c:v>
                </c:pt>
                <c:pt idx="1850">
                  <c:v>0.37007401480297364</c:v>
                </c:pt>
                <c:pt idx="1851">
                  <c:v>0.37027405481097525</c:v>
                </c:pt>
                <c:pt idx="1852">
                  <c:v>0.37047409481897686</c:v>
                </c:pt>
                <c:pt idx="1853">
                  <c:v>0.37067413482697847</c:v>
                </c:pt>
                <c:pt idx="1854">
                  <c:v>0.37087417483498009</c:v>
                </c:pt>
                <c:pt idx="1855">
                  <c:v>0.3710742148429817</c:v>
                </c:pt>
                <c:pt idx="1856">
                  <c:v>0.37127425485098331</c:v>
                </c:pt>
                <c:pt idx="1857">
                  <c:v>0.37147429485898492</c:v>
                </c:pt>
                <c:pt idx="1858">
                  <c:v>0.37167433486698653</c:v>
                </c:pt>
                <c:pt idx="1859">
                  <c:v>0.37187437487498815</c:v>
                </c:pt>
                <c:pt idx="1860">
                  <c:v>0.37207441488298976</c:v>
                </c:pt>
                <c:pt idx="1861">
                  <c:v>0.37227445489099137</c:v>
                </c:pt>
                <c:pt idx="1862">
                  <c:v>0.37247449489899298</c:v>
                </c:pt>
                <c:pt idx="1863">
                  <c:v>0.37267453490699459</c:v>
                </c:pt>
                <c:pt idx="1864">
                  <c:v>0.3728745749149962</c:v>
                </c:pt>
                <c:pt idx="1865">
                  <c:v>0.37307461492299782</c:v>
                </c:pt>
                <c:pt idx="1866">
                  <c:v>0.37327465493099943</c:v>
                </c:pt>
                <c:pt idx="1867">
                  <c:v>0.37347469493900104</c:v>
                </c:pt>
                <c:pt idx="1868">
                  <c:v>0.37367473494700265</c:v>
                </c:pt>
                <c:pt idx="1869">
                  <c:v>0.37387477495500426</c:v>
                </c:pt>
                <c:pt idx="1870">
                  <c:v>0.37407481496300587</c:v>
                </c:pt>
                <c:pt idx="1871">
                  <c:v>0.37427485497100749</c:v>
                </c:pt>
                <c:pt idx="1872">
                  <c:v>0.3744748949790091</c:v>
                </c:pt>
                <c:pt idx="1873">
                  <c:v>0.37467493498701071</c:v>
                </c:pt>
                <c:pt idx="1874">
                  <c:v>0.37487497499501232</c:v>
                </c:pt>
                <c:pt idx="1875">
                  <c:v>0.37507501500301393</c:v>
                </c:pt>
                <c:pt idx="1876">
                  <c:v>0.37527505501101555</c:v>
                </c:pt>
                <c:pt idx="1877">
                  <c:v>0.37547509501901716</c:v>
                </c:pt>
                <c:pt idx="1878">
                  <c:v>0.37567513502701877</c:v>
                </c:pt>
                <c:pt idx="1879">
                  <c:v>0.37587517503502038</c:v>
                </c:pt>
                <c:pt idx="1880">
                  <c:v>0.37607521504302199</c:v>
                </c:pt>
                <c:pt idx="1881">
                  <c:v>0.3762752550510236</c:v>
                </c:pt>
                <c:pt idx="1882">
                  <c:v>0.37647529505902522</c:v>
                </c:pt>
                <c:pt idx="1883">
                  <c:v>0.37667533506702683</c:v>
                </c:pt>
                <c:pt idx="1884">
                  <c:v>0.37687537507502844</c:v>
                </c:pt>
                <c:pt idx="1885">
                  <c:v>0.37707541508303005</c:v>
                </c:pt>
                <c:pt idx="1886">
                  <c:v>0.37727545509103166</c:v>
                </c:pt>
                <c:pt idx="1887">
                  <c:v>0.37747549509903328</c:v>
                </c:pt>
                <c:pt idx="1888">
                  <c:v>0.37767553510703489</c:v>
                </c:pt>
                <c:pt idx="1889">
                  <c:v>0.3778755751150365</c:v>
                </c:pt>
                <c:pt idx="1890">
                  <c:v>0.37807561512303811</c:v>
                </c:pt>
                <c:pt idx="1891">
                  <c:v>0.37827565513103972</c:v>
                </c:pt>
                <c:pt idx="1892">
                  <c:v>0.37847569513904133</c:v>
                </c:pt>
                <c:pt idx="1893">
                  <c:v>0.37867573514704295</c:v>
                </c:pt>
                <c:pt idx="1894">
                  <c:v>0.37887577515504456</c:v>
                </c:pt>
                <c:pt idx="1895">
                  <c:v>0.37907581516304617</c:v>
                </c:pt>
                <c:pt idx="1896">
                  <c:v>0.37927585517104778</c:v>
                </c:pt>
                <c:pt idx="1897">
                  <c:v>0.37947589517904939</c:v>
                </c:pt>
                <c:pt idx="1898">
                  <c:v>0.37967593518705101</c:v>
                </c:pt>
                <c:pt idx="1899">
                  <c:v>0.37987597519505262</c:v>
                </c:pt>
                <c:pt idx="1900">
                  <c:v>0.38007601520305423</c:v>
                </c:pt>
                <c:pt idx="1901">
                  <c:v>0.38027605521105584</c:v>
                </c:pt>
                <c:pt idx="1902">
                  <c:v>0.38047609521905745</c:v>
                </c:pt>
                <c:pt idx="1903">
                  <c:v>0.38067613522705906</c:v>
                </c:pt>
                <c:pt idx="1904">
                  <c:v>0.38087617523506068</c:v>
                </c:pt>
                <c:pt idx="1905">
                  <c:v>0.38107621524306229</c:v>
                </c:pt>
                <c:pt idx="1906">
                  <c:v>0.3812762552510639</c:v>
                </c:pt>
                <c:pt idx="1907">
                  <c:v>0.38147629525906551</c:v>
                </c:pt>
                <c:pt idx="1908">
                  <c:v>0.38167633526706712</c:v>
                </c:pt>
                <c:pt idx="1909">
                  <c:v>0.38187637527506874</c:v>
                </c:pt>
                <c:pt idx="1910">
                  <c:v>0.38207641528307035</c:v>
                </c:pt>
                <c:pt idx="1911">
                  <c:v>0.38227645529107196</c:v>
                </c:pt>
                <c:pt idx="1912">
                  <c:v>0.38247649529907357</c:v>
                </c:pt>
                <c:pt idx="1913">
                  <c:v>0.38267653530707518</c:v>
                </c:pt>
                <c:pt idx="1914">
                  <c:v>0.38287657531507679</c:v>
                </c:pt>
                <c:pt idx="1915">
                  <c:v>0.38307661532307841</c:v>
                </c:pt>
                <c:pt idx="1916">
                  <c:v>0.38327665533108002</c:v>
                </c:pt>
                <c:pt idx="1917">
                  <c:v>0.38347669533908163</c:v>
                </c:pt>
                <c:pt idx="1918">
                  <c:v>0.38367673534708324</c:v>
                </c:pt>
                <c:pt idx="1919">
                  <c:v>0.38387677535508485</c:v>
                </c:pt>
                <c:pt idx="1920">
                  <c:v>0.38407681536308647</c:v>
                </c:pt>
                <c:pt idx="1921">
                  <c:v>0.38427685537108808</c:v>
                </c:pt>
                <c:pt idx="1922">
                  <c:v>0.38447689537908969</c:v>
                </c:pt>
                <c:pt idx="1923">
                  <c:v>0.3846769353870913</c:v>
                </c:pt>
                <c:pt idx="1924">
                  <c:v>0.38487697539509291</c:v>
                </c:pt>
                <c:pt idx="1925">
                  <c:v>0.38507701540309452</c:v>
                </c:pt>
                <c:pt idx="1926">
                  <c:v>0.38527705541109614</c:v>
                </c:pt>
                <c:pt idx="1927">
                  <c:v>0.38547709541909775</c:v>
                </c:pt>
                <c:pt idx="1928">
                  <c:v>0.38567713542709936</c:v>
                </c:pt>
                <c:pt idx="1929">
                  <c:v>0.38587717543510097</c:v>
                </c:pt>
                <c:pt idx="1930">
                  <c:v>0.38607721544310258</c:v>
                </c:pt>
                <c:pt idx="1931">
                  <c:v>0.3862772554511042</c:v>
                </c:pt>
                <c:pt idx="1932">
                  <c:v>0.38647729545910581</c:v>
                </c:pt>
                <c:pt idx="1933">
                  <c:v>0.38667733546710742</c:v>
                </c:pt>
                <c:pt idx="1934">
                  <c:v>0.38687737547510903</c:v>
                </c:pt>
                <c:pt idx="1935">
                  <c:v>0.38707741548311064</c:v>
                </c:pt>
                <c:pt idx="1936">
                  <c:v>0.38727745549111225</c:v>
                </c:pt>
                <c:pt idx="1937">
                  <c:v>0.38747749549911387</c:v>
                </c:pt>
                <c:pt idx="1938">
                  <c:v>0.38767753550711548</c:v>
                </c:pt>
                <c:pt idx="1939">
                  <c:v>0.38787757551511709</c:v>
                </c:pt>
                <c:pt idx="1940">
                  <c:v>0.3880776155231187</c:v>
                </c:pt>
                <c:pt idx="1941">
                  <c:v>0.38827765553112031</c:v>
                </c:pt>
                <c:pt idx="1942">
                  <c:v>0.38847769553912193</c:v>
                </c:pt>
                <c:pt idx="1943">
                  <c:v>0.38867773554712354</c:v>
                </c:pt>
                <c:pt idx="1944">
                  <c:v>0.38887777555512515</c:v>
                </c:pt>
                <c:pt idx="1945">
                  <c:v>0.38907781556312676</c:v>
                </c:pt>
                <c:pt idx="1946">
                  <c:v>0.38927785557112837</c:v>
                </c:pt>
                <c:pt idx="1947">
                  <c:v>0.38947789557912998</c:v>
                </c:pt>
                <c:pt idx="1948">
                  <c:v>0.3896779355871316</c:v>
                </c:pt>
                <c:pt idx="1949">
                  <c:v>0.38987797559513321</c:v>
                </c:pt>
                <c:pt idx="1950">
                  <c:v>0.39007801560313482</c:v>
                </c:pt>
                <c:pt idx="1951">
                  <c:v>0.39027805561113643</c:v>
                </c:pt>
                <c:pt idx="1952">
                  <c:v>0.39047809561913804</c:v>
                </c:pt>
                <c:pt idx="1953">
                  <c:v>0.39067813562713966</c:v>
                </c:pt>
                <c:pt idx="1954">
                  <c:v>0.39087817563514127</c:v>
                </c:pt>
                <c:pt idx="1955">
                  <c:v>0.39107821564314288</c:v>
                </c:pt>
                <c:pt idx="1956">
                  <c:v>0.39127825565114449</c:v>
                </c:pt>
                <c:pt idx="1957">
                  <c:v>0.3914782956591461</c:v>
                </c:pt>
                <c:pt idx="1958">
                  <c:v>0.39167833566714771</c:v>
                </c:pt>
                <c:pt idx="1959">
                  <c:v>0.39187837567514933</c:v>
                </c:pt>
                <c:pt idx="1960">
                  <c:v>0.39207841568315094</c:v>
                </c:pt>
                <c:pt idx="1961">
                  <c:v>0.39227845569115255</c:v>
                </c:pt>
                <c:pt idx="1962">
                  <c:v>0.39247849569915416</c:v>
                </c:pt>
                <c:pt idx="1963">
                  <c:v>0.39267853570715577</c:v>
                </c:pt>
                <c:pt idx="1964">
                  <c:v>0.39287857571515739</c:v>
                </c:pt>
                <c:pt idx="1965">
                  <c:v>0.393078615723159</c:v>
                </c:pt>
                <c:pt idx="1966">
                  <c:v>0.39327865573116061</c:v>
                </c:pt>
                <c:pt idx="1967">
                  <c:v>0.39347869573916222</c:v>
                </c:pt>
                <c:pt idx="1968">
                  <c:v>0.39367873574716383</c:v>
                </c:pt>
                <c:pt idx="1969">
                  <c:v>0.39387877575516544</c:v>
                </c:pt>
                <c:pt idx="1970">
                  <c:v>0.39407881576316706</c:v>
                </c:pt>
                <c:pt idx="1971">
                  <c:v>0.39427885577116867</c:v>
                </c:pt>
                <c:pt idx="1972">
                  <c:v>0.39447889577917028</c:v>
                </c:pt>
                <c:pt idx="1973">
                  <c:v>0.39467893578717189</c:v>
                </c:pt>
                <c:pt idx="1974">
                  <c:v>0.3948789757951735</c:v>
                </c:pt>
                <c:pt idx="1975">
                  <c:v>0.39507901580317512</c:v>
                </c:pt>
                <c:pt idx="1976">
                  <c:v>0.39527905581117673</c:v>
                </c:pt>
                <c:pt idx="1977">
                  <c:v>0.39547909581917834</c:v>
                </c:pt>
                <c:pt idx="1978">
                  <c:v>0.39567913582717995</c:v>
                </c:pt>
                <c:pt idx="1979">
                  <c:v>0.39587917583518156</c:v>
                </c:pt>
                <c:pt idx="1980">
                  <c:v>0.39607921584318317</c:v>
                </c:pt>
                <c:pt idx="1981">
                  <c:v>0.39627925585118479</c:v>
                </c:pt>
                <c:pt idx="1982">
                  <c:v>0.3964792958591864</c:v>
                </c:pt>
                <c:pt idx="1983">
                  <c:v>0.39667933586718801</c:v>
                </c:pt>
                <c:pt idx="1984">
                  <c:v>0.39687937587518962</c:v>
                </c:pt>
                <c:pt idx="1985">
                  <c:v>0.39707941588319123</c:v>
                </c:pt>
                <c:pt idx="1986">
                  <c:v>0.39727945589119285</c:v>
                </c:pt>
                <c:pt idx="1987">
                  <c:v>0.39747949589919446</c:v>
                </c:pt>
                <c:pt idx="1988">
                  <c:v>0.39767953590719607</c:v>
                </c:pt>
                <c:pt idx="1989">
                  <c:v>0.39787957591519768</c:v>
                </c:pt>
                <c:pt idx="1990">
                  <c:v>0.39807961592319929</c:v>
                </c:pt>
                <c:pt idx="1991">
                  <c:v>0.3982796559312009</c:v>
                </c:pt>
                <c:pt idx="1992">
                  <c:v>0.39847969593920252</c:v>
                </c:pt>
                <c:pt idx="1993">
                  <c:v>0.39867973594720413</c:v>
                </c:pt>
                <c:pt idx="1994">
                  <c:v>0.39887977595520574</c:v>
                </c:pt>
                <c:pt idx="1995">
                  <c:v>0.39907981596320735</c:v>
                </c:pt>
                <c:pt idx="1996">
                  <c:v>0.39927985597120896</c:v>
                </c:pt>
                <c:pt idx="1997">
                  <c:v>0.39947989597921058</c:v>
                </c:pt>
                <c:pt idx="1998">
                  <c:v>0.39967993598721219</c:v>
                </c:pt>
                <c:pt idx="1999">
                  <c:v>0.3998799759952138</c:v>
                </c:pt>
                <c:pt idx="2000">
                  <c:v>0.40008001600321541</c:v>
                </c:pt>
                <c:pt idx="2001">
                  <c:v>0.40028005601121702</c:v>
                </c:pt>
                <c:pt idx="2002">
                  <c:v>0.40048009601921863</c:v>
                </c:pt>
                <c:pt idx="2003">
                  <c:v>0.40068013602722025</c:v>
                </c:pt>
                <c:pt idx="2004">
                  <c:v>0.40088017603522186</c:v>
                </c:pt>
                <c:pt idx="2005">
                  <c:v>0.40108021604322347</c:v>
                </c:pt>
                <c:pt idx="2006">
                  <c:v>0.40128025605122508</c:v>
                </c:pt>
                <c:pt idx="2007">
                  <c:v>0.40148029605922669</c:v>
                </c:pt>
                <c:pt idx="2008">
                  <c:v>0.40168033606722831</c:v>
                </c:pt>
                <c:pt idx="2009">
                  <c:v>0.40188037607522992</c:v>
                </c:pt>
                <c:pt idx="2010">
                  <c:v>0.40208041608323153</c:v>
                </c:pt>
                <c:pt idx="2011">
                  <c:v>0.40228045609123314</c:v>
                </c:pt>
                <c:pt idx="2012">
                  <c:v>0.40248049609923475</c:v>
                </c:pt>
                <c:pt idx="2013">
                  <c:v>0.40268053610723636</c:v>
                </c:pt>
                <c:pt idx="2014">
                  <c:v>0.40288057611523798</c:v>
                </c:pt>
                <c:pt idx="2015">
                  <c:v>0.40308061612323959</c:v>
                </c:pt>
                <c:pt idx="2016">
                  <c:v>0.4032806561312412</c:v>
                </c:pt>
                <c:pt idx="2017">
                  <c:v>0.40348069613924281</c:v>
                </c:pt>
                <c:pt idx="2018">
                  <c:v>0.40368073614724442</c:v>
                </c:pt>
                <c:pt idx="2019">
                  <c:v>0.40388077615524604</c:v>
                </c:pt>
                <c:pt idx="2020">
                  <c:v>0.40408081616324765</c:v>
                </c:pt>
                <c:pt idx="2021">
                  <c:v>0.40428085617124926</c:v>
                </c:pt>
                <c:pt idx="2022">
                  <c:v>0.40448089617925087</c:v>
                </c:pt>
                <c:pt idx="2023">
                  <c:v>0.40468093618725248</c:v>
                </c:pt>
                <c:pt idx="2024">
                  <c:v>0.40488097619525409</c:v>
                </c:pt>
                <c:pt idx="2025">
                  <c:v>0.40508101620325571</c:v>
                </c:pt>
                <c:pt idx="2026">
                  <c:v>0.40528105621125732</c:v>
                </c:pt>
                <c:pt idx="2027">
                  <c:v>0.40548109621925893</c:v>
                </c:pt>
                <c:pt idx="2028">
                  <c:v>0.40568113622726054</c:v>
                </c:pt>
                <c:pt idx="2029">
                  <c:v>0.40588117623526215</c:v>
                </c:pt>
                <c:pt idx="2030">
                  <c:v>0.40608121624326377</c:v>
                </c:pt>
                <c:pt idx="2031">
                  <c:v>0.40628125625126538</c:v>
                </c:pt>
                <c:pt idx="2032">
                  <c:v>0.40648129625926699</c:v>
                </c:pt>
                <c:pt idx="2033">
                  <c:v>0.4066813362672686</c:v>
                </c:pt>
                <c:pt idx="2034">
                  <c:v>0.40688137627527021</c:v>
                </c:pt>
                <c:pt idx="2035">
                  <c:v>0.40708141628327182</c:v>
                </c:pt>
                <c:pt idx="2036">
                  <c:v>0.40728145629127344</c:v>
                </c:pt>
                <c:pt idx="2037">
                  <c:v>0.40748149629927505</c:v>
                </c:pt>
                <c:pt idx="2038">
                  <c:v>0.40768153630727666</c:v>
                </c:pt>
                <c:pt idx="2039">
                  <c:v>0.40788157631527827</c:v>
                </c:pt>
                <c:pt idx="2040">
                  <c:v>0.40808161632327988</c:v>
                </c:pt>
                <c:pt idx="2041">
                  <c:v>0.4082816563312815</c:v>
                </c:pt>
                <c:pt idx="2042">
                  <c:v>0.40848169633928311</c:v>
                </c:pt>
                <c:pt idx="2043">
                  <c:v>0.40868173634728472</c:v>
                </c:pt>
                <c:pt idx="2044">
                  <c:v>0.40888177635528633</c:v>
                </c:pt>
                <c:pt idx="2045">
                  <c:v>0.40908181636328794</c:v>
                </c:pt>
                <c:pt idx="2046">
                  <c:v>0.40928185637128955</c:v>
                </c:pt>
                <c:pt idx="2047">
                  <c:v>0.40948189637929117</c:v>
                </c:pt>
                <c:pt idx="2048">
                  <c:v>0.40968193638729278</c:v>
                </c:pt>
                <c:pt idx="2049">
                  <c:v>0.40988197639529439</c:v>
                </c:pt>
                <c:pt idx="2050">
                  <c:v>0.410082016403296</c:v>
                </c:pt>
                <c:pt idx="2051">
                  <c:v>0.41028205641129761</c:v>
                </c:pt>
                <c:pt idx="2052">
                  <c:v>0.41048209641929922</c:v>
                </c:pt>
                <c:pt idx="2053">
                  <c:v>0.41068213642730084</c:v>
                </c:pt>
                <c:pt idx="2054">
                  <c:v>0.41088217643530245</c:v>
                </c:pt>
                <c:pt idx="2055">
                  <c:v>0.41108221644330406</c:v>
                </c:pt>
                <c:pt idx="2056">
                  <c:v>0.41128225645130567</c:v>
                </c:pt>
                <c:pt idx="2057">
                  <c:v>0.41148229645930728</c:v>
                </c:pt>
                <c:pt idx="2058">
                  <c:v>0.4116823364673089</c:v>
                </c:pt>
                <c:pt idx="2059">
                  <c:v>0.41188237647531051</c:v>
                </c:pt>
                <c:pt idx="2060">
                  <c:v>0.41208241648331212</c:v>
                </c:pt>
                <c:pt idx="2061">
                  <c:v>0.41228245649131373</c:v>
                </c:pt>
                <c:pt idx="2062">
                  <c:v>0.41248249649931534</c:v>
                </c:pt>
                <c:pt idx="2063">
                  <c:v>0.41268253650731695</c:v>
                </c:pt>
                <c:pt idx="2064">
                  <c:v>0.41288257651531857</c:v>
                </c:pt>
                <c:pt idx="2065">
                  <c:v>0.41308261652332018</c:v>
                </c:pt>
                <c:pt idx="2066">
                  <c:v>0.41328265653132179</c:v>
                </c:pt>
                <c:pt idx="2067">
                  <c:v>0.4134826965393234</c:v>
                </c:pt>
                <c:pt idx="2068">
                  <c:v>0.41368273654732501</c:v>
                </c:pt>
                <c:pt idx="2069">
                  <c:v>0.41388277655532663</c:v>
                </c:pt>
                <c:pt idx="2070">
                  <c:v>0.41408281656332824</c:v>
                </c:pt>
                <c:pt idx="2071">
                  <c:v>0.41428285657132985</c:v>
                </c:pt>
                <c:pt idx="2072">
                  <c:v>0.41448289657933146</c:v>
                </c:pt>
                <c:pt idx="2073">
                  <c:v>0.41468293658733307</c:v>
                </c:pt>
                <c:pt idx="2074">
                  <c:v>0.41488297659533468</c:v>
                </c:pt>
                <c:pt idx="2075">
                  <c:v>0.4150830166033363</c:v>
                </c:pt>
                <c:pt idx="2076">
                  <c:v>0.41528305661133791</c:v>
                </c:pt>
                <c:pt idx="2077">
                  <c:v>0.41548309661933952</c:v>
                </c:pt>
                <c:pt idx="2078">
                  <c:v>0.41568313662734113</c:v>
                </c:pt>
                <c:pt idx="2079">
                  <c:v>0.41588317663534274</c:v>
                </c:pt>
                <c:pt idx="2080">
                  <c:v>0.41608321664334436</c:v>
                </c:pt>
                <c:pt idx="2081">
                  <c:v>0.41628325665134597</c:v>
                </c:pt>
                <c:pt idx="2082">
                  <c:v>0.41648329665934758</c:v>
                </c:pt>
                <c:pt idx="2083">
                  <c:v>0.41668333666734919</c:v>
                </c:pt>
                <c:pt idx="2084">
                  <c:v>0.4168833766753508</c:v>
                </c:pt>
                <c:pt idx="2085">
                  <c:v>0.41708341668335241</c:v>
                </c:pt>
                <c:pt idx="2086">
                  <c:v>0.41728345669135403</c:v>
                </c:pt>
                <c:pt idx="2087">
                  <c:v>0.41748349669935564</c:v>
                </c:pt>
                <c:pt idx="2088">
                  <c:v>0.41768353670735725</c:v>
                </c:pt>
                <c:pt idx="2089">
                  <c:v>0.41788357671535886</c:v>
                </c:pt>
                <c:pt idx="2090">
                  <c:v>0.41808361672336047</c:v>
                </c:pt>
                <c:pt idx="2091">
                  <c:v>0.41828365673136209</c:v>
                </c:pt>
                <c:pt idx="2092">
                  <c:v>0.4184836967393637</c:v>
                </c:pt>
                <c:pt idx="2093">
                  <c:v>0.41868373674736531</c:v>
                </c:pt>
                <c:pt idx="2094">
                  <c:v>0.41888377675536692</c:v>
                </c:pt>
                <c:pt idx="2095">
                  <c:v>0.41908381676336853</c:v>
                </c:pt>
                <c:pt idx="2096">
                  <c:v>0.41928385677137014</c:v>
                </c:pt>
                <c:pt idx="2097">
                  <c:v>0.41948389677937176</c:v>
                </c:pt>
                <c:pt idx="2098">
                  <c:v>0.41968393678737337</c:v>
                </c:pt>
                <c:pt idx="2099">
                  <c:v>0.41988397679537498</c:v>
                </c:pt>
                <c:pt idx="2100">
                  <c:v>0.42008401680337659</c:v>
                </c:pt>
                <c:pt idx="2101">
                  <c:v>0.4202840568113782</c:v>
                </c:pt>
                <c:pt idx="2102">
                  <c:v>0.42048409681937982</c:v>
                </c:pt>
                <c:pt idx="2103">
                  <c:v>0.42068413682738143</c:v>
                </c:pt>
                <c:pt idx="2104">
                  <c:v>0.42088417683538304</c:v>
                </c:pt>
                <c:pt idx="2105">
                  <c:v>0.42108421684338465</c:v>
                </c:pt>
                <c:pt idx="2106">
                  <c:v>0.42128425685138626</c:v>
                </c:pt>
                <c:pt idx="2107">
                  <c:v>0.42148429685938787</c:v>
                </c:pt>
                <c:pt idx="2108">
                  <c:v>0.42168433686738949</c:v>
                </c:pt>
                <c:pt idx="2109">
                  <c:v>0.4218843768753911</c:v>
                </c:pt>
                <c:pt idx="2110">
                  <c:v>0.42208441688339271</c:v>
                </c:pt>
                <c:pt idx="2111">
                  <c:v>0.42228445689139432</c:v>
                </c:pt>
                <c:pt idx="2112">
                  <c:v>0.42248449689939593</c:v>
                </c:pt>
                <c:pt idx="2113">
                  <c:v>0.42268453690739755</c:v>
                </c:pt>
                <c:pt idx="2114">
                  <c:v>0.42288457691539916</c:v>
                </c:pt>
                <c:pt idx="2115">
                  <c:v>0.42308461692340077</c:v>
                </c:pt>
                <c:pt idx="2116">
                  <c:v>0.42328465693140238</c:v>
                </c:pt>
                <c:pt idx="2117">
                  <c:v>0.42348469693940399</c:v>
                </c:pt>
                <c:pt idx="2118">
                  <c:v>0.4236847369474056</c:v>
                </c:pt>
                <c:pt idx="2119">
                  <c:v>0.42388477695540722</c:v>
                </c:pt>
                <c:pt idx="2120">
                  <c:v>0.42408481696340883</c:v>
                </c:pt>
                <c:pt idx="2121">
                  <c:v>0.42428485697141044</c:v>
                </c:pt>
                <c:pt idx="2122">
                  <c:v>0.42448489697941205</c:v>
                </c:pt>
                <c:pt idx="2123">
                  <c:v>0.42468493698741366</c:v>
                </c:pt>
                <c:pt idx="2124">
                  <c:v>0.42488497699541528</c:v>
                </c:pt>
                <c:pt idx="2125">
                  <c:v>0.42508501700341689</c:v>
                </c:pt>
                <c:pt idx="2126">
                  <c:v>0.4252850570114185</c:v>
                </c:pt>
                <c:pt idx="2127">
                  <c:v>0.42548509701942011</c:v>
                </c:pt>
                <c:pt idx="2128">
                  <c:v>0.42568513702742172</c:v>
                </c:pt>
                <c:pt idx="2129">
                  <c:v>0.42588517703542333</c:v>
                </c:pt>
                <c:pt idx="2130">
                  <c:v>0.42608521704342495</c:v>
                </c:pt>
                <c:pt idx="2131">
                  <c:v>0.42628525705142656</c:v>
                </c:pt>
                <c:pt idx="2132">
                  <c:v>0.42648529705942817</c:v>
                </c:pt>
                <c:pt idx="2133">
                  <c:v>0.42668533706742978</c:v>
                </c:pt>
                <c:pt idx="2134">
                  <c:v>0.42688537707543139</c:v>
                </c:pt>
                <c:pt idx="2135">
                  <c:v>0.42708541708343301</c:v>
                </c:pt>
                <c:pt idx="2136">
                  <c:v>0.42728545709143462</c:v>
                </c:pt>
                <c:pt idx="2137">
                  <c:v>0.42748549709943623</c:v>
                </c:pt>
                <c:pt idx="2138">
                  <c:v>0.42768553710743784</c:v>
                </c:pt>
                <c:pt idx="2139">
                  <c:v>0.42788557711543945</c:v>
                </c:pt>
                <c:pt idx="2140">
                  <c:v>0.42808561712344106</c:v>
                </c:pt>
                <c:pt idx="2141">
                  <c:v>0.42828565713144268</c:v>
                </c:pt>
                <c:pt idx="2142">
                  <c:v>0.42848569713944429</c:v>
                </c:pt>
                <c:pt idx="2143">
                  <c:v>0.4286857371474459</c:v>
                </c:pt>
                <c:pt idx="2144">
                  <c:v>0.42888577715544751</c:v>
                </c:pt>
                <c:pt idx="2145">
                  <c:v>0.42908581716344912</c:v>
                </c:pt>
                <c:pt idx="2146">
                  <c:v>0.42928585717145074</c:v>
                </c:pt>
                <c:pt idx="2147">
                  <c:v>0.42948589717945235</c:v>
                </c:pt>
                <c:pt idx="2148">
                  <c:v>0.42968593718745396</c:v>
                </c:pt>
                <c:pt idx="2149">
                  <c:v>0.42988597719545557</c:v>
                </c:pt>
                <c:pt idx="2150">
                  <c:v>0.43008601720345718</c:v>
                </c:pt>
                <c:pt idx="2151">
                  <c:v>0.43028605721145879</c:v>
                </c:pt>
                <c:pt idx="2152">
                  <c:v>0.43048609721946041</c:v>
                </c:pt>
                <c:pt idx="2153">
                  <c:v>0.43068613722746202</c:v>
                </c:pt>
                <c:pt idx="2154">
                  <c:v>0.43088617723546363</c:v>
                </c:pt>
                <c:pt idx="2155">
                  <c:v>0.43108621724346524</c:v>
                </c:pt>
                <c:pt idx="2156">
                  <c:v>0.43128625725146685</c:v>
                </c:pt>
                <c:pt idx="2157">
                  <c:v>0.43148629725946847</c:v>
                </c:pt>
                <c:pt idx="2158">
                  <c:v>0.43168633726747008</c:v>
                </c:pt>
                <c:pt idx="2159">
                  <c:v>0.43188637727547169</c:v>
                </c:pt>
                <c:pt idx="2160">
                  <c:v>0.4320864172834733</c:v>
                </c:pt>
                <c:pt idx="2161">
                  <c:v>0.43228645729147491</c:v>
                </c:pt>
                <c:pt idx="2162">
                  <c:v>0.43248649729947652</c:v>
                </c:pt>
                <c:pt idx="2163">
                  <c:v>0.43268653730747814</c:v>
                </c:pt>
                <c:pt idx="2164">
                  <c:v>0.43288657731547975</c:v>
                </c:pt>
                <c:pt idx="2165">
                  <c:v>0.43308661732348136</c:v>
                </c:pt>
                <c:pt idx="2166">
                  <c:v>0.43328665733148297</c:v>
                </c:pt>
                <c:pt idx="2167">
                  <c:v>0.43348669733948458</c:v>
                </c:pt>
                <c:pt idx="2168">
                  <c:v>0.4336867373474862</c:v>
                </c:pt>
                <c:pt idx="2169">
                  <c:v>0.43388677735548781</c:v>
                </c:pt>
                <c:pt idx="2170">
                  <c:v>0.43408681736348942</c:v>
                </c:pt>
                <c:pt idx="2171">
                  <c:v>0.43428685737149103</c:v>
                </c:pt>
                <c:pt idx="2172">
                  <c:v>0.43448689737949264</c:v>
                </c:pt>
                <c:pt idx="2173">
                  <c:v>0.43468693738749425</c:v>
                </c:pt>
                <c:pt idx="2174">
                  <c:v>0.43488697739549587</c:v>
                </c:pt>
                <c:pt idx="2175">
                  <c:v>0.43508701740349748</c:v>
                </c:pt>
                <c:pt idx="2176">
                  <c:v>0.43528705741149909</c:v>
                </c:pt>
                <c:pt idx="2177">
                  <c:v>0.4354870974195007</c:v>
                </c:pt>
                <c:pt idx="2178">
                  <c:v>0.43568713742750231</c:v>
                </c:pt>
                <c:pt idx="2179">
                  <c:v>0.43588717743550393</c:v>
                </c:pt>
                <c:pt idx="2180">
                  <c:v>0.43608721744350554</c:v>
                </c:pt>
                <c:pt idx="2181">
                  <c:v>0.43628725745150715</c:v>
                </c:pt>
                <c:pt idx="2182">
                  <c:v>0.43648729745950876</c:v>
                </c:pt>
                <c:pt idx="2183">
                  <c:v>0.43668733746751037</c:v>
                </c:pt>
                <c:pt idx="2184">
                  <c:v>0.43688737747551198</c:v>
                </c:pt>
                <c:pt idx="2185">
                  <c:v>0.4370874174835136</c:v>
                </c:pt>
                <c:pt idx="2186">
                  <c:v>0.43728745749151521</c:v>
                </c:pt>
                <c:pt idx="2187">
                  <c:v>0.43748749749951682</c:v>
                </c:pt>
                <c:pt idx="2188">
                  <c:v>0.43768753750751843</c:v>
                </c:pt>
                <c:pt idx="2189">
                  <c:v>0.43788757751552004</c:v>
                </c:pt>
                <c:pt idx="2190">
                  <c:v>0.43808761752352166</c:v>
                </c:pt>
                <c:pt idx="2191">
                  <c:v>0.43828765753152327</c:v>
                </c:pt>
                <c:pt idx="2192">
                  <c:v>0.43848769753952488</c:v>
                </c:pt>
                <c:pt idx="2193">
                  <c:v>0.43868773754752649</c:v>
                </c:pt>
                <c:pt idx="2194">
                  <c:v>0.4388877775555281</c:v>
                </c:pt>
                <c:pt idx="2195">
                  <c:v>0.43908781756352971</c:v>
                </c:pt>
                <c:pt idx="2196">
                  <c:v>0.43928785757153133</c:v>
                </c:pt>
                <c:pt idx="2197">
                  <c:v>0.43948789757953294</c:v>
                </c:pt>
                <c:pt idx="2198">
                  <c:v>0.43968793758753455</c:v>
                </c:pt>
                <c:pt idx="2199">
                  <c:v>0.43988797759553616</c:v>
                </c:pt>
                <c:pt idx="2200">
                  <c:v>0.44008801760353777</c:v>
                </c:pt>
                <c:pt idx="2201">
                  <c:v>0.44028805761153939</c:v>
                </c:pt>
                <c:pt idx="2202">
                  <c:v>0.440488097619541</c:v>
                </c:pt>
                <c:pt idx="2203">
                  <c:v>0.44068813762754261</c:v>
                </c:pt>
                <c:pt idx="2204">
                  <c:v>0.44088817763554422</c:v>
                </c:pt>
                <c:pt idx="2205">
                  <c:v>0.44108821764354583</c:v>
                </c:pt>
                <c:pt idx="2206">
                  <c:v>0.44128825765154744</c:v>
                </c:pt>
                <c:pt idx="2207">
                  <c:v>0.44148829765954906</c:v>
                </c:pt>
                <c:pt idx="2208">
                  <c:v>0.44168833766755067</c:v>
                </c:pt>
                <c:pt idx="2209">
                  <c:v>0.44188837767555228</c:v>
                </c:pt>
                <c:pt idx="2210">
                  <c:v>0.44208841768355389</c:v>
                </c:pt>
                <c:pt idx="2211">
                  <c:v>0.4422884576915555</c:v>
                </c:pt>
                <c:pt idx="2212">
                  <c:v>0.44248849769955712</c:v>
                </c:pt>
                <c:pt idx="2213">
                  <c:v>0.44268853770755873</c:v>
                </c:pt>
                <c:pt idx="2214">
                  <c:v>0.44288857771556034</c:v>
                </c:pt>
                <c:pt idx="2215">
                  <c:v>0.44308861772356195</c:v>
                </c:pt>
                <c:pt idx="2216">
                  <c:v>0.44328865773156356</c:v>
                </c:pt>
                <c:pt idx="2217">
                  <c:v>0.44348869773956517</c:v>
                </c:pt>
                <c:pt idx="2218">
                  <c:v>0.44368873774756679</c:v>
                </c:pt>
                <c:pt idx="2219">
                  <c:v>0.4438887777555684</c:v>
                </c:pt>
                <c:pt idx="2220">
                  <c:v>0.44408881776357001</c:v>
                </c:pt>
                <c:pt idx="2221">
                  <c:v>0.44428885777157162</c:v>
                </c:pt>
                <c:pt idx="2222">
                  <c:v>0.44448889777957323</c:v>
                </c:pt>
                <c:pt idx="2223">
                  <c:v>0.44468893778757485</c:v>
                </c:pt>
                <c:pt idx="2224">
                  <c:v>0.44488897779557646</c:v>
                </c:pt>
                <c:pt idx="2225">
                  <c:v>0.44508901780357807</c:v>
                </c:pt>
                <c:pt idx="2226">
                  <c:v>0.44528905781157968</c:v>
                </c:pt>
                <c:pt idx="2227">
                  <c:v>0.44548909781958129</c:v>
                </c:pt>
                <c:pt idx="2228">
                  <c:v>0.4456891378275829</c:v>
                </c:pt>
                <c:pt idx="2229">
                  <c:v>0.44588917783558452</c:v>
                </c:pt>
                <c:pt idx="2230">
                  <c:v>0.44608921784358613</c:v>
                </c:pt>
                <c:pt idx="2231">
                  <c:v>0.44628925785158774</c:v>
                </c:pt>
                <c:pt idx="2232">
                  <c:v>0.44648929785958935</c:v>
                </c:pt>
                <c:pt idx="2233">
                  <c:v>0.44668933786759096</c:v>
                </c:pt>
                <c:pt idx="2234">
                  <c:v>0.44688937787559257</c:v>
                </c:pt>
                <c:pt idx="2235">
                  <c:v>0.44708941788359419</c:v>
                </c:pt>
                <c:pt idx="2236">
                  <c:v>0.4472894578915958</c:v>
                </c:pt>
                <c:pt idx="2237">
                  <c:v>0.44748949789959741</c:v>
                </c:pt>
                <c:pt idx="2238">
                  <c:v>0.44768953790759902</c:v>
                </c:pt>
                <c:pt idx="2239">
                  <c:v>0.44788957791560063</c:v>
                </c:pt>
                <c:pt idx="2240">
                  <c:v>0.44808961792360225</c:v>
                </c:pt>
                <c:pt idx="2241">
                  <c:v>0.44828965793160386</c:v>
                </c:pt>
                <c:pt idx="2242">
                  <c:v>0.44848969793960547</c:v>
                </c:pt>
                <c:pt idx="2243">
                  <c:v>0.44868973794760708</c:v>
                </c:pt>
                <c:pt idx="2244">
                  <c:v>0.44888977795560869</c:v>
                </c:pt>
                <c:pt idx="2245">
                  <c:v>0.4490898179636103</c:v>
                </c:pt>
                <c:pt idx="2246">
                  <c:v>0.44928985797161192</c:v>
                </c:pt>
                <c:pt idx="2247">
                  <c:v>0.44948989797961353</c:v>
                </c:pt>
                <c:pt idx="2248">
                  <c:v>0.44968993798761514</c:v>
                </c:pt>
                <c:pt idx="2249">
                  <c:v>0.44988997799561675</c:v>
                </c:pt>
                <c:pt idx="2250">
                  <c:v>0.45009001800361836</c:v>
                </c:pt>
                <c:pt idx="2251">
                  <c:v>0.45029005801161998</c:v>
                </c:pt>
                <c:pt idx="2252">
                  <c:v>0.45049009801962159</c:v>
                </c:pt>
                <c:pt idx="2253">
                  <c:v>0.4506901380276232</c:v>
                </c:pt>
                <c:pt idx="2254">
                  <c:v>0.45089017803562481</c:v>
                </c:pt>
                <c:pt idx="2255">
                  <c:v>0.45109021804362642</c:v>
                </c:pt>
                <c:pt idx="2256">
                  <c:v>0.45129025805162803</c:v>
                </c:pt>
                <c:pt idx="2257">
                  <c:v>0.45149029805962965</c:v>
                </c:pt>
                <c:pt idx="2258">
                  <c:v>0.45169033806763126</c:v>
                </c:pt>
                <c:pt idx="2259">
                  <c:v>0.45189037807563287</c:v>
                </c:pt>
                <c:pt idx="2260">
                  <c:v>0.45209041808363448</c:v>
                </c:pt>
                <c:pt idx="2261">
                  <c:v>0.45229045809163609</c:v>
                </c:pt>
                <c:pt idx="2262">
                  <c:v>0.45249049809963771</c:v>
                </c:pt>
                <c:pt idx="2263">
                  <c:v>0.45269053810763932</c:v>
                </c:pt>
                <c:pt idx="2264">
                  <c:v>0.45289057811564093</c:v>
                </c:pt>
                <c:pt idx="2265">
                  <c:v>0.45309061812364254</c:v>
                </c:pt>
                <c:pt idx="2266">
                  <c:v>0.45329065813164415</c:v>
                </c:pt>
                <c:pt idx="2267">
                  <c:v>0.45349069813964576</c:v>
                </c:pt>
                <c:pt idx="2268">
                  <c:v>0.45369073814764738</c:v>
                </c:pt>
                <c:pt idx="2269">
                  <c:v>0.45389077815564899</c:v>
                </c:pt>
                <c:pt idx="2270">
                  <c:v>0.4540908181636506</c:v>
                </c:pt>
                <c:pt idx="2271">
                  <c:v>0.45429085817165221</c:v>
                </c:pt>
                <c:pt idx="2272">
                  <c:v>0.45449089817965382</c:v>
                </c:pt>
                <c:pt idx="2273">
                  <c:v>0.45469093818765544</c:v>
                </c:pt>
                <c:pt idx="2274">
                  <c:v>0.45489097819565705</c:v>
                </c:pt>
                <c:pt idx="2275">
                  <c:v>0.45509101820365866</c:v>
                </c:pt>
                <c:pt idx="2276">
                  <c:v>0.45529105821166027</c:v>
                </c:pt>
                <c:pt idx="2277">
                  <c:v>0.45549109821966188</c:v>
                </c:pt>
                <c:pt idx="2278">
                  <c:v>0.45569113822766349</c:v>
                </c:pt>
                <c:pt idx="2279">
                  <c:v>0.45589117823566511</c:v>
                </c:pt>
                <c:pt idx="2280">
                  <c:v>0.45609121824366672</c:v>
                </c:pt>
                <c:pt idx="2281">
                  <c:v>0.45629125825166833</c:v>
                </c:pt>
                <c:pt idx="2282">
                  <c:v>0.45649129825966994</c:v>
                </c:pt>
                <c:pt idx="2283">
                  <c:v>0.45669133826767155</c:v>
                </c:pt>
                <c:pt idx="2284">
                  <c:v>0.45689137827567317</c:v>
                </c:pt>
                <c:pt idx="2285">
                  <c:v>0.45709141828367478</c:v>
                </c:pt>
                <c:pt idx="2286">
                  <c:v>0.45729145829167639</c:v>
                </c:pt>
                <c:pt idx="2287">
                  <c:v>0.457491498299678</c:v>
                </c:pt>
                <c:pt idx="2288">
                  <c:v>0.45769153830767961</c:v>
                </c:pt>
                <c:pt idx="2289">
                  <c:v>0.45789157831568122</c:v>
                </c:pt>
                <c:pt idx="2290">
                  <c:v>0.45809161832368284</c:v>
                </c:pt>
                <c:pt idx="2291">
                  <c:v>0.45829165833168445</c:v>
                </c:pt>
                <c:pt idx="2292">
                  <c:v>0.45849169833968606</c:v>
                </c:pt>
                <c:pt idx="2293">
                  <c:v>0.45869173834768767</c:v>
                </c:pt>
                <c:pt idx="2294">
                  <c:v>0.45889177835568928</c:v>
                </c:pt>
                <c:pt idx="2295">
                  <c:v>0.4590918183636909</c:v>
                </c:pt>
                <c:pt idx="2296">
                  <c:v>0.45929185837169251</c:v>
                </c:pt>
                <c:pt idx="2297">
                  <c:v>0.45949189837969412</c:v>
                </c:pt>
                <c:pt idx="2298">
                  <c:v>0.45969193838769573</c:v>
                </c:pt>
                <c:pt idx="2299">
                  <c:v>0.45989197839569734</c:v>
                </c:pt>
                <c:pt idx="2300">
                  <c:v>0.46009201840369895</c:v>
                </c:pt>
                <c:pt idx="2301">
                  <c:v>0.46029205841170057</c:v>
                </c:pt>
                <c:pt idx="2302">
                  <c:v>0.46049209841970218</c:v>
                </c:pt>
                <c:pt idx="2303">
                  <c:v>0.46069213842770379</c:v>
                </c:pt>
                <c:pt idx="2304">
                  <c:v>0.4608921784357054</c:v>
                </c:pt>
                <c:pt idx="2305">
                  <c:v>0.46109221844370701</c:v>
                </c:pt>
                <c:pt idx="2306">
                  <c:v>0.46129225845170863</c:v>
                </c:pt>
                <c:pt idx="2307">
                  <c:v>0.46149229845971024</c:v>
                </c:pt>
                <c:pt idx="2308">
                  <c:v>0.46169233846771185</c:v>
                </c:pt>
                <c:pt idx="2309">
                  <c:v>0.46189237847571346</c:v>
                </c:pt>
                <c:pt idx="2310">
                  <c:v>0.46209241848371507</c:v>
                </c:pt>
                <c:pt idx="2311">
                  <c:v>0.46229245849171668</c:v>
                </c:pt>
                <c:pt idx="2312">
                  <c:v>0.4624924984997183</c:v>
                </c:pt>
                <c:pt idx="2313">
                  <c:v>0.46269253850771991</c:v>
                </c:pt>
                <c:pt idx="2314">
                  <c:v>0.46289257851572152</c:v>
                </c:pt>
                <c:pt idx="2315">
                  <c:v>0.46309261852372313</c:v>
                </c:pt>
                <c:pt idx="2316">
                  <c:v>0.46329265853172474</c:v>
                </c:pt>
                <c:pt idx="2317">
                  <c:v>0.46349269853972636</c:v>
                </c:pt>
                <c:pt idx="2318">
                  <c:v>0.46369273854772797</c:v>
                </c:pt>
                <c:pt idx="2319">
                  <c:v>0.46389277855572958</c:v>
                </c:pt>
                <c:pt idx="2320">
                  <c:v>0.46409281856373119</c:v>
                </c:pt>
                <c:pt idx="2321">
                  <c:v>0.4642928585717328</c:v>
                </c:pt>
                <c:pt idx="2322">
                  <c:v>0.46449289857973441</c:v>
                </c:pt>
                <c:pt idx="2323">
                  <c:v>0.46469293858773603</c:v>
                </c:pt>
                <c:pt idx="2324">
                  <c:v>0.46489297859573764</c:v>
                </c:pt>
                <c:pt idx="2325">
                  <c:v>0.46509301860373925</c:v>
                </c:pt>
                <c:pt idx="2326">
                  <c:v>0.46529305861174086</c:v>
                </c:pt>
                <c:pt idx="2327">
                  <c:v>0.46549309861974247</c:v>
                </c:pt>
                <c:pt idx="2328">
                  <c:v>0.46569313862774409</c:v>
                </c:pt>
                <c:pt idx="2329">
                  <c:v>0.4658931786357457</c:v>
                </c:pt>
                <c:pt idx="2330">
                  <c:v>0.46609321864374731</c:v>
                </c:pt>
                <c:pt idx="2331">
                  <c:v>0.46629325865174892</c:v>
                </c:pt>
                <c:pt idx="2332">
                  <c:v>0.46649329865975053</c:v>
                </c:pt>
                <c:pt idx="2333">
                  <c:v>0.46669333866775214</c:v>
                </c:pt>
                <c:pt idx="2334">
                  <c:v>0.46689337867575376</c:v>
                </c:pt>
                <c:pt idx="2335">
                  <c:v>0.46709341868375537</c:v>
                </c:pt>
                <c:pt idx="2336">
                  <c:v>0.46729345869175698</c:v>
                </c:pt>
                <c:pt idx="2337">
                  <c:v>0.46749349869975859</c:v>
                </c:pt>
                <c:pt idx="2338">
                  <c:v>0.4676935387077602</c:v>
                </c:pt>
                <c:pt idx="2339">
                  <c:v>0.46789357871576182</c:v>
                </c:pt>
                <c:pt idx="2340">
                  <c:v>0.46809361872376343</c:v>
                </c:pt>
                <c:pt idx="2341">
                  <c:v>0.46829365873176504</c:v>
                </c:pt>
                <c:pt idx="2342">
                  <c:v>0.46849369873976665</c:v>
                </c:pt>
                <c:pt idx="2343">
                  <c:v>0.46869373874776826</c:v>
                </c:pt>
                <c:pt idx="2344">
                  <c:v>0.46889377875576987</c:v>
                </c:pt>
                <c:pt idx="2345">
                  <c:v>0.46909381876377149</c:v>
                </c:pt>
                <c:pt idx="2346">
                  <c:v>0.4692938587717731</c:v>
                </c:pt>
                <c:pt idx="2347">
                  <c:v>0.46949389877977471</c:v>
                </c:pt>
                <c:pt idx="2348">
                  <c:v>0.46969393878777632</c:v>
                </c:pt>
                <c:pt idx="2349">
                  <c:v>0.46989397879577793</c:v>
                </c:pt>
                <c:pt idx="2350">
                  <c:v>0.47009401880377955</c:v>
                </c:pt>
                <c:pt idx="2351">
                  <c:v>0.47029405881178116</c:v>
                </c:pt>
                <c:pt idx="2352">
                  <c:v>0.47049409881978277</c:v>
                </c:pt>
                <c:pt idx="2353">
                  <c:v>0.47069413882778438</c:v>
                </c:pt>
                <c:pt idx="2354">
                  <c:v>0.47089417883578599</c:v>
                </c:pt>
                <c:pt idx="2355">
                  <c:v>0.4710942188437876</c:v>
                </c:pt>
                <c:pt idx="2356">
                  <c:v>0.47129425885178922</c:v>
                </c:pt>
                <c:pt idx="2357">
                  <c:v>0.47149429885979083</c:v>
                </c:pt>
                <c:pt idx="2358">
                  <c:v>0.47169433886779244</c:v>
                </c:pt>
                <c:pt idx="2359">
                  <c:v>0.47189437887579405</c:v>
                </c:pt>
                <c:pt idx="2360">
                  <c:v>0.47209441888379566</c:v>
                </c:pt>
                <c:pt idx="2361">
                  <c:v>0.47229445889179728</c:v>
                </c:pt>
                <c:pt idx="2362">
                  <c:v>0.47249449889979889</c:v>
                </c:pt>
                <c:pt idx="2363">
                  <c:v>0.4726945389078005</c:v>
                </c:pt>
                <c:pt idx="2364">
                  <c:v>0.47289457891580211</c:v>
                </c:pt>
                <c:pt idx="2365">
                  <c:v>0.47309461892380372</c:v>
                </c:pt>
                <c:pt idx="2366">
                  <c:v>0.47329465893180533</c:v>
                </c:pt>
                <c:pt idx="2367">
                  <c:v>0.47349469893980695</c:v>
                </c:pt>
                <c:pt idx="2368">
                  <c:v>0.47369473894780856</c:v>
                </c:pt>
                <c:pt idx="2369">
                  <c:v>0.47389477895581017</c:v>
                </c:pt>
                <c:pt idx="2370">
                  <c:v>0.47409481896381178</c:v>
                </c:pt>
                <c:pt idx="2371">
                  <c:v>0.47429485897181339</c:v>
                </c:pt>
                <c:pt idx="2372">
                  <c:v>0.47449489897981501</c:v>
                </c:pt>
                <c:pt idx="2373">
                  <c:v>0.47469493898781662</c:v>
                </c:pt>
                <c:pt idx="2374">
                  <c:v>0.47489497899581823</c:v>
                </c:pt>
                <c:pt idx="2375">
                  <c:v>0.47509501900381984</c:v>
                </c:pt>
                <c:pt idx="2376">
                  <c:v>0.47529505901182145</c:v>
                </c:pt>
                <c:pt idx="2377">
                  <c:v>0.47549509901982306</c:v>
                </c:pt>
                <c:pt idx="2378">
                  <c:v>0.47569513902782468</c:v>
                </c:pt>
                <c:pt idx="2379">
                  <c:v>0.47589517903582629</c:v>
                </c:pt>
                <c:pt idx="2380">
                  <c:v>0.4760952190438279</c:v>
                </c:pt>
                <c:pt idx="2381">
                  <c:v>0.47629525905182951</c:v>
                </c:pt>
                <c:pt idx="2382">
                  <c:v>0.47649529905983112</c:v>
                </c:pt>
                <c:pt idx="2383">
                  <c:v>0.47669533906783274</c:v>
                </c:pt>
                <c:pt idx="2384">
                  <c:v>0.47689537907583435</c:v>
                </c:pt>
                <c:pt idx="2385">
                  <c:v>0.47709541908383596</c:v>
                </c:pt>
                <c:pt idx="2386">
                  <c:v>0.47729545909183757</c:v>
                </c:pt>
                <c:pt idx="2387">
                  <c:v>0.47749549909983918</c:v>
                </c:pt>
                <c:pt idx="2388">
                  <c:v>0.47769553910784079</c:v>
                </c:pt>
                <c:pt idx="2389">
                  <c:v>0.47789557911584241</c:v>
                </c:pt>
                <c:pt idx="2390">
                  <c:v>0.47809561912384402</c:v>
                </c:pt>
                <c:pt idx="2391">
                  <c:v>0.47829565913184563</c:v>
                </c:pt>
                <c:pt idx="2392">
                  <c:v>0.47849569913984724</c:v>
                </c:pt>
                <c:pt idx="2393">
                  <c:v>0.47869573914784885</c:v>
                </c:pt>
                <c:pt idx="2394">
                  <c:v>0.47889577915585047</c:v>
                </c:pt>
                <c:pt idx="2395">
                  <c:v>0.47909581916385208</c:v>
                </c:pt>
                <c:pt idx="2396">
                  <c:v>0.47929585917185369</c:v>
                </c:pt>
                <c:pt idx="2397">
                  <c:v>0.4794958991798553</c:v>
                </c:pt>
                <c:pt idx="2398">
                  <c:v>0.47969593918785691</c:v>
                </c:pt>
                <c:pt idx="2399">
                  <c:v>0.47989597919585852</c:v>
                </c:pt>
                <c:pt idx="2400">
                  <c:v>0.48009601920386014</c:v>
                </c:pt>
                <c:pt idx="2401">
                  <c:v>0.48029605921186175</c:v>
                </c:pt>
                <c:pt idx="2402">
                  <c:v>0.48049609921986336</c:v>
                </c:pt>
                <c:pt idx="2403">
                  <c:v>0.48069613922786497</c:v>
                </c:pt>
                <c:pt idx="2404">
                  <c:v>0.48089617923586658</c:v>
                </c:pt>
                <c:pt idx="2405">
                  <c:v>0.4810962192438682</c:v>
                </c:pt>
                <c:pt idx="2406">
                  <c:v>0.48129625925186981</c:v>
                </c:pt>
                <c:pt idx="2407">
                  <c:v>0.48149629925987142</c:v>
                </c:pt>
                <c:pt idx="2408">
                  <c:v>0.48169633926787303</c:v>
                </c:pt>
                <c:pt idx="2409">
                  <c:v>0.48189637927587464</c:v>
                </c:pt>
                <c:pt idx="2410">
                  <c:v>0.48209641928387625</c:v>
                </c:pt>
                <c:pt idx="2411">
                  <c:v>0.48229645929187787</c:v>
                </c:pt>
                <c:pt idx="2412">
                  <c:v>0.48249649929987948</c:v>
                </c:pt>
                <c:pt idx="2413">
                  <c:v>0.48269653930788109</c:v>
                </c:pt>
                <c:pt idx="2414">
                  <c:v>0.4828965793158827</c:v>
                </c:pt>
                <c:pt idx="2415">
                  <c:v>0.48309661932388431</c:v>
                </c:pt>
                <c:pt idx="2416">
                  <c:v>0.48329665933188592</c:v>
                </c:pt>
                <c:pt idx="2417">
                  <c:v>0.48349669933988754</c:v>
                </c:pt>
                <c:pt idx="2418">
                  <c:v>0.48369673934788915</c:v>
                </c:pt>
                <c:pt idx="2419">
                  <c:v>0.48389677935589076</c:v>
                </c:pt>
                <c:pt idx="2420">
                  <c:v>0.48409681936389237</c:v>
                </c:pt>
                <c:pt idx="2421">
                  <c:v>0.48429685937189398</c:v>
                </c:pt>
                <c:pt idx="2422">
                  <c:v>0.4844968993798956</c:v>
                </c:pt>
                <c:pt idx="2423">
                  <c:v>0.48469693938789721</c:v>
                </c:pt>
                <c:pt idx="2424">
                  <c:v>0.48489697939589882</c:v>
                </c:pt>
                <c:pt idx="2425">
                  <c:v>0.48509701940390043</c:v>
                </c:pt>
                <c:pt idx="2426">
                  <c:v>0.48529705941190204</c:v>
                </c:pt>
                <c:pt idx="2427">
                  <c:v>0.48549709941990365</c:v>
                </c:pt>
                <c:pt idx="2428">
                  <c:v>0.48569713942790527</c:v>
                </c:pt>
                <c:pt idx="2429">
                  <c:v>0.48589717943590688</c:v>
                </c:pt>
                <c:pt idx="2430">
                  <c:v>0.48609721944390849</c:v>
                </c:pt>
                <c:pt idx="2431">
                  <c:v>0.4862972594519101</c:v>
                </c:pt>
                <c:pt idx="2432">
                  <c:v>0.48649729945991171</c:v>
                </c:pt>
                <c:pt idx="2433">
                  <c:v>0.48669733946791333</c:v>
                </c:pt>
                <c:pt idx="2434">
                  <c:v>0.48689737947591494</c:v>
                </c:pt>
                <c:pt idx="2435">
                  <c:v>0.48709741948391655</c:v>
                </c:pt>
                <c:pt idx="2436">
                  <c:v>0.48729745949191816</c:v>
                </c:pt>
                <c:pt idx="2437">
                  <c:v>0.48749749949991977</c:v>
                </c:pt>
                <c:pt idx="2438">
                  <c:v>0.48769753950792138</c:v>
                </c:pt>
                <c:pt idx="2439">
                  <c:v>0.487897579515923</c:v>
                </c:pt>
                <c:pt idx="2440">
                  <c:v>0.48809761952392461</c:v>
                </c:pt>
                <c:pt idx="2441">
                  <c:v>0.48829765953192622</c:v>
                </c:pt>
                <c:pt idx="2442">
                  <c:v>0.48849769953992783</c:v>
                </c:pt>
                <c:pt idx="2443">
                  <c:v>0.48869773954792944</c:v>
                </c:pt>
                <c:pt idx="2444">
                  <c:v>0.48889777955593106</c:v>
                </c:pt>
                <c:pt idx="2445">
                  <c:v>0.48909781956393267</c:v>
                </c:pt>
                <c:pt idx="2446">
                  <c:v>0.48929785957193428</c:v>
                </c:pt>
                <c:pt idx="2447">
                  <c:v>0.48949789957993589</c:v>
                </c:pt>
                <c:pt idx="2448">
                  <c:v>0.4896979395879375</c:v>
                </c:pt>
                <c:pt idx="2449">
                  <c:v>0.48989797959593911</c:v>
                </c:pt>
                <c:pt idx="2450">
                  <c:v>0.49009801960394073</c:v>
                </c:pt>
                <c:pt idx="2451">
                  <c:v>0.49029805961194234</c:v>
                </c:pt>
                <c:pt idx="2452">
                  <c:v>0.49049809961994395</c:v>
                </c:pt>
                <c:pt idx="2453">
                  <c:v>0.49069813962794556</c:v>
                </c:pt>
                <c:pt idx="2454">
                  <c:v>0.49089817963594717</c:v>
                </c:pt>
                <c:pt idx="2455">
                  <c:v>0.49109821964394879</c:v>
                </c:pt>
                <c:pt idx="2456">
                  <c:v>0.4912982596519504</c:v>
                </c:pt>
                <c:pt idx="2457">
                  <c:v>0.49149829965995201</c:v>
                </c:pt>
                <c:pt idx="2458">
                  <c:v>0.49169833966795362</c:v>
                </c:pt>
                <c:pt idx="2459">
                  <c:v>0.49189837967595523</c:v>
                </c:pt>
                <c:pt idx="2460">
                  <c:v>0.49209841968395684</c:v>
                </c:pt>
                <c:pt idx="2461">
                  <c:v>0.49229845969195846</c:v>
                </c:pt>
                <c:pt idx="2462">
                  <c:v>0.49249849969996007</c:v>
                </c:pt>
                <c:pt idx="2463">
                  <c:v>0.49269853970796168</c:v>
                </c:pt>
                <c:pt idx="2464">
                  <c:v>0.49289857971596329</c:v>
                </c:pt>
                <c:pt idx="2465">
                  <c:v>0.4930986197239649</c:v>
                </c:pt>
                <c:pt idx="2466">
                  <c:v>0.49329865973196652</c:v>
                </c:pt>
                <c:pt idx="2467">
                  <c:v>0.49349869973996813</c:v>
                </c:pt>
                <c:pt idx="2468">
                  <c:v>0.49369873974796974</c:v>
                </c:pt>
                <c:pt idx="2469">
                  <c:v>0.49389877975597135</c:v>
                </c:pt>
                <c:pt idx="2470">
                  <c:v>0.49409881976397296</c:v>
                </c:pt>
                <c:pt idx="2471">
                  <c:v>0.49429885977197457</c:v>
                </c:pt>
                <c:pt idx="2472">
                  <c:v>0.49449889977997619</c:v>
                </c:pt>
                <c:pt idx="2473">
                  <c:v>0.4946989397879778</c:v>
                </c:pt>
                <c:pt idx="2474">
                  <c:v>0.49489897979597941</c:v>
                </c:pt>
                <c:pt idx="2475">
                  <c:v>0.49509901980398102</c:v>
                </c:pt>
                <c:pt idx="2476">
                  <c:v>0.49529905981198263</c:v>
                </c:pt>
                <c:pt idx="2477">
                  <c:v>0.49549909981998425</c:v>
                </c:pt>
                <c:pt idx="2478">
                  <c:v>0.49569913982798586</c:v>
                </c:pt>
                <c:pt idx="2479">
                  <c:v>0.49589917983598747</c:v>
                </c:pt>
                <c:pt idx="2480">
                  <c:v>0.49609921984398908</c:v>
                </c:pt>
                <c:pt idx="2481">
                  <c:v>0.49629925985199069</c:v>
                </c:pt>
                <c:pt idx="2482">
                  <c:v>0.4964992998599923</c:v>
                </c:pt>
                <c:pt idx="2483">
                  <c:v>0.49669933986799392</c:v>
                </c:pt>
                <c:pt idx="2484">
                  <c:v>0.49689937987599553</c:v>
                </c:pt>
                <c:pt idx="2485">
                  <c:v>0.49709941988399714</c:v>
                </c:pt>
                <c:pt idx="2486">
                  <c:v>0.49729945989199875</c:v>
                </c:pt>
                <c:pt idx="2487">
                  <c:v>0.49749949990000036</c:v>
                </c:pt>
                <c:pt idx="2488">
                  <c:v>0.49769953990800198</c:v>
                </c:pt>
                <c:pt idx="2489">
                  <c:v>0.49789957991600359</c:v>
                </c:pt>
                <c:pt idx="2490">
                  <c:v>0.4980996199240052</c:v>
                </c:pt>
                <c:pt idx="2491">
                  <c:v>0.49829965993200681</c:v>
                </c:pt>
                <c:pt idx="2492">
                  <c:v>0.49849969994000842</c:v>
                </c:pt>
                <c:pt idx="2493">
                  <c:v>0.49869973994801003</c:v>
                </c:pt>
                <c:pt idx="2494">
                  <c:v>0.49889977995601165</c:v>
                </c:pt>
                <c:pt idx="2495">
                  <c:v>0.49909981996401326</c:v>
                </c:pt>
                <c:pt idx="2496">
                  <c:v>0.49929985997201487</c:v>
                </c:pt>
                <c:pt idx="2497">
                  <c:v>0.49949989998001648</c:v>
                </c:pt>
                <c:pt idx="2498">
                  <c:v>0.49969993998801809</c:v>
                </c:pt>
                <c:pt idx="2499">
                  <c:v>0.49989997999601971</c:v>
                </c:pt>
                <c:pt idx="2500">
                  <c:v>0.50010002000402132</c:v>
                </c:pt>
                <c:pt idx="2501">
                  <c:v>0.50030006001202287</c:v>
                </c:pt>
                <c:pt idx="2502">
                  <c:v>0.50050010002002443</c:v>
                </c:pt>
                <c:pt idx="2503">
                  <c:v>0.50070014002802599</c:v>
                </c:pt>
                <c:pt idx="2504">
                  <c:v>0.50090018003602754</c:v>
                </c:pt>
                <c:pt idx="2505">
                  <c:v>0.5011002200440291</c:v>
                </c:pt>
                <c:pt idx="2506">
                  <c:v>0.50130026005203066</c:v>
                </c:pt>
                <c:pt idx="2507">
                  <c:v>0.50150030006003221</c:v>
                </c:pt>
                <c:pt idx="2508">
                  <c:v>0.50170034006803377</c:v>
                </c:pt>
                <c:pt idx="2509">
                  <c:v>0.50190038007603532</c:v>
                </c:pt>
                <c:pt idx="2510">
                  <c:v>0.50210042008403688</c:v>
                </c:pt>
                <c:pt idx="2511">
                  <c:v>0.50230046009203844</c:v>
                </c:pt>
                <c:pt idx="2512">
                  <c:v>0.50250050010003999</c:v>
                </c:pt>
                <c:pt idx="2513">
                  <c:v>0.50270054010804155</c:v>
                </c:pt>
                <c:pt idx="2514">
                  <c:v>0.50290058011604311</c:v>
                </c:pt>
                <c:pt idx="2515">
                  <c:v>0.50310062012404466</c:v>
                </c:pt>
                <c:pt idx="2516">
                  <c:v>0.50330066013204622</c:v>
                </c:pt>
                <c:pt idx="2517">
                  <c:v>0.50350070014004777</c:v>
                </c:pt>
                <c:pt idx="2518">
                  <c:v>0.50370074014804933</c:v>
                </c:pt>
                <c:pt idx="2519">
                  <c:v>0.50390078015605089</c:v>
                </c:pt>
                <c:pt idx="2520">
                  <c:v>0.50410082016405244</c:v>
                </c:pt>
                <c:pt idx="2521">
                  <c:v>0.504300860172054</c:v>
                </c:pt>
                <c:pt idx="2522">
                  <c:v>0.50450090018005556</c:v>
                </c:pt>
                <c:pt idx="2523">
                  <c:v>0.50470094018805711</c:v>
                </c:pt>
                <c:pt idx="2524">
                  <c:v>0.50490098019605867</c:v>
                </c:pt>
                <c:pt idx="2525">
                  <c:v>0.50510102020406022</c:v>
                </c:pt>
                <c:pt idx="2526">
                  <c:v>0.50530106021206178</c:v>
                </c:pt>
                <c:pt idx="2527">
                  <c:v>0.50550110022006334</c:v>
                </c:pt>
                <c:pt idx="2528">
                  <c:v>0.50570114022806489</c:v>
                </c:pt>
                <c:pt idx="2529">
                  <c:v>0.50590118023606645</c:v>
                </c:pt>
                <c:pt idx="2530">
                  <c:v>0.50610122024406801</c:v>
                </c:pt>
                <c:pt idx="2531">
                  <c:v>0.50630126025206956</c:v>
                </c:pt>
                <c:pt idx="2532">
                  <c:v>0.50650130026007112</c:v>
                </c:pt>
                <c:pt idx="2533">
                  <c:v>0.50670134026807268</c:v>
                </c:pt>
                <c:pt idx="2534">
                  <c:v>0.50690138027607423</c:v>
                </c:pt>
                <c:pt idx="2535">
                  <c:v>0.50710142028407579</c:v>
                </c:pt>
                <c:pt idx="2536">
                  <c:v>0.50730146029207734</c:v>
                </c:pt>
                <c:pt idx="2537">
                  <c:v>0.5075015003000789</c:v>
                </c:pt>
                <c:pt idx="2538">
                  <c:v>0.50770154030808046</c:v>
                </c:pt>
                <c:pt idx="2539">
                  <c:v>0.50790158031608201</c:v>
                </c:pt>
                <c:pt idx="2540">
                  <c:v>0.50810162032408357</c:v>
                </c:pt>
                <c:pt idx="2541">
                  <c:v>0.50830166033208513</c:v>
                </c:pt>
                <c:pt idx="2542">
                  <c:v>0.50850170034008668</c:v>
                </c:pt>
                <c:pt idx="2543">
                  <c:v>0.50870174034808824</c:v>
                </c:pt>
                <c:pt idx="2544">
                  <c:v>0.50890178035608979</c:v>
                </c:pt>
                <c:pt idx="2545">
                  <c:v>0.50910182036409135</c:v>
                </c:pt>
                <c:pt idx="2546">
                  <c:v>0.50930186037209291</c:v>
                </c:pt>
                <c:pt idx="2547">
                  <c:v>0.50950190038009446</c:v>
                </c:pt>
                <c:pt idx="2548">
                  <c:v>0.50970194038809602</c:v>
                </c:pt>
                <c:pt idx="2549">
                  <c:v>0.50990198039609758</c:v>
                </c:pt>
                <c:pt idx="2550">
                  <c:v>0.51010202040409913</c:v>
                </c:pt>
                <c:pt idx="2551">
                  <c:v>0.51030206041210069</c:v>
                </c:pt>
                <c:pt idx="2552">
                  <c:v>0.51050210042010224</c:v>
                </c:pt>
                <c:pt idx="2553">
                  <c:v>0.5107021404281038</c:v>
                </c:pt>
                <c:pt idx="2554">
                  <c:v>0.51090218043610536</c:v>
                </c:pt>
                <c:pt idx="2555">
                  <c:v>0.51110222044410691</c:v>
                </c:pt>
                <c:pt idx="2556">
                  <c:v>0.51130226045210847</c:v>
                </c:pt>
                <c:pt idx="2557">
                  <c:v>0.51150230046011003</c:v>
                </c:pt>
                <c:pt idx="2558">
                  <c:v>0.51170234046811158</c:v>
                </c:pt>
                <c:pt idx="2559">
                  <c:v>0.51190238047611314</c:v>
                </c:pt>
                <c:pt idx="2560">
                  <c:v>0.5121024204841147</c:v>
                </c:pt>
                <c:pt idx="2561">
                  <c:v>0.51230246049211625</c:v>
                </c:pt>
                <c:pt idx="2562">
                  <c:v>0.51250250050011781</c:v>
                </c:pt>
                <c:pt idx="2563">
                  <c:v>0.51270254050811936</c:v>
                </c:pt>
                <c:pt idx="2564">
                  <c:v>0.51290258051612092</c:v>
                </c:pt>
                <c:pt idx="2565">
                  <c:v>0.51310262052412248</c:v>
                </c:pt>
                <c:pt idx="2566">
                  <c:v>0.51330266053212403</c:v>
                </c:pt>
                <c:pt idx="2567">
                  <c:v>0.51350270054012559</c:v>
                </c:pt>
                <c:pt idx="2568">
                  <c:v>0.51370274054812715</c:v>
                </c:pt>
                <c:pt idx="2569">
                  <c:v>0.5139027805561287</c:v>
                </c:pt>
                <c:pt idx="2570">
                  <c:v>0.51410282056413026</c:v>
                </c:pt>
                <c:pt idx="2571">
                  <c:v>0.51430286057213181</c:v>
                </c:pt>
                <c:pt idx="2572">
                  <c:v>0.51450290058013337</c:v>
                </c:pt>
                <c:pt idx="2573">
                  <c:v>0.51470294058813493</c:v>
                </c:pt>
                <c:pt idx="2574">
                  <c:v>0.51490298059613648</c:v>
                </c:pt>
                <c:pt idx="2575">
                  <c:v>0.51510302060413804</c:v>
                </c:pt>
                <c:pt idx="2576">
                  <c:v>0.5153030606121396</c:v>
                </c:pt>
                <c:pt idx="2577">
                  <c:v>0.51550310062014115</c:v>
                </c:pt>
                <c:pt idx="2578">
                  <c:v>0.51570314062814271</c:v>
                </c:pt>
                <c:pt idx="2579">
                  <c:v>0.51590318063614427</c:v>
                </c:pt>
                <c:pt idx="2580">
                  <c:v>0.51610322064414582</c:v>
                </c:pt>
                <c:pt idx="2581">
                  <c:v>0.51630326065214738</c:v>
                </c:pt>
                <c:pt idx="2582">
                  <c:v>0.51650330066014893</c:v>
                </c:pt>
                <c:pt idx="2583">
                  <c:v>0.51670334066815049</c:v>
                </c:pt>
                <c:pt idx="2584">
                  <c:v>0.51690338067615205</c:v>
                </c:pt>
                <c:pt idx="2585">
                  <c:v>0.5171034206841536</c:v>
                </c:pt>
                <c:pt idx="2586">
                  <c:v>0.51730346069215516</c:v>
                </c:pt>
                <c:pt idx="2587">
                  <c:v>0.51750350070015672</c:v>
                </c:pt>
                <c:pt idx="2588">
                  <c:v>0.51770354070815827</c:v>
                </c:pt>
                <c:pt idx="2589">
                  <c:v>0.51790358071615983</c:v>
                </c:pt>
                <c:pt idx="2590">
                  <c:v>0.51810362072416138</c:v>
                </c:pt>
                <c:pt idx="2591">
                  <c:v>0.51830366073216294</c:v>
                </c:pt>
                <c:pt idx="2592">
                  <c:v>0.5185037007401645</c:v>
                </c:pt>
                <c:pt idx="2593">
                  <c:v>0.51870374074816605</c:v>
                </c:pt>
                <c:pt idx="2594">
                  <c:v>0.51890378075616761</c:v>
                </c:pt>
                <c:pt idx="2595">
                  <c:v>0.51910382076416917</c:v>
                </c:pt>
                <c:pt idx="2596">
                  <c:v>0.51930386077217072</c:v>
                </c:pt>
                <c:pt idx="2597">
                  <c:v>0.51950390078017228</c:v>
                </c:pt>
                <c:pt idx="2598">
                  <c:v>0.51970394078817383</c:v>
                </c:pt>
                <c:pt idx="2599">
                  <c:v>0.51990398079617539</c:v>
                </c:pt>
                <c:pt idx="2600">
                  <c:v>0.52010402080417695</c:v>
                </c:pt>
                <c:pt idx="2601">
                  <c:v>0.5203040608121785</c:v>
                </c:pt>
                <c:pt idx="2602">
                  <c:v>0.52050410082018006</c:v>
                </c:pt>
                <c:pt idx="2603">
                  <c:v>0.52070414082818162</c:v>
                </c:pt>
                <c:pt idx="2604">
                  <c:v>0.52090418083618317</c:v>
                </c:pt>
                <c:pt idx="2605">
                  <c:v>0.52110422084418473</c:v>
                </c:pt>
                <c:pt idx="2606">
                  <c:v>0.52130426085218629</c:v>
                </c:pt>
                <c:pt idx="2607">
                  <c:v>0.52150430086018784</c:v>
                </c:pt>
                <c:pt idx="2608">
                  <c:v>0.5217043408681894</c:v>
                </c:pt>
                <c:pt idx="2609">
                  <c:v>0.52190438087619095</c:v>
                </c:pt>
                <c:pt idx="2610">
                  <c:v>0.52210442088419251</c:v>
                </c:pt>
                <c:pt idx="2611">
                  <c:v>0.52230446089219407</c:v>
                </c:pt>
                <c:pt idx="2612">
                  <c:v>0.52250450090019562</c:v>
                </c:pt>
                <c:pt idx="2613">
                  <c:v>0.52270454090819718</c:v>
                </c:pt>
                <c:pt idx="2614">
                  <c:v>0.52290458091619874</c:v>
                </c:pt>
                <c:pt idx="2615">
                  <c:v>0.52310462092420029</c:v>
                </c:pt>
                <c:pt idx="2616">
                  <c:v>0.52330466093220185</c:v>
                </c:pt>
                <c:pt idx="2617">
                  <c:v>0.5235047009402034</c:v>
                </c:pt>
                <c:pt idx="2618">
                  <c:v>0.52370474094820496</c:v>
                </c:pt>
                <c:pt idx="2619">
                  <c:v>0.52390478095620652</c:v>
                </c:pt>
                <c:pt idx="2620">
                  <c:v>0.52410482096420807</c:v>
                </c:pt>
                <c:pt idx="2621">
                  <c:v>0.52430486097220963</c:v>
                </c:pt>
                <c:pt idx="2622">
                  <c:v>0.52450490098021119</c:v>
                </c:pt>
                <c:pt idx="2623">
                  <c:v>0.52470494098821274</c:v>
                </c:pt>
                <c:pt idx="2624">
                  <c:v>0.5249049809962143</c:v>
                </c:pt>
                <c:pt idx="2625">
                  <c:v>0.52510502100421586</c:v>
                </c:pt>
                <c:pt idx="2626">
                  <c:v>0.52530506101221741</c:v>
                </c:pt>
                <c:pt idx="2627">
                  <c:v>0.52550510102021897</c:v>
                </c:pt>
                <c:pt idx="2628">
                  <c:v>0.52570514102822052</c:v>
                </c:pt>
                <c:pt idx="2629">
                  <c:v>0.52590518103622208</c:v>
                </c:pt>
                <c:pt idx="2630">
                  <c:v>0.52610522104422364</c:v>
                </c:pt>
                <c:pt idx="2631">
                  <c:v>0.52630526105222519</c:v>
                </c:pt>
                <c:pt idx="2632">
                  <c:v>0.52650530106022675</c:v>
                </c:pt>
                <c:pt idx="2633">
                  <c:v>0.52670534106822831</c:v>
                </c:pt>
                <c:pt idx="2634">
                  <c:v>0.52690538107622986</c:v>
                </c:pt>
                <c:pt idx="2635">
                  <c:v>0.52710542108423142</c:v>
                </c:pt>
                <c:pt idx="2636">
                  <c:v>0.52730546109223297</c:v>
                </c:pt>
                <c:pt idx="2637">
                  <c:v>0.52750550110023453</c:v>
                </c:pt>
                <c:pt idx="2638">
                  <c:v>0.52770554110823609</c:v>
                </c:pt>
                <c:pt idx="2639">
                  <c:v>0.52790558111623764</c:v>
                </c:pt>
                <c:pt idx="2640">
                  <c:v>0.5281056211242392</c:v>
                </c:pt>
                <c:pt idx="2641">
                  <c:v>0.52830566113224076</c:v>
                </c:pt>
                <c:pt idx="2642">
                  <c:v>0.52850570114024231</c:v>
                </c:pt>
                <c:pt idx="2643">
                  <c:v>0.52870574114824387</c:v>
                </c:pt>
                <c:pt idx="2644">
                  <c:v>0.52890578115624542</c:v>
                </c:pt>
                <c:pt idx="2645">
                  <c:v>0.52910582116424698</c:v>
                </c:pt>
                <c:pt idx="2646">
                  <c:v>0.52930586117224854</c:v>
                </c:pt>
                <c:pt idx="2647">
                  <c:v>0.52950590118025009</c:v>
                </c:pt>
                <c:pt idx="2648">
                  <c:v>0.52970594118825165</c:v>
                </c:pt>
                <c:pt idx="2649">
                  <c:v>0.52990598119625321</c:v>
                </c:pt>
                <c:pt idx="2650">
                  <c:v>0.53010602120425476</c:v>
                </c:pt>
                <c:pt idx="2651">
                  <c:v>0.53030606121225632</c:v>
                </c:pt>
                <c:pt idx="2652">
                  <c:v>0.53050610122025788</c:v>
                </c:pt>
                <c:pt idx="2653">
                  <c:v>0.53070614122825943</c:v>
                </c:pt>
                <c:pt idx="2654">
                  <c:v>0.53090618123626099</c:v>
                </c:pt>
                <c:pt idx="2655">
                  <c:v>0.53110622124426254</c:v>
                </c:pt>
                <c:pt idx="2656">
                  <c:v>0.5313062612522641</c:v>
                </c:pt>
                <c:pt idx="2657">
                  <c:v>0.53150630126026566</c:v>
                </c:pt>
                <c:pt idx="2658">
                  <c:v>0.53170634126826721</c:v>
                </c:pt>
                <c:pt idx="2659">
                  <c:v>0.53190638127626877</c:v>
                </c:pt>
                <c:pt idx="2660">
                  <c:v>0.53210642128427033</c:v>
                </c:pt>
                <c:pt idx="2661">
                  <c:v>0.53230646129227188</c:v>
                </c:pt>
                <c:pt idx="2662">
                  <c:v>0.53250650130027344</c:v>
                </c:pt>
                <c:pt idx="2663">
                  <c:v>0.53270654130827499</c:v>
                </c:pt>
                <c:pt idx="2664">
                  <c:v>0.53290658131627655</c:v>
                </c:pt>
                <c:pt idx="2665">
                  <c:v>0.53310662132427811</c:v>
                </c:pt>
                <c:pt idx="2666">
                  <c:v>0.53330666133227966</c:v>
                </c:pt>
                <c:pt idx="2667">
                  <c:v>0.53350670134028122</c:v>
                </c:pt>
                <c:pt idx="2668">
                  <c:v>0.53370674134828278</c:v>
                </c:pt>
                <c:pt idx="2669">
                  <c:v>0.53390678135628433</c:v>
                </c:pt>
                <c:pt idx="2670">
                  <c:v>0.53410682136428589</c:v>
                </c:pt>
                <c:pt idx="2671">
                  <c:v>0.53430686137228744</c:v>
                </c:pt>
                <c:pt idx="2672">
                  <c:v>0.534506901380289</c:v>
                </c:pt>
                <c:pt idx="2673">
                  <c:v>0.53470694138829056</c:v>
                </c:pt>
                <c:pt idx="2674">
                  <c:v>0.53490698139629211</c:v>
                </c:pt>
                <c:pt idx="2675">
                  <c:v>0.53510702140429367</c:v>
                </c:pt>
                <c:pt idx="2676">
                  <c:v>0.53530706141229523</c:v>
                </c:pt>
                <c:pt idx="2677">
                  <c:v>0.53550710142029678</c:v>
                </c:pt>
                <c:pt idx="2678">
                  <c:v>0.53570714142829834</c:v>
                </c:pt>
                <c:pt idx="2679">
                  <c:v>0.5359071814362999</c:v>
                </c:pt>
                <c:pt idx="2680">
                  <c:v>0.53610722144430145</c:v>
                </c:pt>
                <c:pt idx="2681">
                  <c:v>0.53630726145230301</c:v>
                </c:pt>
                <c:pt idx="2682">
                  <c:v>0.53650730146030456</c:v>
                </c:pt>
                <c:pt idx="2683">
                  <c:v>0.53670734146830612</c:v>
                </c:pt>
                <c:pt idx="2684">
                  <c:v>0.53690738147630768</c:v>
                </c:pt>
                <c:pt idx="2685">
                  <c:v>0.53710742148430923</c:v>
                </c:pt>
                <c:pt idx="2686">
                  <c:v>0.53730746149231079</c:v>
                </c:pt>
                <c:pt idx="2687">
                  <c:v>0.53750750150031235</c:v>
                </c:pt>
                <c:pt idx="2688">
                  <c:v>0.5377075415083139</c:v>
                </c:pt>
                <c:pt idx="2689">
                  <c:v>0.53790758151631546</c:v>
                </c:pt>
                <c:pt idx="2690">
                  <c:v>0.53810762152431701</c:v>
                </c:pt>
                <c:pt idx="2691">
                  <c:v>0.53830766153231857</c:v>
                </c:pt>
                <c:pt idx="2692">
                  <c:v>0.53850770154032013</c:v>
                </c:pt>
                <c:pt idx="2693">
                  <c:v>0.53870774154832168</c:v>
                </c:pt>
                <c:pt idx="2694">
                  <c:v>0.53890778155632324</c:v>
                </c:pt>
                <c:pt idx="2695">
                  <c:v>0.5391078215643248</c:v>
                </c:pt>
                <c:pt idx="2696">
                  <c:v>0.53930786157232635</c:v>
                </c:pt>
                <c:pt idx="2697">
                  <c:v>0.53950790158032791</c:v>
                </c:pt>
                <c:pt idx="2698">
                  <c:v>0.53970794158832947</c:v>
                </c:pt>
                <c:pt idx="2699">
                  <c:v>0.53990798159633102</c:v>
                </c:pt>
                <c:pt idx="2700">
                  <c:v>0.54010802160433258</c:v>
                </c:pt>
                <c:pt idx="2701">
                  <c:v>0.54030806161233413</c:v>
                </c:pt>
                <c:pt idx="2702">
                  <c:v>0.54050810162033569</c:v>
                </c:pt>
                <c:pt idx="2703">
                  <c:v>0.54070814162833725</c:v>
                </c:pt>
                <c:pt idx="2704">
                  <c:v>0.5409081816363388</c:v>
                </c:pt>
                <c:pt idx="2705">
                  <c:v>0.54110822164434036</c:v>
                </c:pt>
                <c:pt idx="2706">
                  <c:v>0.54130826165234192</c:v>
                </c:pt>
                <c:pt idx="2707">
                  <c:v>0.54150830166034347</c:v>
                </c:pt>
                <c:pt idx="2708">
                  <c:v>0.54170834166834503</c:v>
                </c:pt>
                <c:pt idx="2709">
                  <c:v>0.54190838167634658</c:v>
                </c:pt>
                <c:pt idx="2710">
                  <c:v>0.54210842168434814</c:v>
                </c:pt>
                <c:pt idx="2711">
                  <c:v>0.5423084616923497</c:v>
                </c:pt>
                <c:pt idx="2712">
                  <c:v>0.54250850170035125</c:v>
                </c:pt>
                <c:pt idx="2713">
                  <c:v>0.54270854170835281</c:v>
                </c:pt>
                <c:pt idx="2714">
                  <c:v>0.54290858171635437</c:v>
                </c:pt>
                <c:pt idx="2715">
                  <c:v>0.54310862172435592</c:v>
                </c:pt>
                <c:pt idx="2716">
                  <c:v>0.54330866173235748</c:v>
                </c:pt>
                <c:pt idx="2717">
                  <c:v>0.54350870174035903</c:v>
                </c:pt>
                <c:pt idx="2718">
                  <c:v>0.54370874174836059</c:v>
                </c:pt>
                <c:pt idx="2719">
                  <c:v>0.54390878175636215</c:v>
                </c:pt>
                <c:pt idx="2720">
                  <c:v>0.5441088217643637</c:v>
                </c:pt>
                <c:pt idx="2721">
                  <c:v>0.54430886177236526</c:v>
                </c:pt>
                <c:pt idx="2722">
                  <c:v>0.54450890178036682</c:v>
                </c:pt>
                <c:pt idx="2723">
                  <c:v>0.54470894178836837</c:v>
                </c:pt>
                <c:pt idx="2724">
                  <c:v>0.54490898179636993</c:v>
                </c:pt>
                <c:pt idx="2725">
                  <c:v>0.54510902180437149</c:v>
                </c:pt>
                <c:pt idx="2726">
                  <c:v>0.54530906181237304</c:v>
                </c:pt>
                <c:pt idx="2727">
                  <c:v>0.5455091018203746</c:v>
                </c:pt>
                <c:pt idx="2728">
                  <c:v>0.54570914182837615</c:v>
                </c:pt>
                <c:pt idx="2729">
                  <c:v>0.54590918183637771</c:v>
                </c:pt>
                <c:pt idx="2730">
                  <c:v>0.54610922184437927</c:v>
                </c:pt>
                <c:pt idx="2731">
                  <c:v>0.54630926185238082</c:v>
                </c:pt>
                <c:pt idx="2732">
                  <c:v>0.54650930186038238</c:v>
                </c:pt>
                <c:pt idx="2733">
                  <c:v>0.54670934186838394</c:v>
                </c:pt>
                <c:pt idx="2734">
                  <c:v>0.54690938187638549</c:v>
                </c:pt>
                <c:pt idx="2735">
                  <c:v>0.54710942188438705</c:v>
                </c:pt>
                <c:pt idx="2736">
                  <c:v>0.5473094618923886</c:v>
                </c:pt>
                <c:pt idx="2737">
                  <c:v>0.54750950190039016</c:v>
                </c:pt>
                <c:pt idx="2738">
                  <c:v>0.54770954190839172</c:v>
                </c:pt>
                <c:pt idx="2739">
                  <c:v>0.54790958191639327</c:v>
                </c:pt>
                <c:pt idx="2740">
                  <c:v>0.54810962192439483</c:v>
                </c:pt>
                <c:pt idx="2741">
                  <c:v>0.54830966193239639</c:v>
                </c:pt>
                <c:pt idx="2742">
                  <c:v>0.54850970194039794</c:v>
                </c:pt>
                <c:pt idx="2743">
                  <c:v>0.5487097419483995</c:v>
                </c:pt>
                <c:pt idx="2744">
                  <c:v>0.54890978195640105</c:v>
                </c:pt>
                <c:pt idx="2745">
                  <c:v>0.54910982196440261</c:v>
                </c:pt>
                <c:pt idx="2746">
                  <c:v>0.54930986197240417</c:v>
                </c:pt>
                <c:pt idx="2747">
                  <c:v>0.54950990198040572</c:v>
                </c:pt>
                <c:pt idx="2748">
                  <c:v>0.54970994198840728</c:v>
                </c:pt>
                <c:pt idx="2749">
                  <c:v>0.54990998199640884</c:v>
                </c:pt>
                <c:pt idx="2750">
                  <c:v>0.55011002200441039</c:v>
                </c:pt>
                <c:pt idx="2751">
                  <c:v>0.55031006201241195</c:v>
                </c:pt>
                <c:pt idx="2752">
                  <c:v>0.55051010202041351</c:v>
                </c:pt>
                <c:pt idx="2753">
                  <c:v>0.55071014202841506</c:v>
                </c:pt>
                <c:pt idx="2754">
                  <c:v>0.55091018203641662</c:v>
                </c:pt>
                <c:pt idx="2755">
                  <c:v>0.55111022204441817</c:v>
                </c:pt>
                <c:pt idx="2756">
                  <c:v>0.55131026205241973</c:v>
                </c:pt>
                <c:pt idx="2757">
                  <c:v>0.55151030206042129</c:v>
                </c:pt>
                <c:pt idx="2758">
                  <c:v>0.55171034206842284</c:v>
                </c:pt>
                <c:pt idx="2759">
                  <c:v>0.5519103820764244</c:v>
                </c:pt>
                <c:pt idx="2760">
                  <c:v>0.55211042208442596</c:v>
                </c:pt>
                <c:pt idx="2761">
                  <c:v>0.55231046209242751</c:v>
                </c:pt>
                <c:pt idx="2762">
                  <c:v>0.55251050210042907</c:v>
                </c:pt>
                <c:pt idx="2763">
                  <c:v>0.55271054210843062</c:v>
                </c:pt>
                <c:pt idx="2764">
                  <c:v>0.55291058211643218</c:v>
                </c:pt>
                <c:pt idx="2765">
                  <c:v>0.55311062212443374</c:v>
                </c:pt>
                <c:pt idx="2766">
                  <c:v>0.55331066213243529</c:v>
                </c:pt>
                <c:pt idx="2767">
                  <c:v>0.55351070214043685</c:v>
                </c:pt>
                <c:pt idx="2768">
                  <c:v>0.55371074214843841</c:v>
                </c:pt>
                <c:pt idx="2769">
                  <c:v>0.55391078215643996</c:v>
                </c:pt>
                <c:pt idx="2770">
                  <c:v>0.55411082216444152</c:v>
                </c:pt>
                <c:pt idx="2771">
                  <c:v>0.55431086217244308</c:v>
                </c:pt>
                <c:pt idx="2772">
                  <c:v>0.55451090218044463</c:v>
                </c:pt>
                <c:pt idx="2773">
                  <c:v>0.55471094218844619</c:v>
                </c:pt>
                <c:pt idx="2774">
                  <c:v>0.55491098219644774</c:v>
                </c:pt>
                <c:pt idx="2775">
                  <c:v>0.5551110222044493</c:v>
                </c:pt>
                <c:pt idx="2776">
                  <c:v>0.55531106221245086</c:v>
                </c:pt>
                <c:pt idx="2777">
                  <c:v>0.55551110222045241</c:v>
                </c:pt>
                <c:pt idx="2778">
                  <c:v>0.55571114222845397</c:v>
                </c:pt>
                <c:pt idx="2779">
                  <c:v>0.55591118223645553</c:v>
                </c:pt>
                <c:pt idx="2780">
                  <c:v>0.55611122224445708</c:v>
                </c:pt>
                <c:pt idx="2781">
                  <c:v>0.55631126225245864</c:v>
                </c:pt>
                <c:pt idx="2782">
                  <c:v>0.55651130226046019</c:v>
                </c:pt>
                <c:pt idx="2783">
                  <c:v>0.55671134226846175</c:v>
                </c:pt>
                <c:pt idx="2784">
                  <c:v>0.55691138227646331</c:v>
                </c:pt>
                <c:pt idx="2785">
                  <c:v>0.55711142228446486</c:v>
                </c:pt>
                <c:pt idx="2786">
                  <c:v>0.55731146229246642</c:v>
                </c:pt>
                <c:pt idx="2787">
                  <c:v>0.55751150230046798</c:v>
                </c:pt>
                <c:pt idx="2788">
                  <c:v>0.55771154230846953</c:v>
                </c:pt>
                <c:pt idx="2789">
                  <c:v>0.55791158231647109</c:v>
                </c:pt>
                <c:pt idx="2790">
                  <c:v>0.55811162232447264</c:v>
                </c:pt>
                <c:pt idx="2791">
                  <c:v>0.5583116623324742</c:v>
                </c:pt>
                <c:pt idx="2792">
                  <c:v>0.55851170234047576</c:v>
                </c:pt>
                <c:pt idx="2793">
                  <c:v>0.55871174234847731</c:v>
                </c:pt>
                <c:pt idx="2794">
                  <c:v>0.55891178235647887</c:v>
                </c:pt>
                <c:pt idx="2795">
                  <c:v>0.55911182236448043</c:v>
                </c:pt>
                <c:pt idx="2796">
                  <c:v>0.55931186237248198</c:v>
                </c:pt>
                <c:pt idx="2797">
                  <c:v>0.55951190238048354</c:v>
                </c:pt>
                <c:pt idx="2798">
                  <c:v>0.5597119423884851</c:v>
                </c:pt>
                <c:pt idx="2799">
                  <c:v>0.55991198239648665</c:v>
                </c:pt>
                <c:pt idx="2800">
                  <c:v>0.56011202240448821</c:v>
                </c:pt>
                <c:pt idx="2801">
                  <c:v>0.56031206241248976</c:v>
                </c:pt>
                <c:pt idx="2802">
                  <c:v>0.56051210242049132</c:v>
                </c:pt>
                <c:pt idx="2803">
                  <c:v>0.56071214242849288</c:v>
                </c:pt>
                <c:pt idx="2804">
                  <c:v>0.56091218243649443</c:v>
                </c:pt>
                <c:pt idx="2805">
                  <c:v>0.56111222244449599</c:v>
                </c:pt>
                <c:pt idx="2806">
                  <c:v>0.56131226245249755</c:v>
                </c:pt>
                <c:pt idx="2807">
                  <c:v>0.5615123024604991</c:v>
                </c:pt>
                <c:pt idx="2808">
                  <c:v>0.56171234246850066</c:v>
                </c:pt>
                <c:pt idx="2809">
                  <c:v>0.56191238247650221</c:v>
                </c:pt>
                <c:pt idx="2810">
                  <c:v>0.56211242248450377</c:v>
                </c:pt>
                <c:pt idx="2811">
                  <c:v>0.56231246249250533</c:v>
                </c:pt>
                <c:pt idx="2812">
                  <c:v>0.56251250250050688</c:v>
                </c:pt>
                <c:pt idx="2813">
                  <c:v>0.56271254250850844</c:v>
                </c:pt>
                <c:pt idx="2814">
                  <c:v>0.56291258251651</c:v>
                </c:pt>
                <c:pt idx="2815">
                  <c:v>0.56311262252451155</c:v>
                </c:pt>
                <c:pt idx="2816">
                  <c:v>0.56331266253251311</c:v>
                </c:pt>
                <c:pt idx="2817">
                  <c:v>0.56351270254051467</c:v>
                </c:pt>
                <c:pt idx="2818">
                  <c:v>0.56371274254851622</c:v>
                </c:pt>
                <c:pt idx="2819">
                  <c:v>0.56391278255651778</c:v>
                </c:pt>
                <c:pt idx="2820">
                  <c:v>0.56411282256451933</c:v>
                </c:pt>
                <c:pt idx="2821">
                  <c:v>0.56431286257252089</c:v>
                </c:pt>
                <c:pt idx="2822">
                  <c:v>0.56451290258052245</c:v>
                </c:pt>
                <c:pt idx="2823">
                  <c:v>0.564712942588524</c:v>
                </c:pt>
                <c:pt idx="2824">
                  <c:v>0.56491298259652556</c:v>
                </c:pt>
                <c:pt idx="2825">
                  <c:v>0.56511302260452712</c:v>
                </c:pt>
                <c:pt idx="2826">
                  <c:v>0.56531306261252867</c:v>
                </c:pt>
                <c:pt idx="2827">
                  <c:v>0.56551310262053023</c:v>
                </c:pt>
                <c:pt idx="2828">
                  <c:v>0.56571314262853178</c:v>
                </c:pt>
                <c:pt idx="2829">
                  <c:v>0.56591318263653334</c:v>
                </c:pt>
                <c:pt idx="2830">
                  <c:v>0.5661132226445349</c:v>
                </c:pt>
                <c:pt idx="2831">
                  <c:v>0.56631326265253645</c:v>
                </c:pt>
                <c:pt idx="2832">
                  <c:v>0.56651330266053801</c:v>
                </c:pt>
                <c:pt idx="2833">
                  <c:v>0.56671334266853957</c:v>
                </c:pt>
                <c:pt idx="2834">
                  <c:v>0.56691338267654112</c:v>
                </c:pt>
                <c:pt idx="2835">
                  <c:v>0.56711342268454268</c:v>
                </c:pt>
                <c:pt idx="2836">
                  <c:v>0.56731346269254423</c:v>
                </c:pt>
                <c:pt idx="2837">
                  <c:v>0.56751350270054579</c:v>
                </c:pt>
                <c:pt idx="2838">
                  <c:v>0.56771354270854735</c:v>
                </c:pt>
                <c:pt idx="2839">
                  <c:v>0.5679135827165489</c:v>
                </c:pt>
                <c:pt idx="2840">
                  <c:v>0.56811362272455046</c:v>
                </c:pt>
                <c:pt idx="2841">
                  <c:v>0.56831366273255202</c:v>
                </c:pt>
                <c:pt idx="2842">
                  <c:v>0.56851370274055357</c:v>
                </c:pt>
                <c:pt idx="2843">
                  <c:v>0.56871374274855513</c:v>
                </c:pt>
                <c:pt idx="2844">
                  <c:v>0.56891378275655669</c:v>
                </c:pt>
                <c:pt idx="2845">
                  <c:v>0.56911382276455824</c:v>
                </c:pt>
                <c:pt idx="2846">
                  <c:v>0.5693138627725598</c:v>
                </c:pt>
                <c:pt idx="2847">
                  <c:v>0.56951390278056135</c:v>
                </c:pt>
                <c:pt idx="2848">
                  <c:v>0.56971394278856291</c:v>
                </c:pt>
                <c:pt idx="2849">
                  <c:v>0.56991398279656447</c:v>
                </c:pt>
                <c:pt idx="2850">
                  <c:v>0.57011402280456602</c:v>
                </c:pt>
                <c:pt idx="2851">
                  <c:v>0.57031406281256758</c:v>
                </c:pt>
                <c:pt idx="2852">
                  <c:v>0.57051410282056914</c:v>
                </c:pt>
                <c:pt idx="2853">
                  <c:v>0.57071414282857069</c:v>
                </c:pt>
                <c:pt idx="2854">
                  <c:v>0.57091418283657225</c:v>
                </c:pt>
                <c:pt idx="2855">
                  <c:v>0.5711142228445738</c:v>
                </c:pt>
                <c:pt idx="2856">
                  <c:v>0.57131426285257536</c:v>
                </c:pt>
                <c:pt idx="2857">
                  <c:v>0.57151430286057692</c:v>
                </c:pt>
                <c:pt idx="2858">
                  <c:v>0.57171434286857847</c:v>
                </c:pt>
                <c:pt idx="2859">
                  <c:v>0.57191438287658003</c:v>
                </c:pt>
                <c:pt idx="2860">
                  <c:v>0.57211442288458159</c:v>
                </c:pt>
                <c:pt idx="2861">
                  <c:v>0.57231446289258314</c:v>
                </c:pt>
                <c:pt idx="2862">
                  <c:v>0.5725145029005847</c:v>
                </c:pt>
                <c:pt idx="2863">
                  <c:v>0.57271454290858625</c:v>
                </c:pt>
                <c:pt idx="2864">
                  <c:v>0.57291458291658781</c:v>
                </c:pt>
                <c:pt idx="2865">
                  <c:v>0.57311462292458937</c:v>
                </c:pt>
                <c:pt idx="2866">
                  <c:v>0.57331466293259092</c:v>
                </c:pt>
                <c:pt idx="2867">
                  <c:v>0.57351470294059248</c:v>
                </c:pt>
                <c:pt idx="2868">
                  <c:v>0.57371474294859404</c:v>
                </c:pt>
                <c:pt idx="2869">
                  <c:v>0.57391478295659559</c:v>
                </c:pt>
                <c:pt idx="2870">
                  <c:v>0.57411482296459715</c:v>
                </c:pt>
                <c:pt idx="2871">
                  <c:v>0.57431486297259871</c:v>
                </c:pt>
                <c:pt idx="2872">
                  <c:v>0.57451490298060026</c:v>
                </c:pt>
                <c:pt idx="2873">
                  <c:v>0.57471494298860182</c:v>
                </c:pt>
                <c:pt idx="2874">
                  <c:v>0.57491498299660337</c:v>
                </c:pt>
                <c:pt idx="2875">
                  <c:v>0.57511502300460493</c:v>
                </c:pt>
                <c:pt idx="2876">
                  <c:v>0.57531506301260649</c:v>
                </c:pt>
                <c:pt idx="2877">
                  <c:v>0.57551510302060804</c:v>
                </c:pt>
                <c:pt idx="2878">
                  <c:v>0.5757151430286096</c:v>
                </c:pt>
                <c:pt idx="2879">
                  <c:v>0.57591518303661116</c:v>
                </c:pt>
                <c:pt idx="2880">
                  <c:v>0.57611522304461271</c:v>
                </c:pt>
                <c:pt idx="2881">
                  <c:v>0.57631526305261427</c:v>
                </c:pt>
                <c:pt idx="2882">
                  <c:v>0.57651530306061582</c:v>
                </c:pt>
                <c:pt idx="2883">
                  <c:v>0.57671534306861738</c:v>
                </c:pt>
                <c:pt idx="2884">
                  <c:v>0.57691538307661894</c:v>
                </c:pt>
                <c:pt idx="2885">
                  <c:v>0.57711542308462049</c:v>
                </c:pt>
                <c:pt idx="2886">
                  <c:v>0.57731546309262205</c:v>
                </c:pt>
                <c:pt idx="2887">
                  <c:v>0.57751550310062361</c:v>
                </c:pt>
                <c:pt idx="2888">
                  <c:v>0.57771554310862516</c:v>
                </c:pt>
                <c:pt idx="2889">
                  <c:v>0.57791558311662672</c:v>
                </c:pt>
                <c:pt idx="2890">
                  <c:v>0.57811562312462828</c:v>
                </c:pt>
                <c:pt idx="2891">
                  <c:v>0.57831566313262983</c:v>
                </c:pt>
                <c:pt idx="2892">
                  <c:v>0.57851570314063139</c:v>
                </c:pt>
                <c:pt idx="2893">
                  <c:v>0.57871574314863294</c:v>
                </c:pt>
                <c:pt idx="2894">
                  <c:v>0.5789157831566345</c:v>
                </c:pt>
                <c:pt idx="2895">
                  <c:v>0.57911582316463606</c:v>
                </c:pt>
                <c:pt idx="2896">
                  <c:v>0.57931586317263761</c:v>
                </c:pt>
                <c:pt idx="2897">
                  <c:v>0.57951590318063917</c:v>
                </c:pt>
                <c:pt idx="2898">
                  <c:v>0.57971594318864073</c:v>
                </c:pt>
                <c:pt idx="2899">
                  <c:v>0.57991598319664228</c:v>
                </c:pt>
                <c:pt idx="2900">
                  <c:v>0.58011602320464384</c:v>
                </c:pt>
                <c:pt idx="2901">
                  <c:v>0.58031606321264539</c:v>
                </c:pt>
                <c:pt idx="2902">
                  <c:v>0.58051610322064695</c:v>
                </c:pt>
                <c:pt idx="2903">
                  <c:v>0.58071614322864851</c:v>
                </c:pt>
                <c:pt idx="2904">
                  <c:v>0.58091618323665006</c:v>
                </c:pt>
                <c:pt idx="2905">
                  <c:v>0.58111622324465162</c:v>
                </c:pt>
                <c:pt idx="2906">
                  <c:v>0.58131626325265318</c:v>
                </c:pt>
                <c:pt idx="2907">
                  <c:v>0.58151630326065473</c:v>
                </c:pt>
                <c:pt idx="2908">
                  <c:v>0.58171634326865629</c:v>
                </c:pt>
                <c:pt idx="2909">
                  <c:v>0.58191638327665784</c:v>
                </c:pt>
                <c:pt idx="2910">
                  <c:v>0.5821164232846594</c:v>
                </c:pt>
                <c:pt idx="2911">
                  <c:v>0.58231646329266096</c:v>
                </c:pt>
                <c:pt idx="2912">
                  <c:v>0.58251650330066251</c:v>
                </c:pt>
                <c:pt idx="2913">
                  <c:v>0.58271654330866407</c:v>
                </c:pt>
                <c:pt idx="2914">
                  <c:v>0.58291658331666563</c:v>
                </c:pt>
                <c:pt idx="2915">
                  <c:v>0.58311662332466718</c:v>
                </c:pt>
                <c:pt idx="2916">
                  <c:v>0.58331666333266874</c:v>
                </c:pt>
                <c:pt idx="2917">
                  <c:v>0.5835167033406703</c:v>
                </c:pt>
                <c:pt idx="2918">
                  <c:v>0.58371674334867185</c:v>
                </c:pt>
                <c:pt idx="2919">
                  <c:v>0.58391678335667341</c:v>
                </c:pt>
                <c:pt idx="2920">
                  <c:v>0.58411682336467496</c:v>
                </c:pt>
                <c:pt idx="2921">
                  <c:v>0.58431686337267652</c:v>
                </c:pt>
                <c:pt idx="2922">
                  <c:v>0.58451690338067808</c:v>
                </c:pt>
                <c:pt idx="2923">
                  <c:v>0.58471694338867963</c:v>
                </c:pt>
                <c:pt idx="2924">
                  <c:v>0.58491698339668119</c:v>
                </c:pt>
                <c:pt idx="2925">
                  <c:v>0.58511702340468275</c:v>
                </c:pt>
                <c:pt idx="2926">
                  <c:v>0.5853170634126843</c:v>
                </c:pt>
                <c:pt idx="2927">
                  <c:v>0.58551710342068586</c:v>
                </c:pt>
                <c:pt idx="2928">
                  <c:v>0.58571714342868741</c:v>
                </c:pt>
                <c:pt idx="2929">
                  <c:v>0.58591718343668897</c:v>
                </c:pt>
                <c:pt idx="2930">
                  <c:v>0.58611722344469053</c:v>
                </c:pt>
                <c:pt idx="2931">
                  <c:v>0.58631726345269208</c:v>
                </c:pt>
                <c:pt idx="2932">
                  <c:v>0.58651730346069364</c:v>
                </c:pt>
                <c:pt idx="2933">
                  <c:v>0.5867173434686952</c:v>
                </c:pt>
                <c:pt idx="2934">
                  <c:v>0.58691738347669675</c:v>
                </c:pt>
                <c:pt idx="2935">
                  <c:v>0.58711742348469831</c:v>
                </c:pt>
                <c:pt idx="2936">
                  <c:v>0.58731746349269986</c:v>
                </c:pt>
                <c:pt idx="2937">
                  <c:v>0.58751750350070142</c:v>
                </c:pt>
                <c:pt idx="2938">
                  <c:v>0.58771754350870298</c:v>
                </c:pt>
                <c:pt idx="2939">
                  <c:v>0.58791758351670453</c:v>
                </c:pt>
                <c:pt idx="2940">
                  <c:v>0.58811762352470609</c:v>
                </c:pt>
                <c:pt idx="2941">
                  <c:v>0.58831766353270765</c:v>
                </c:pt>
                <c:pt idx="2942">
                  <c:v>0.5885177035407092</c:v>
                </c:pt>
                <c:pt idx="2943">
                  <c:v>0.58871774354871076</c:v>
                </c:pt>
                <c:pt idx="2944">
                  <c:v>0.58891778355671232</c:v>
                </c:pt>
                <c:pt idx="2945">
                  <c:v>0.58911782356471387</c:v>
                </c:pt>
                <c:pt idx="2946">
                  <c:v>0.58931786357271543</c:v>
                </c:pt>
                <c:pt idx="2947">
                  <c:v>0.58951790358071698</c:v>
                </c:pt>
                <c:pt idx="2948">
                  <c:v>0.58971794358871854</c:v>
                </c:pt>
                <c:pt idx="2949">
                  <c:v>0.5899179835967201</c:v>
                </c:pt>
                <c:pt idx="2950">
                  <c:v>0.59011802360472165</c:v>
                </c:pt>
                <c:pt idx="2951">
                  <c:v>0.59031806361272321</c:v>
                </c:pt>
                <c:pt idx="2952">
                  <c:v>0.59051810362072477</c:v>
                </c:pt>
                <c:pt idx="2953">
                  <c:v>0.59071814362872632</c:v>
                </c:pt>
                <c:pt idx="2954">
                  <c:v>0.59091818363672788</c:v>
                </c:pt>
                <c:pt idx="2955">
                  <c:v>0.59111822364472943</c:v>
                </c:pt>
                <c:pt idx="2956">
                  <c:v>0.59131826365273099</c:v>
                </c:pt>
                <c:pt idx="2957">
                  <c:v>0.59151830366073255</c:v>
                </c:pt>
                <c:pt idx="2958">
                  <c:v>0.5917183436687341</c:v>
                </c:pt>
                <c:pt idx="2959">
                  <c:v>0.59191838367673566</c:v>
                </c:pt>
                <c:pt idx="2960">
                  <c:v>0.59211842368473722</c:v>
                </c:pt>
                <c:pt idx="2961">
                  <c:v>0.59231846369273877</c:v>
                </c:pt>
                <c:pt idx="2962">
                  <c:v>0.59251850370074033</c:v>
                </c:pt>
                <c:pt idx="2963">
                  <c:v>0.59271854370874189</c:v>
                </c:pt>
                <c:pt idx="2964">
                  <c:v>0.59291858371674344</c:v>
                </c:pt>
                <c:pt idx="2965">
                  <c:v>0.593118623724745</c:v>
                </c:pt>
                <c:pt idx="2966">
                  <c:v>0.59331866373274655</c:v>
                </c:pt>
                <c:pt idx="2967">
                  <c:v>0.59351870374074811</c:v>
                </c:pt>
                <c:pt idx="2968">
                  <c:v>0.59371874374874967</c:v>
                </c:pt>
                <c:pt idx="2969">
                  <c:v>0.59391878375675122</c:v>
                </c:pt>
                <c:pt idx="2970">
                  <c:v>0.59411882376475278</c:v>
                </c:pt>
                <c:pt idx="2971">
                  <c:v>0.59431886377275434</c:v>
                </c:pt>
                <c:pt idx="2972">
                  <c:v>0.59451890378075589</c:v>
                </c:pt>
                <c:pt idx="2973">
                  <c:v>0.59471894378875745</c:v>
                </c:pt>
                <c:pt idx="2974">
                  <c:v>0.594918983796759</c:v>
                </c:pt>
                <c:pt idx="2975">
                  <c:v>0.59511902380476056</c:v>
                </c:pt>
                <c:pt idx="2976">
                  <c:v>0.59531906381276212</c:v>
                </c:pt>
                <c:pt idx="2977">
                  <c:v>0.59551910382076367</c:v>
                </c:pt>
                <c:pt idx="2978">
                  <c:v>0.59571914382876523</c:v>
                </c:pt>
                <c:pt idx="2979">
                  <c:v>0.59591918383676679</c:v>
                </c:pt>
                <c:pt idx="2980">
                  <c:v>0.59611922384476834</c:v>
                </c:pt>
                <c:pt idx="2981">
                  <c:v>0.5963192638527699</c:v>
                </c:pt>
                <c:pt idx="2982">
                  <c:v>0.59651930386077145</c:v>
                </c:pt>
                <c:pt idx="2983">
                  <c:v>0.59671934386877301</c:v>
                </c:pt>
                <c:pt idx="2984">
                  <c:v>0.59691938387677457</c:v>
                </c:pt>
                <c:pt idx="2985">
                  <c:v>0.59711942388477612</c:v>
                </c:pt>
                <c:pt idx="2986">
                  <c:v>0.59731946389277768</c:v>
                </c:pt>
                <c:pt idx="2987">
                  <c:v>0.59751950390077924</c:v>
                </c:pt>
                <c:pt idx="2988">
                  <c:v>0.59771954390878079</c:v>
                </c:pt>
                <c:pt idx="2989">
                  <c:v>0.59791958391678235</c:v>
                </c:pt>
                <c:pt idx="2990">
                  <c:v>0.59811962392478391</c:v>
                </c:pt>
                <c:pt idx="2991">
                  <c:v>0.59831966393278546</c:v>
                </c:pt>
                <c:pt idx="2992">
                  <c:v>0.59851970394078702</c:v>
                </c:pt>
                <c:pt idx="2993">
                  <c:v>0.59871974394878857</c:v>
                </c:pt>
                <c:pt idx="2994">
                  <c:v>0.59891978395679013</c:v>
                </c:pt>
                <c:pt idx="2995">
                  <c:v>0.59911982396479169</c:v>
                </c:pt>
                <c:pt idx="2996">
                  <c:v>0.59931986397279324</c:v>
                </c:pt>
                <c:pt idx="2997">
                  <c:v>0.5995199039807948</c:v>
                </c:pt>
                <c:pt idx="2998">
                  <c:v>0.59971994398879636</c:v>
                </c:pt>
                <c:pt idx="2999">
                  <c:v>0.59991998399679791</c:v>
                </c:pt>
                <c:pt idx="3000">
                  <c:v>0.60012002400479947</c:v>
                </c:pt>
                <c:pt idx="3001">
                  <c:v>0.60032006401280102</c:v>
                </c:pt>
                <c:pt idx="3002">
                  <c:v>0.60052010402080258</c:v>
                </c:pt>
                <c:pt idx="3003">
                  <c:v>0.60072014402880414</c:v>
                </c:pt>
                <c:pt idx="3004">
                  <c:v>0.60092018403680569</c:v>
                </c:pt>
                <c:pt idx="3005">
                  <c:v>0.60112022404480725</c:v>
                </c:pt>
                <c:pt idx="3006">
                  <c:v>0.60132026405280881</c:v>
                </c:pt>
                <c:pt idx="3007">
                  <c:v>0.60152030406081036</c:v>
                </c:pt>
                <c:pt idx="3008">
                  <c:v>0.60172034406881192</c:v>
                </c:pt>
                <c:pt idx="3009">
                  <c:v>0.60192038407681348</c:v>
                </c:pt>
                <c:pt idx="3010">
                  <c:v>0.60212042408481503</c:v>
                </c:pt>
                <c:pt idx="3011">
                  <c:v>0.60232046409281659</c:v>
                </c:pt>
                <c:pt idx="3012">
                  <c:v>0.60252050410081814</c:v>
                </c:pt>
                <c:pt idx="3013">
                  <c:v>0.6027205441088197</c:v>
                </c:pt>
                <c:pt idx="3014">
                  <c:v>0.60292058411682126</c:v>
                </c:pt>
                <c:pt idx="3015">
                  <c:v>0.60312062412482281</c:v>
                </c:pt>
                <c:pt idx="3016">
                  <c:v>0.60332066413282437</c:v>
                </c:pt>
                <c:pt idx="3017">
                  <c:v>0.60352070414082593</c:v>
                </c:pt>
                <c:pt idx="3018">
                  <c:v>0.60372074414882748</c:v>
                </c:pt>
                <c:pt idx="3019">
                  <c:v>0.60392078415682904</c:v>
                </c:pt>
                <c:pt idx="3020">
                  <c:v>0.60412082416483059</c:v>
                </c:pt>
                <c:pt idx="3021">
                  <c:v>0.60432086417283215</c:v>
                </c:pt>
                <c:pt idx="3022">
                  <c:v>0.60452090418083371</c:v>
                </c:pt>
                <c:pt idx="3023">
                  <c:v>0.60472094418883526</c:v>
                </c:pt>
                <c:pt idx="3024">
                  <c:v>0.60492098419683682</c:v>
                </c:pt>
                <c:pt idx="3025">
                  <c:v>0.60512102420483838</c:v>
                </c:pt>
                <c:pt idx="3026">
                  <c:v>0.60532106421283993</c:v>
                </c:pt>
                <c:pt idx="3027">
                  <c:v>0.60552110422084149</c:v>
                </c:pt>
                <c:pt idx="3028">
                  <c:v>0.60572114422884304</c:v>
                </c:pt>
                <c:pt idx="3029">
                  <c:v>0.6059211842368446</c:v>
                </c:pt>
                <c:pt idx="3030">
                  <c:v>0.60612122424484616</c:v>
                </c:pt>
                <c:pt idx="3031">
                  <c:v>0.60632126425284771</c:v>
                </c:pt>
                <c:pt idx="3032">
                  <c:v>0.60652130426084927</c:v>
                </c:pt>
                <c:pt idx="3033">
                  <c:v>0.60672134426885083</c:v>
                </c:pt>
                <c:pt idx="3034">
                  <c:v>0.60692138427685238</c:v>
                </c:pt>
                <c:pt idx="3035">
                  <c:v>0.60712142428485394</c:v>
                </c:pt>
                <c:pt idx="3036">
                  <c:v>0.6073214642928555</c:v>
                </c:pt>
                <c:pt idx="3037">
                  <c:v>0.60752150430085705</c:v>
                </c:pt>
                <c:pt idx="3038">
                  <c:v>0.60772154430885861</c:v>
                </c:pt>
                <c:pt idx="3039">
                  <c:v>0.60792158431686016</c:v>
                </c:pt>
                <c:pt idx="3040">
                  <c:v>0.60812162432486172</c:v>
                </c:pt>
                <c:pt idx="3041">
                  <c:v>0.60832166433286328</c:v>
                </c:pt>
                <c:pt idx="3042">
                  <c:v>0.60852170434086483</c:v>
                </c:pt>
                <c:pt idx="3043">
                  <c:v>0.60872174434886639</c:v>
                </c:pt>
                <c:pt idx="3044">
                  <c:v>0.60892178435686795</c:v>
                </c:pt>
                <c:pt idx="3045">
                  <c:v>0.6091218243648695</c:v>
                </c:pt>
                <c:pt idx="3046">
                  <c:v>0.60932186437287106</c:v>
                </c:pt>
                <c:pt idx="3047">
                  <c:v>0.60952190438087261</c:v>
                </c:pt>
                <c:pt idx="3048">
                  <c:v>0.60972194438887417</c:v>
                </c:pt>
                <c:pt idx="3049">
                  <c:v>0.60992198439687573</c:v>
                </c:pt>
                <c:pt idx="3050">
                  <c:v>0.61012202440487728</c:v>
                </c:pt>
                <c:pt idx="3051">
                  <c:v>0.61032206441287884</c:v>
                </c:pt>
                <c:pt idx="3052">
                  <c:v>0.6105221044208804</c:v>
                </c:pt>
                <c:pt idx="3053">
                  <c:v>0.61072214442888195</c:v>
                </c:pt>
                <c:pt idx="3054">
                  <c:v>0.61092218443688351</c:v>
                </c:pt>
                <c:pt idx="3055">
                  <c:v>0.61112222444488506</c:v>
                </c:pt>
                <c:pt idx="3056">
                  <c:v>0.61132226445288662</c:v>
                </c:pt>
                <c:pt idx="3057">
                  <c:v>0.61152230446088818</c:v>
                </c:pt>
                <c:pt idx="3058">
                  <c:v>0.61172234446888973</c:v>
                </c:pt>
                <c:pt idx="3059">
                  <c:v>0.61192238447689129</c:v>
                </c:pt>
                <c:pt idx="3060">
                  <c:v>0.61212242448489285</c:v>
                </c:pt>
                <c:pt idx="3061">
                  <c:v>0.6123224644928944</c:v>
                </c:pt>
                <c:pt idx="3062">
                  <c:v>0.61252250450089596</c:v>
                </c:pt>
                <c:pt idx="3063">
                  <c:v>0.61272254450889752</c:v>
                </c:pt>
                <c:pt idx="3064">
                  <c:v>0.61292258451689907</c:v>
                </c:pt>
                <c:pt idx="3065">
                  <c:v>0.61312262452490063</c:v>
                </c:pt>
                <c:pt idx="3066">
                  <c:v>0.61332266453290218</c:v>
                </c:pt>
                <c:pt idx="3067">
                  <c:v>0.61352270454090374</c:v>
                </c:pt>
                <c:pt idx="3068">
                  <c:v>0.6137227445489053</c:v>
                </c:pt>
                <c:pt idx="3069">
                  <c:v>0.61392278455690685</c:v>
                </c:pt>
                <c:pt idx="3070">
                  <c:v>0.61412282456490841</c:v>
                </c:pt>
                <c:pt idx="3071">
                  <c:v>0.61432286457290997</c:v>
                </c:pt>
                <c:pt idx="3072">
                  <c:v>0.61452290458091152</c:v>
                </c:pt>
                <c:pt idx="3073">
                  <c:v>0.61472294458891308</c:v>
                </c:pt>
                <c:pt idx="3074">
                  <c:v>0.61492298459691463</c:v>
                </c:pt>
                <c:pt idx="3075">
                  <c:v>0.61512302460491619</c:v>
                </c:pt>
                <c:pt idx="3076">
                  <c:v>0.61532306461291775</c:v>
                </c:pt>
                <c:pt idx="3077">
                  <c:v>0.6155231046209193</c:v>
                </c:pt>
                <c:pt idx="3078">
                  <c:v>0.61572314462892086</c:v>
                </c:pt>
                <c:pt idx="3079">
                  <c:v>0.61592318463692242</c:v>
                </c:pt>
                <c:pt idx="3080">
                  <c:v>0.61612322464492397</c:v>
                </c:pt>
                <c:pt idx="3081">
                  <c:v>0.61632326465292553</c:v>
                </c:pt>
                <c:pt idx="3082">
                  <c:v>0.61652330466092709</c:v>
                </c:pt>
                <c:pt idx="3083">
                  <c:v>0.61672334466892864</c:v>
                </c:pt>
                <c:pt idx="3084">
                  <c:v>0.6169233846769302</c:v>
                </c:pt>
                <c:pt idx="3085">
                  <c:v>0.61712342468493175</c:v>
                </c:pt>
                <c:pt idx="3086">
                  <c:v>0.61732346469293331</c:v>
                </c:pt>
                <c:pt idx="3087">
                  <c:v>0.61752350470093487</c:v>
                </c:pt>
                <c:pt idx="3088">
                  <c:v>0.61772354470893642</c:v>
                </c:pt>
                <c:pt idx="3089">
                  <c:v>0.61792358471693798</c:v>
                </c:pt>
                <c:pt idx="3090">
                  <c:v>0.61812362472493954</c:v>
                </c:pt>
                <c:pt idx="3091">
                  <c:v>0.61832366473294109</c:v>
                </c:pt>
                <c:pt idx="3092">
                  <c:v>0.61852370474094265</c:v>
                </c:pt>
                <c:pt idx="3093">
                  <c:v>0.6187237447489442</c:v>
                </c:pt>
                <c:pt idx="3094">
                  <c:v>0.61892378475694576</c:v>
                </c:pt>
                <c:pt idx="3095">
                  <c:v>0.61912382476494732</c:v>
                </c:pt>
                <c:pt idx="3096">
                  <c:v>0.61932386477294887</c:v>
                </c:pt>
                <c:pt idx="3097">
                  <c:v>0.61952390478095043</c:v>
                </c:pt>
                <c:pt idx="3098">
                  <c:v>0.61972394478895199</c:v>
                </c:pt>
                <c:pt idx="3099">
                  <c:v>0.61992398479695354</c:v>
                </c:pt>
                <c:pt idx="3100">
                  <c:v>0.6201240248049551</c:v>
                </c:pt>
                <c:pt idx="3101">
                  <c:v>0.62032406481295665</c:v>
                </c:pt>
                <c:pt idx="3102">
                  <c:v>0.62052410482095821</c:v>
                </c:pt>
                <c:pt idx="3103">
                  <c:v>0.62072414482895977</c:v>
                </c:pt>
                <c:pt idx="3104">
                  <c:v>0.62092418483696132</c:v>
                </c:pt>
                <c:pt idx="3105">
                  <c:v>0.62112422484496288</c:v>
                </c:pt>
                <c:pt idx="3106">
                  <c:v>0.62132426485296444</c:v>
                </c:pt>
                <c:pt idx="3107">
                  <c:v>0.62152430486096599</c:v>
                </c:pt>
                <c:pt idx="3108">
                  <c:v>0.62172434486896755</c:v>
                </c:pt>
                <c:pt idx="3109">
                  <c:v>0.62192438487696911</c:v>
                </c:pt>
                <c:pt idx="3110">
                  <c:v>0.62212442488497066</c:v>
                </c:pt>
                <c:pt idx="3111">
                  <c:v>0.62232446489297222</c:v>
                </c:pt>
                <c:pt idx="3112">
                  <c:v>0.62252450490097377</c:v>
                </c:pt>
                <c:pt idx="3113">
                  <c:v>0.62272454490897533</c:v>
                </c:pt>
                <c:pt idx="3114">
                  <c:v>0.62292458491697689</c:v>
                </c:pt>
                <c:pt idx="3115">
                  <c:v>0.62312462492497844</c:v>
                </c:pt>
                <c:pt idx="3116">
                  <c:v>0.62332466493298</c:v>
                </c:pt>
                <c:pt idx="3117">
                  <c:v>0.62352470494098156</c:v>
                </c:pt>
                <c:pt idx="3118">
                  <c:v>0.62372474494898311</c:v>
                </c:pt>
                <c:pt idx="3119">
                  <c:v>0.62392478495698467</c:v>
                </c:pt>
                <c:pt idx="3120">
                  <c:v>0.62412482496498622</c:v>
                </c:pt>
                <c:pt idx="3121">
                  <c:v>0.62432486497298778</c:v>
                </c:pt>
                <c:pt idx="3122">
                  <c:v>0.62452490498098934</c:v>
                </c:pt>
                <c:pt idx="3123">
                  <c:v>0.62472494498899089</c:v>
                </c:pt>
                <c:pt idx="3124">
                  <c:v>0.62492498499699245</c:v>
                </c:pt>
                <c:pt idx="3125">
                  <c:v>0.62512502500499401</c:v>
                </c:pt>
                <c:pt idx="3126">
                  <c:v>0.62532506501299556</c:v>
                </c:pt>
                <c:pt idx="3127">
                  <c:v>0.62552510502099712</c:v>
                </c:pt>
                <c:pt idx="3128">
                  <c:v>0.62572514502899867</c:v>
                </c:pt>
                <c:pt idx="3129">
                  <c:v>0.62592518503700023</c:v>
                </c:pt>
                <c:pt idx="3130">
                  <c:v>0.62612522504500179</c:v>
                </c:pt>
                <c:pt idx="3131">
                  <c:v>0.62632526505300334</c:v>
                </c:pt>
                <c:pt idx="3132">
                  <c:v>0.6265253050610049</c:v>
                </c:pt>
                <c:pt idx="3133">
                  <c:v>0.62672534506900646</c:v>
                </c:pt>
                <c:pt idx="3134">
                  <c:v>0.62692538507700801</c:v>
                </c:pt>
                <c:pt idx="3135">
                  <c:v>0.62712542508500957</c:v>
                </c:pt>
                <c:pt idx="3136">
                  <c:v>0.62732546509301113</c:v>
                </c:pt>
                <c:pt idx="3137">
                  <c:v>0.62752550510101268</c:v>
                </c:pt>
                <c:pt idx="3138">
                  <c:v>0.62772554510901424</c:v>
                </c:pt>
                <c:pt idx="3139">
                  <c:v>0.62792558511701579</c:v>
                </c:pt>
                <c:pt idx="3140">
                  <c:v>0.62812562512501735</c:v>
                </c:pt>
                <c:pt idx="3141">
                  <c:v>0.62832566513301891</c:v>
                </c:pt>
                <c:pt idx="3142">
                  <c:v>0.62852570514102046</c:v>
                </c:pt>
                <c:pt idx="3143">
                  <c:v>0.62872574514902202</c:v>
                </c:pt>
                <c:pt idx="3144">
                  <c:v>0.62892578515702358</c:v>
                </c:pt>
                <c:pt idx="3145">
                  <c:v>0.62912582516502513</c:v>
                </c:pt>
                <c:pt idx="3146">
                  <c:v>0.62932586517302669</c:v>
                </c:pt>
                <c:pt idx="3147">
                  <c:v>0.62952590518102824</c:v>
                </c:pt>
                <c:pt idx="3148">
                  <c:v>0.6297259451890298</c:v>
                </c:pt>
                <c:pt idx="3149">
                  <c:v>0.62992598519703136</c:v>
                </c:pt>
                <c:pt idx="3150">
                  <c:v>0.63012602520503291</c:v>
                </c:pt>
                <c:pt idx="3151">
                  <c:v>0.63032606521303447</c:v>
                </c:pt>
                <c:pt idx="3152">
                  <c:v>0.63052610522103603</c:v>
                </c:pt>
                <c:pt idx="3153">
                  <c:v>0.63072614522903758</c:v>
                </c:pt>
                <c:pt idx="3154">
                  <c:v>0.63092618523703914</c:v>
                </c:pt>
                <c:pt idx="3155">
                  <c:v>0.6311262252450407</c:v>
                </c:pt>
                <c:pt idx="3156">
                  <c:v>0.63132626525304225</c:v>
                </c:pt>
                <c:pt idx="3157">
                  <c:v>0.63152630526104381</c:v>
                </c:pt>
                <c:pt idx="3158">
                  <c:v>0.63172634526904536</c:v>
                </c:pt>
                <c:pt idx="3159">
                  <c:v>0.63192638527704692</c:v>
                </c:pt>
                <c:pt idx="3160">
                  <c:v>0.63212642528504848</c:v>
                </c:pt>
                <c:pt idx="3161">
                  <c:v>0.63232646529305003</c:v>
                </c:pt>
                <c:pt idx="3162">
                  <c:v>0.63252650530105159</c:v>
                </c:pt>
                <c:pt idx="3163">
                  <c:v>0.63272654530905315</c:v>
                </c:pt>
                <c:pt idx="3164">
                  <c:v>0.6329265853170547</c:v>
                </c:pt>
                <c:pt idx="3165">
                  <c:v>0.63312662532505626</c:v>
                </c:pt>
                <c:pt idx="3166">
                  <c:v>0.63332666533305781</c:v>
                </c:pt>
                <c:pt idx="3167">
                  <c:v>0.63352670534105937</c:v>
                </c:pt>
                <c:pt idx="3168">
                  <c:v>0.63372674534906093</c:v>
                </c:pt>
                <c:pt idx="3169">
                  <c:v>0.63392678535706248</c:v>
                </c:pt>
                <c:pt idx="3170">
                  <c:v>0.63412682536506404</c:v>
                </c:pt>
                <c:pt idx="3171">
                  <c:v>0.6343268653730656</c:v>
                </c:pt>
                <c:pt idx="3172">
                  <c:v>0.63452690538106715</c:v>
                </c:pt>
                <c:pt idx="3173">
                  <c:v>0.63472694538906871</c:v>
                </c:pt>
                <c:pt idx="3174">
                  <c:v>0.63492698539707026</c:v>
                </c:pt>
                <c:pt idx="3175">
                  <c:v>0.63512702540507182</c:v>
                </c:pt>
                <c:pt idx="3176">
                  <c:v>0.63532706541307338</c:v>
                </c:pt>
                <c:pt idx="3177">
                  <c:v>0.63552710542107493</c:v>
                </c:pt>
                <c:pt idx="3178">
                  <c:v>0.63572714542907649</c:v>
                </c:pt>
                <c:pt idx="3179">
                  <c:v>0.63592718543707805</c:v>
                </c:pt>
                <c:pt idx="3180">
                  <c:v>0.6361272254450796</c:v>
                </c:pt>
                <c:pt idx="3181">
                  <c:v>0.63632726545308116</c:v>
                </c:pt>
                <c:pt idx="3182">
                  <c:v>0.63652730546108272</c:v>
                </c:pt>
                <c:pt idx="3183">
                  <c:v>0.63672734546908427</c:v>
                </c:pt>
                <c:pt idx="3184">
                  <c:v>0.63692738547708583</c:v>
                </c:pt>
                <c:pt idx="3185">
                  <c:v>0.63712742548508738</c:v>
                </c:pt>
                <c:pt idx="3186">
                  <c:v>0.63732746549308894</c:v>
                </c:pt>
                <c:pt idx="3187">
                  <c:v>0.6375275055010905</c:v>
                </c:pt>
                <c:pt idx="3188">
                  <c:v>0.63772754550909205</c:v>
                </c:pt>
                <c:pt idx="3189">
                  <c:v>0.63792758551709361</c:v>
                </c:pt>
                <c:pt idx="3190">
                  <c:v>0.63812762552509517</c:v>
                </c:pt>
                <c:pt idx="3191">
                  <c:v>0.63832766553309672</c:v>
                </c:pt>
                <c:pt idx="3192">
                  <c:v>0.63852770554109828</c:v>
                </c:pt>
                <c:pt idx="3193">
                  <c:v>0.63872774554909983</c:v>
                </c:pt>
                <c:pt idx="3194">
                  <c:v>0.63892778555710139</c:v>
                </c:pt>
                <c:pt idx="3195">
                  <c:v>0.63912782556510295</c:v>
                </c:pt>
                <c:pt idx="3196">
                  <c:v>0.6393278655731045</c:v>
                </c:pt>
                <c:pt idx="3197">
                  <c:v>0.63952790558110606</c:v>
                </c:pt>
                <c:pt idx="3198">
                  <c:v>0.63972794558910762</c:v>
                </c:pt>
                <c:pt idx="3199">
                  <c:v>0.63992798559710917</c:v>
                </c:pt>
                <c:pt idx="3200">
                  <c:v>0.64012802560511073</c:v>
                </c:pt>
                <c:pt idx="3201">
                  <c:v>0.64032806561311228</c:v>
                </c:pt>
                <c:pt idx="3202">
                  <c:v>0.64052810562111384</c:v>
                </c:pt>
                <c:pt idx="3203">
                  <c:v>0.6407281456291154</c:v>
                </c:pt>
                <c:pt idx="3204">
                  <c:v>0.64092818563711695</c:v>
                </c:pt>
                <c:pt idx="3205">
                  <c:v>0.64112822564511851</c:v>
                </c:pt>
                <c:pt idx="3206">
                  <c:v>0.64132826565312007</c:v>
                </c:pt>
                <c:pt idx="3207">
                  <c:v>0.64152830566112162</c:v>
                </c:pt>
                <c:pt idx="3208">
                  <c:v>0.64172834566912318</c:v>
                </c:pt>
                <c:pt idx="3209">
                  <c:v>0.64192838567712474</c:v>
                </c:pt>
                <c:pt idx="3210">
                  <c:v>0.64212842568512629</c:v>
                </c:pt>
                <c:pt idx="3211">
                  <c:v>0.64232846569312785</c:v>
                </c:pt>
                <c:pt idx="3212">
                  <c:v>0.6425285057011294</c:v>
                </c:pt>
                <c:pt idx="3213">
                  <c:v>0.64272854570913096</c:v>
                </c:pt>
                <c:pt idx="3214">
                  <c:v>0.64292858571713252</c:v>
                </c:pt>
                <c:pt idx="3215">
                  <c:v>0.64312862572513407</c:v>
                </c:pt>
                <c:pt idx="3216">
                  <c:v>0.64332866573313563</c:v>
                </c:pt>
                <c:pt idx="3217">
                  <c:v>0.64352870574113719</c:v>
                </c:pt>
                <c:pt idx="3218">
                  <c:v>0.64372874574913874</c:v>
                </c:pt>
                <c:pt idx="3219">
                  <c:v>0.6439287857571403</c:v>
                </c:pt>
                <c:pt idx="3220">
                  <c:v>0.64412882576514185</c:v>
                </c:pt>
                <c:pt idx="3221">
                  <c:v>0.64432886577314341</c:v>
                </c:pt>
                <c:pt idx="3222">
                  <c:v>0.64452890578114497</c:v>
                </c:pt>
                <c:pt idx="3223">
                  <c:v>0.64472894578914652</c:v>
                </c:pt>
                <c:pt idx="3224">
                  <c:v>0.64492898579714808</c:v>
                </c:pt>
                <c:pt idx="3225">
                  <c:v>0.64512902580514964</c:v>
                </c:pt>
                <c:pt idx="3226">
                  <c:v>0.64532906581315119</c:v>
                </c:pt>
                <c:pt idx="3227">
                  <c:v>0.64552910582115275</c:v>
                </c:pt>
                <c:pt idx="3228">
                  <c:v>0.64572914582915431</c:v>
                </c:pt>
                <c:pt idx="3229">
                  <c:v>0.64592918583715586</c:v>
                </c:pt>
                <c:pt idx="3230">
                  <c:v>0.64612922584515742</c:v>
                </c:pt>
                <c:pt idx="3231">
                  <c:v>0.64632926585315897</c:v>
                </c:pt>
                <c:pt idx="3232">
                  <c:v>0.64652930586116053</c:v>
                </c:pt>
                <c:pt idx="3233">
                  <c:v>0.64672934586916209</c:v>
                </c:pt>
                <c:pt idx="3234">
                  <c:v>0.64692938587716364</c:v>
                </c:pt>
                <c:pt idx="3235">
                  <c:v>0.6471294258851652</c:v>
                </c:pt>
                <c:pt idx="3236">
                  <c:v>0.64732946589316676</c:v>
                </c:pt>
                <c:pt idx="3237">
                  <c:v>0.64752950590116831</c:v>
                </c:pt>
                <c:pt idx="3238">
                  <c:v>0.64772954590916987</c:v>
                </c:pt>
                <c:pt idx="3239">
                  <c:v>0.64792958591717142</c:v>
                </c:pt>
                <c:pt idx="3240">
                  <c:v>0.64812962592517298</c:v>
                </c:pt>
                <c:pt idx="3241">
                  <c:v>0.64832966593317454</c:v>
                </c:pt>
                <c:pt idx="3242">
                  <c:v>0.64852970594117609</c:v>
                </c:pt>
                <c:pt idx="3243">
                  <c:v>0.64872974594917765</c:v>
                </c:pt>
                <c:pt idx="3244">
                  <c:v>0.64892978595717921</c:v>
                </c:pt>
                <c:pt idx="3245">
                  <c:v>0.64912982596518076</c:v>
                </c:pt>
                <c:pt idx="3246">
                  <c:v>0.64932986597318232</c:v>
                </c:pt>
                <c:pt idx="3247">
                  <c:v>0.64952990598118387</c:v>
                </c:pt>
                <c:pt idx="3248">
                  <c:v>0.64972994598918543</c:v>
                </c:pt>
                <c:pt idx="3249">
                  <c:v>0.64992998599718699</c:v>
                </c:pt>
                <c:pt idx="3250">
                  <c:v>0.65013002600518854</c:v>
                </c:pt>
                <c:pt idx="3251">
                  <c:v>0.6503300660131901</c:v>
                </c:pt>
                <c:pt idx="3252">
                  <c:v>0.65053010602119166</c:v>
                </c:pt>
                <c:pt idx="3253">
                  <c:v>0.65073014602919321</c:v>
                </c:pt>
                <c:pt idx="3254">
                  <c:v>0.65093018603719477</c:v>
                </c:pt>
                <c:pt idx="3255">
                  <c:v>0.65113022604519633</c:v>
                </c:pt>
                <c:pt idx="3256">
                  <c:v>0.65133026605319788</c:v>
                </c:pt>
                <c:pt idx="3257">
                  <c:v>0.65153030606119944</c:v>
                </c:pt>
                <c:pt idx="3258">
                  <c:v>0.65173034606920099</c:v>
                </c:pt>
                <c:pt idx="3259">
                  <c:v>0.65193038607720255</c:v>
                </c:pt>
                <c:pt idx="3260">
                  <c:v>0.65213042608520411</c:v>
                </c:pt>
                <c:pt idx="3261">
                  <c:v>0.65233046609320566</c:v>
                </c:pt>
                <c:pt idx="3262">
                  <c:v>0.65253050610120722</c:v>
                </c:pt>
                <c:pt idx="3263">
                  <c:v>0.65273054610920878</c:v>
                </c:pt>
                <c:pt idx="3264">
                  <c:v>0.65293058611721033</c:v>
                </c:pt>
                <c:pt idx="3265">
                  <c:v>0.65313062612521189</c:v>
                </c:pt>
                <c:pt idx="3266">
                  <c:v>0.65333066613321344</c:v>
                </c:pt>
                <c:pt idx="3267">
                  <c:v>0.653530706141215</c:v>
                </c:pt>
                <c:pt idx="3268">
                  <c:v>0.65373074614921656</c:v>
                </c:pt>
                <c:pt idx="3269">
                  <c:v>0.65393078615721811</c:v>
                </c:pt>
                <c:pt idx="3270">
                  <c:v>0.65413082616521967</c:v>
                </c:pt>
                <c:pt idx="3271">
                  <c:v>0.65433086617322123</c:v>
                </c:pt>
                <c:pt idx="3272">
                  <c:v>0.65453090618122278</c:v>
                </c:pt>
                <c:pt idx="3273">
                  <c:v>0.65473094618922434</c:v>
                </c:pt>
                <c:pt idx="3274">
                  <c:v>0.6549309861972259</c:v>
                </c:pt>
                <c:pt idx="3275">
                  <c:v>0.65513102620522745</c:v>
                </c:pt>
                <c:pt idx="3276">
                  <c:v>0.65533106621322901</c:v>
                </c:pt>
                <c:pt idx="3277">
                  <c:v>0.65553110622123056</c:v>
                </c:pt>
                <c:pt idx="3278">
                  <c:v>0.65573114622923212</c:v>
                </c:pt>
                <c:pt idx="3279">
                  <c:v>0.65593118623723368</c:v>
                </c:pt>
                <c:pt idx="3280">
                  <c:v>0.65613122624523523</c:v>
                </c:pt>
                <c:pt idx="3281">
                  <c:v>0.65633126625323679</c:v>
                </c:pt>
                <c:pt idx="3282">
                  <c:v>0.65653130626123835</c:v>
                </c:pt>
                <c:pt idx="3283">
                  <c:v>0.6567313462692399</c:v>
                </c:pt>
                <c:pt idx="3284">
                  <c:v>0.65693138627724146</c:v>
                </c:pt>
                <c:pt idx="3285">
                  <c:v>0.65713142628524301</c:v>
                </c:pt>
                <c:pt idx="3286">
                  <c:v>0.65733146629324457</c:v>
                </c:pt>
                <c:pt idx="3287">
                  <c:v>0.65753150630124613</c:v>
                </c:pt>
                <c:pt idx="3288">
                  <c:v>0.65773154630924768</c:v>
                </c:pt>
                <c:pt idx="3289">
                  <c:v>0.65793158631724924</c:v>
                </c:pt>
                <c:pt idx="3290">
                  <c:v>0.6581316263252508</c:v>
                </c:pt>
                <c:pt idx="3291">
                  <c:v>0.65833166633325235</c:v>
                </c:pt>
                <c:pt idx="3292">
                  <c:v>0.65853170634125391</c:v>
                </c:pt>
                <c:pt idx="3293">
                  <c:v>0.65873174634925546</c:v>
                </c:pt>
                <c:pt idx="3294">
                  <c:v>0.65893178635725702</c:v>
                </c:pt>
                <c:pt idx="3295">
                  <c:v>0.65913182636525858</c:v>
                </c:pt>
                <c:pt idx="3296">
                  <c:v>0.65933186637326013</c:v>
                </c:pt>
                <c:pt idx="3297">
                  <c:v>0.65953190638126169</c:v>
                </c:pt>
                <c:pt idx="3298">
                  <c:v>0.65973194638926325</c:v>
                </c:pt>
                <c:pt idx="3299">
                  <c:v>0.6599319863972648</c:v>
                </c:pt>
                <c:pt idx="3300">
                  <c:v>0.66013202640526636</c:v>
                </c:pt>
                <c:pt idx="3301">
                  <c:v>0.66033206641326792</c:v>
                </c:pt>
                <c:pt idx="3302">
                  <c:v>0.66053210642126947</c:v>
                </c:pt>
                <c:pt idx="3303">
                  <c:v>0.66073214642927103</c:v>
                </c:pt>
                <c:pt idx="3304">
                  <c:v>0.66093218643727258</c:v>
                </c:pt>
                <c:pt idx="3305">
                  <c:v>0.66113222644527414</c:v>
                </c:pt>
                <c:pt idx="3306">
                  <c:v>0.6613322664532757</c:v>
                </c:pt>
                <c:pt idx="3307">
                  <c:v>0.66153230646127725</c:v>
                </c:pt>
                <c:pt idx="3308">
                  <c:v>0.66173234646927881</c:v>
                </c:pt>
                <c:pt idx="3309">
                  <c:v>0.66193238647728037</c:v>
                </c:pt>
                <c:pt idx="3310">
                  <c:v>0.66213242648528192</c:v>
                </c:pt>
                <c:pt idx="3311">
                  <c:v>0.66233246649328348</c:v>
                </c:pt>
                <c:pt idx="3312">
                  <c:v>0.66253250650128503</c:v>
                </c:pt>
                <c:pt idx="3313">
                  <c:v>0.66273254650928659</c:v>
                </c:pt>
                <c:pt idx="3314">
                  <c:v>0.66293258651728815</c:v>
                </c:pt>
                <c:pt idx="3315">
                  <c:v>0.6631326265252897</c:v>
                </c:pt>
                <c:pt idx="3316">
                  <c:v>0.66333266653329126</c:v>
                </c:pt>
                <c:pt idx="3317">
                  <c:v>0.66353270654129282</c:v>
                </c:pt>
                <c:pt idx="3318">
                  <c:v>0.66373274654929437</c:v>
                </c:pt>
                <c:pt idx="3319">
                  <c:v>0.66393278655729593</c:v>
                </c:pt>
                <c:pt idx="3320">
                  <c:v>0.66413282656529748</c:v>
                </c:pt>
                <c:pt idx="3321">
                  <c:v>0.66433286657329904</c:v>
                </c:pt>
                <c:pt idx="3322">
                  <c:v>0.6645329065813006</c:v>
                </c:pt>
                <c:pt idx="3323">
                  <c:v>0.66473294658930215</c:v>
                </c:pt>
                <c:pt idx="3324">
                  <c:v>0.66493298659730371</c:v>
                </c:pt>
                <c:pt idx="3325">
                  <c:v>0.66513302660530527</c:v>
                </c:pt>
                <c:pt idx="3326">
                  <c:v>0.66533306661330682</c:v>
                </c:pt>
                <c:pt idx="3327">
                  <c:v>0.66553310662130838</c:v>
                </c:pt>
                <c:pt idx="3328">
                  <c:v>0.66573314662930994</c:v>
                </c:pt>
                <c:pt idx="3329">
                  <c:v>0.66593318663731149</c:v>
                </c:pt>
                <c:pt idx="3330">
                  <c:v>0.66613322664531305</c:v>
                </c:pt>
                <c:pt idx="3331">
                  <c:v>0.6663332666533146</c:v>
                </c:pt>
                <c:pt idx="3332">
                  <c:v>0.66653330666131616</c:v>
                </c:pt>
                <c:pt idx="3333">
                  <c:v>0.66673334666931772</c:v>
                </c:pt>
                <c:pt idx="3334">
                  <c:v>0.66693338667731927</c:v>
                </c:pt>
                <c:pt idx="3335">
                  <c:v>0.66713342668532083</c:v>
                </c:pt>
                <c:pt idx="3336">
                  <c:v>0.66733346669332239</c:v>
                </c:pt>
                <c:pt idx="3337">
                  <c:v>0.66753350670132394</c:v>
                </c:pt>
                <c:pt idx="3338">
                  <c:v>0.6677335467093255</c:v>
                </c:pt>
                <c:pt idx="3339">
                  <c:v>0.66793358671732705</c:v>
                </c:pt>
                <c:pt idx="3340">
                  <c:v>0.66813362672532861</c:v>
                </c:pt>
                <c:pt idx="3341">
                  <c:v>0.66833366673333017</c:v>
                </c:pt>
                <c:pt idx="3342">
                  <c:v>0.66853370674133172</c:v>
                </c:pt>
                <c:pt idx="3343">
                  <c:v>0.66873374674933328</c:v>
                </c:pt>
                <c:pt idx="3344">
                  <c:v>0.66893378675733484</c:v>
                </c:pt>
                <c:pt idx="3345">
                  <c:v>0.66913382676533639</c:v>
                </c:pt>
                <c:pt idx="3346">
                  <c:v>0.66933386677333795</c:v>
                </c:pt>
                <c:pt idx="3347">
                  <c:v>0.66953390678133951</c:v>
                </c:pt>
                <c:pt idx="3348">
                  <c:v>0.66973394678934106</c:v>
                </c:pt>
                <c:pt idx="3349">
                  <c:v>0.66993398679734262</c:v>
                </c:pt>
                <c:pt idx="3350">
                  <c:v>0.67013402680534417</c:v>
                </c:pt>
                <c:pt idx="3351">
                  <c:v>0.67033406681334573</c:v>
                </c:pt>
                <c:pt idx="3352">
                  <c:v>0.67053410682134729</c:v>
                </c:pt>
                <c:pt idx="3353">
                  <c:v>0.67073414682934884</c:v>
                </c:pt>
                <c:pt idx="3354">
                  <c:v>0.6709341868373504</c:v>
                </c:pt>
                <c:pt idx="3355">
                  <c:v>0.67113422684535196</c:v>
                </c:pt>
                <c:pt idx="3356">
                  <c:v>0.67133426685335351</c:v>
                </c:pt>
                <c:pt idx="3357">
                  <c:v>0.67153430686135507</c:v>
                </c:pt>
                <c:pt idx="3358">
                  <c:v>0.67173434686935662</c:v>
                </c:pt>
                <c:pt idx="3359">
                  <c:v>0.67193438687735818</c:v>
                </c:pt>
                <c:pt idx="3360">
                  <c:v>0.67213442688535974</c:v>
                </c:pt>
                <c:pt idx="3361">
                  <c:v>0.67233446689336129</c:v>
                </c:pt>
                <c:pt idx="3362">
                  <c:v>0.67253450690136285</c:v>
                </c:pt>
                <c:pt idx="3363">
                  <c:v>0.67273454690936441</c:v>
                </c:pt>
                <c:pt idx="3364">
                  <c:v>0.67293458691736596</c:v>
                </c:pt>
                <c:pt idx="3365">
                  <c:v>0.67313462692536752</c:v>
                </c:pt>
                <c:pt idx="3366">
                  <c:v>0.67333466693336907</c:v>
                </c:pt>
                <c:pt idx="3367">
                  <c:v>0.67353470694137063</c:v>
                </c:pt>
                <c:pt idx="3368">
                  <c:v>0.67373474694937219</c:v>
                </c:pt>
                <c:pt idx="3369">
                  <c:v>0.67393478695737374</c:v>
                </c:pt>
                <c:pt idx="3370">
                  <c:v>0.6741348269653753</c:v>
                </c:pt>
                <c:pt idx="3371">
                  <c:v>0.67433486697337686</c:v>
                </c:pt>
                <c:pt idx="3372">
                  <c:v>0.67453490698137841</c:v>
                </c:pt>
                <c:pt idx="3373">
                  <c:v>0.67473494698937997</c:v>
                </c:pt>
                <c:pt idx="3374">
                  <c:v>0.67493498699738153</c:v>
                </c:pt>
                <c:pt idx="3375">
                  <c:v>0.67513502700538308</c:v>
                </c:pt>
                <c:pt idx="3376">
                  <c:v>0.67533506701338464</c:v>
                </c:pt>
                <c:pt idx="3377">
                  <c:v>0.67553510702138619</c:v>
                </c:pt>
                <c:pt idx="3378">
                  <c:v>0.67573514702938775</c:v>
                </c:pt>
                <c:pt idx="3379">
                  <c:v>0.67593518703738931</c:v>
                </c:pt>
                <c:pt idx="3380">
                  <c:v>0.67613522704539086</c:v>
                </c:pt>
                <c:pt idx="3381">
                  <c:v>0.67633526705339242</c:v>
                </c:pt>
                <c:pt idx="3382">
                  <c:v>0.67653530706139398</c:v>
                </c:pt>
                <c:pt idx="3383">
                  <c:v>0.67673534706939553</c:v>
                </c:pt>
                <c:pt idx="3384">
                  <c:v>0.67693538707739709</c:v>
                </c:pt>
                <c:pt idx="3385">
                  <c:v>0.67713542708539864</c:v>
                </c:pt>
                <c:pt idx="3386">
                  <c:v>0.6773354670934002</c:v>
                </c:pt>
                <c:pt idx="3387">
                  <c:v>0.67753550710140176</c:v>
                </c:pt>
                <c:pt idx="3388">
                  <c:v>0.67773554710940331</c:v>
                </c:pt>
                <c:pt idx="3389">
                  <c:v>0.67793558711740487</c:v>
                </c:pt>
                <c:pt idx="3390">
                  <c:v>0.67813562712540643</c:v>
                </c:pt>
                <c:pt idx="3391">
                  <c:v>0.67833566713340798</c:v>
                </c:pt>
                <c:pt idx="3392">
                  <c:v>0.67853570714140954</c:v>
                </c:pt>
                <c:pt idx="3393">
                  <c:v>0.67873574714941109</c:v>
                </c:pt>
                <c:pt idx="3394">
                  <c:v>0.67893578715741265</c:v>
                </c:pt>
                <c:pt idx="3395">
                  <c:v>0.67913582716541421</c:v>
                </c:pt>
                <c:pt idx="3396">
                  <c:v>0.67933586717341576</c:v>
                </c:pt>
                <c:pt idx="3397">
                  <c:v>0.67953590718141732</c:v>
                </c:pt>
                <c:pt idx="3398">
                  <c:v>0.67973594718941888</c:v>
                </c:pt>
                <c:pt idx="3399">
                  <c:v>0.67993598719742043</c:v>
                </c:pt>
                <c:pt idx="3400">
                  <c:v>0.68013602720542199</c:v>
                </c:pt>
                <c:pt idx="3401">
                  <c:v>0.68033606721342355</c:v>
                </c:pt>
                <c:pt idx="3402">
                  <c:v>0.6805361072214251</c:v>
                </c:pt>
                <c:pt idx="3403">
                  <c:v>0.68073614722942666</c:v>
                </c:pt>
                <c:pt idx="3404">
                  <c:v>0.68093618723742821</c:v>
                </c:pt>
                <c:pt idx="3405">
                  <c:v>0.68113622724542977</c:v>
                </c:pt>
                <c:pt idx="3406">
                  <c:v>0.68133626725343133</c:v>
                </c:pt>
                <c:pt idx="3407">
                  <c:v>0.68153630726143288</c:v>
                </c:pt>
                <c:pt idx="3408">
                  <c:v>0.68173634726943444</c:v>
                </c:pt>
                <c:pt idx="3409">
                  <c:v>0.681936387277436</c:v>
                </c:pt>
                <c:pt idx="3410">
                  <c:v>0.68213642728543755</c:v>
                </c:pt>
                <c:pt idx="3411">
                  <c:v>0.68233646729343911</c:v>
                </c:pt>
                <c:pt idx="3412">
                  <c:v>0.68253650730144066</c:v>
                </c:pt>
                <c:pt idx="3413">
                  <c:v>0.68273654730944222</c:v>
                </c:pt>
                <c:pt idx="3414">
                  <c:v>0.68293658731744378</c:v>
                </c:pt>
                <c:pt idx="3415">
                  <c:v>0.68313662732544533</c:v>
                </c:pt>
                <c:pt idx="3416">
                  <c:v>0.68333666733344689</c:v>
                </c:pt>
                <c:pt idx="3417">
                  <c:v>0.68353670734144845</c:v>
                </c:pt>
                <c:pt idx="3418">
                  <c:v>0.68373674734945</c:v>
                </c:pt>
                <c:pt idx="3419">
                  <c:v>0.68393678735745156</c:v>
                </c:pt>
                <c:pt idx="3420">
                  <c:v>0.68413682736545312</c:v>
                </c:pt>
                <c:pt idx="3421">
                  <c:v>0.68433686737345467</c:v>
                </c:pt>
                <c:pt idx="3422">
                  <c:v>0.68453690738145623</c:v>
                </c:pt>
                <c:pt idx="3423">
                  <c:v>0.68473694738945778</c:v>
                </c:pt>
                <c:pt idx="3424">
                  <c:v>0.68493698739745934</c:v>
                </c:pt>
                <c:pt idx="3425">
                  <c:v>0.6851370274054609</c:v>
                </c:pt>
                <c:pt idx="3426">
                  <c:v>0.68533706741346245</c:v>
                </c:pt>
                <c:pt idx="3427">
                  <c:v>0.68553710742146401</c:v>
                </c:pt>
                <c:pt idx="3428">
                  <c:v>0.68573714742946557</c:v>
                </c:pt>
                <c:pt idx="3429">
                  <c:v>0.68593718743746712</c:v>
                </c:pt>
                <c:pt idx="3430">
                  <c:v>0.68613722744546868</c:v>
                </c:pt>
                <c:pt idx="3431">
                  <c:v>0.68633726745347023</c:v>
                </c:pt>
                <c:pt idx="3432">
                  <c:v>0.68653730746147179</c:v>
                </c:pt>
                <c:pt idx="3433">
                  <c:v>0.68673734746947335</c:v>
                </c:pt>
                <c:pt idx="3434">
                  <c:v>0.6869373874774749</c:v>
                </c:pt>
                <c:pt idx="3435">
                  <c:v>0.68713742748547646</c:v>
                </c:pt>
                <c:pt idx="3436">
                  <c:v>0.68733746749347802</c:v>
                </c:pt>
                <c:pt idx="3437">
                  <c:v>0.68753750750147957</c:v>
                </c:pt>
                <c:pt idx="3438">
                  <c:v>0.68773754750948113</c:v>
                </c:pt>
                <c:pt idx="3439">
                  <c:v>0.68793758751748268</c:v>
                </c:pt>
                <c:pt idx="3440">
                  <c:v>0.68813762752548424</c:v>
                </c:pt>
                <c:pt idx="3441">
                  <c:v>0.6883376675334858</c:v>
                </c:pt>
                <c:pt idx="3442">
                  <c:v>0.68853770754148735</c:v>
                </c:pt>
                <c:pt idx="3443">
                  <c:v>0.68873774754948891</c:v>
                </c:pt>
                <c:pt idx="3444">
                  <c:v>0.68893778755749047</c:v>
                </c:pt>
                <c:pt idx="3445">
                  <c:v>0.68913782756549202</c:v>
                </c:pt>
                <c:pt idx="3446">
                  <c:v>0.68933786757349358</c:v>
                </c:pt>
                <c:pt idx="3447">
                  <c:v>0.68953790758149514</c:v>
                </c:pt>
                <c:pt idx="3448">
                  <c:v>0.68973794758949669</c:v>
                </c:pt>
                <c:pt idx="3449">
                  <c:v>0.68993798759749825</c:v>
                </c:pt>
                <c:pt idx="3450">
                  <c:v>0.6901380276054998</c:v>
                </c:pt>
                <c:pt idx="3451">
                  <c:v>0.69033806761350136</c:v>
                </c:pt>
                <c:pt idx="3452">
                  <c:v>0.69053810762150292</c:v>
                </c:pt>
                <c:pt idx="3453">
                  <c:v>0.69073814762950447</c:v>
                </c:pt>
                <c:pt idx="3454">
                  <c:v>0.69093818763750603</c:v>
                </c:pt>
                <c:pt idx="3455">
                  <c:v>0.69113822764550759</c:v>
                </c:pt>
                <c:pt idx="3456">
                  <c:v>0.69133826765350914</c:v>
                </c:pt>
                <c:pt idx="3457">
                  <c:v>0.6915383076615107</c:v>
                </c:pt>
                <c:pt idx="3458">
                  <c:v>0.69173834766951225</c:v>
                </c:pt>
                <c:pt idx="3459">
                  <c:v>0.69193838767751381</c:v>
                </c:pt>
                <c:pt idx="3460">
                  <c:v>0.69213842768551537</c:v>
                </c:pt>
                <c:pt idx="3461">
                  <c:v>0.69233846769351692</c:v>
                </c:pt>
                <c:pt idx="3462">
                  <c:v>0.69253850770151848</c:v>
                </c:pt>
                <c:pt idx="3463">
                  <c:v>0.69273854770952004</c:v>
                </c:pt>
                <c:pt idx="3464">
                  <c:v>0.69293858771752159</c:v>
                </c:pt>
                <c:pt idx="3465">
                  <c:v>0.69313862772552315</c:v>
                </c:pt>
                <c:pt idx="3466">
                  <c:v>0.69333866773352471</c:v>
                </c:pt>
                <c:pt idx="3467">
                  <c:v>0.69353870774152626</c:v>
                </c:pt>
                <c:pt idx="3468">
                  <c:v>0.69373874774952782</c:v>
                </c:pt>
                <c:pt idx="3469">
                  <c:v>0.69393878775752937</c:v>
                </c:pt>
                <c:pt idx="3470">
                  <c:v>0.69413882776553093</c:v>
                </c:pt>
                <c:pt idx="3471">
                  <c:v>0.69433886777353249</c:v>
                </c:pt>
                <c:pt idx="3472">
                  <c:v>0.69453890778153404</c:v>
                </c:pt>
                <c:pt idx="3473">
                  <c:v>0.6947389477895356</c:v>
                </c:pt>
                <c:pt idx="3474">
                  <c:v>0.69493898779753716</c:v>
                </c:pt>
                <c:pt idx="3475">
                  <c:v>0.69513902780553871</c:v>
                </c:pt>
                <c:pt idx="3476">
                  <c:v>0.69533906781354027</c:v>
                </c:pt>
                <c:pt idx="3477">
                  <c:v>0.69553910782154182</c:v>
                </c:pt>
                <c:pt idx="3478">
                  <c:v>0.69573914782954338</c:v>
                </c:pt>
                <c:pt idx="3479">
                  <c:v>0.69593918783754494</c:v>
                </c:pt>
                <c:pt idx="3480">
                  <c:v>0.69613922784554649</c:v>
                </c:pt>
                <c:pt idx="3481">
                  <c:v>0.69633926785354805</c:v>
                </c:pt>
                <c:pt idx="3482">
                  <c:v>0.69653930786154961</c:v>
                </c:pt>
                <c:pt idx="3483">
                  <c:v>0.69673934786955116</c:v>
                </c:pt>
                <c:pt idx="3484">
                  <c:v>0.69693938787755272</c:v>
                </c:pt>
                <c:pt idx="3485">
                  <c:v>0.69713942788555427</c:v>
                </c:pt>
                <c:pt idx="3486">
                  <c:v>0.69733946789355583</c:v>
                </c:pt>
                <c:pt idx="3487">
                  <c:v>0.69753950790155739</c:v>
                </c:pt>
                <c:pt idx="3488">
                  <c:v>0.69773954790955894</c:v>
                </c:pt>
                <c:pt idx="3489">
                  <c:v>0.6979395879175605</c:v>
                </c:pt>
                <c:pt idx="3490">
                  <c:v>0.69813962792556206</c:v>
                </c:pt>
                <c:pt idx="3491">
                  <c:v>0.69833966793356361</c:v>
                </c:pt>
                <c:pt idx="3492">
                  <c:v>0.69853970794156517</c:v>
                </c:pt>
                <c:pt idx="3493">
                  <c:v>0.69873974794956673</c:v>
                </c:pt>
                <c:pt idx="3494">
                  <c:v>0.69893978795756828</c:v>
                </c:pt>
                <c:pt idx="3495">
                  <c:v>0.69913982796556984</c:v>
                </c:pt>
                <c:pt idx="3496">
                  <c:v>0.69933986797357139</c:v>
                </c:pt>
                <c:pt idx="3497">
                  <c:v>0.69953990798157295</c:v>
                </c:pt>
                <c:pt idx="3498">
                  <c:v>0.69973994798957451</c:v>
                </c:pt>
                <c:pt idx="3499">
                  <c:v>0.69993998799757606</c:v>
                </c:pt>
                <c:pt idx="3500">
                  <c:v>0.70014002800557762</c:v>
                </c:pt>
                <c:pt idx="3501">
                  <c:v>0.70034006801357918</c:v>
                </c:pt>
                <c:pt idx="3502">
                  <c:v>0.70054010802158073</c:v>
                </c:pt>
                <c:pt idx="3503">
                  <c:v>0.70074014802958229</c:v>
                </c:pt>
                <c:pt idx="3504">
                  <c:v>0.70094018803758384</c:v>
                </c:pt>
                <c:pt idx="3505">
                  <c:v>0.7011402280455854</c:v>
                </c:pt>
                <c:pt idx="3506">
                  <c:v>0.70134026805358696</c:v>
                </c:pt>
                <c:pt idx="3507">
                  <c:v>0.70154030806158851</c:v>
                </c:pt>
                <c:pt idx="3508">
                  <c:v>0.70174034806959007</c:v>
                </c:pt>
                <c:pt idx="3509">
                  <c:v>0.70194038807759163</c:v>
                </c:pt>
                <c:pt idx="3510">
                  <c:v>0.70214042808559318</c:v>
                </c:pt>
                <c:pt idx="3511">
                  <c:v>0.70234046809359474</c:v>
                </c:pt>
                <c:pt idx="3512">
                  <c:v>0.70254050810159629</c:v>
                </c:pt>
                <c:pt idx="3513">
                  <c:v>0.70274054810959785</c:v>
                </c:pt>
                <c:pt idx="3514">
                  <c:v>0.70294058811759941</c:v>
                </c:pt>
                <c:pt idx="3515">
                  <c:v>0.70314062812560096</c:v>
                </c:pt>
                <c:pt idx="3516">
                  <c:v>0.70334066813360252</c:v>
                </c:pt>
                <c:pt idx="3517">
                  <c:v>0.70354070814160408</c:v>
                </c:pt>
                <c:pt idx="3518">
                  <c:v>0.70374074814960563</c:v>
                </c:pt>
                <c:pt idx="3519">
                  <c:v>0.70394078815760719</c:v>
                </c:pt>
                <c:pt idx="3520">
                  <c:v>0.70414082816560875</c:v>
                </c:pt>
                <c:pt idx="3521">
                  <c:v>0.7043408681736103</c:v>
                </c:pt>
                <c:pt idx="3522">
                  <c:v>0.70454090818161186</c:v>
                </c:pt>
                <c:pt idx="3523">
                  <c:v>0.70474094818961341</c:v>
                </c:pt>
                <c:pt idx="3524">
                  <c:v>0.70494098819761497</c:v>
                </c:pt>
                <c:pt idx="3525">
                  <c:v>0.70514102820561653</c:v>
                </c:pt>
                <c:pt idx="3526">
                  <c:v>0.70534106821361808</c:v>
                </c:pt>
                <c:pt idx="3527">
                  <c:v>0.70554110822161964</c:v>
                </c:pt>
                <c:pt idx="3528">
                  <c:v>0.7057411482296212</c:v>
                </c:pt>
                <c:pt idx="3529">
                  <c:v>0.70594118823762275</c:v>
                </c:pt>
                <c:pt idx="3530">
                  <c:v>0.70614122824562431</c:v>
                </c:pt>
                <c:pt idx="3531">
                  <c:v>0.70634126825362586</c:v>
                </c:pt>
                <c:pt idx="3532">
                  <c:v>0.70654130826162742</c:v>
                </c:pt>
                <c:pt idx="3533">
                  <c:v>0.70674134826962898</c:v>
                </c:pt>
                <c:pt idx="3534">
                  <c:v>0.70694138827763053</c:v>
                </c:pt>
                <c:pt idx="3535">
                  <c:v>0.70714142828563209</c:v>
                </c:pt>
                <c:pt idx="3536">
                  <c:v>0.70734146829363365</c:v>
                </c:pt>
                <c:pt idx="3537">
                  <c:v>0.7075415083016352</c:v>
                </c:pt>
                <c:pt idx="3538">
                  <c:v>0.70774154830963676</c:v>
                </c:pt>
                <c:pt idx="3539">
                  <c:v>0.70794158831763832</c:v>
                </c:pt>
                <c:pt idx="3540">
                  <c:v>0.70814162832563987</c:v>
                </c:pt>
                <c:pt idx="3541">
                  <c:v>0.70834166833364143</c:v>
                </c:pt>
                <c:pt idx="3542">
                  <c:v>0.70854170834164298</c:v>
                </c:pt>
                <c:pt idx="3543">
                  <c:v>0.70874174834964454</c:v>
                </c:pt>
                <c:pt idx="3544">
                  <c:v>0.7089417883576461</c:v>
                </c:pt>
                <c:pt idx="3545">
                  <c:v>0.70914182836564765</c:v>
                </c:pt>
                <c:pt idx="3546">
                  <c:v>0.70934186837364921</c:v>
                </c:pt>
                <c:pt idx="3547">
                  <c:v>0.70954190838165077</c:v>
                </c:pt>
                <c:pt idx="3548">
                  <c:v>0.70974194838965232</c:v>
                </c:pt>
                <c:pt idx="3549">
                  <c:v>0.70994198839765388</c:v>
                </c:pt>
                <c:pt idx="3550">
                  <c:v>0.71014202840565543</c:v>
                </c:pt>
                <c:pt idx="3551">
                  <c:v>0.71034206841365699</c:v>
                </c:pt>
                <c:pt idx="3552">
                  <c:v>0.71054210842165855</c:v>
                </c:pt>
                <c:pt idx="3553">
                  <c:v>0.7107421484296601</c:v>
                </c:pt>
                <c:pt idx="3554">
                  <c:v>0.71094218843766166</c:v>
                </c:pt>
                <c:pt idx="3555">
                  <c:v>0.71114222844566322</c:v>
                </c:pt>
                <c:pt idx="3556">
                  <c:v>0.71134226845366477</c:v>
                </c:pt>
                <c:pt idx="3557">
                  <c:v>0.71154230846166633</c:v>
                </c:pt>
                <c:pt idx="3558">
                  <c:v>0.71174234846966788</c:v>
                </c:pt>
                <c:pt idx="3559">
                  <c:v>0.71194238847766944</c:v>
                </c:pt>
                <c:pt idx="3560">
                  <c:v>0.712142428485671</c:v>
                </c:pt>
                <c:pt idx="3561">
                  <c:v>0.71234246849367255</c:v>
                </c:pt>
                <c:pt idx="3562">
                  <c:v>0.71254250850167411</c:v>
                </c:pt>
                <c:pt idx="3563">
                  <c:v>0.71274254850967567</c:v>
                </c:pt>
                <c:pt idx="3564">
                  <c:v>0.71294258851767722</c:v>
                </c:pt>
                <c:pt idx="3565">
                  <c:v>0.71314262852567878</c:v>
                </c:pt>
                <c:pt idx="3566">
                  <c:v>0.71334266853368034</c:v>
                </c:pt>
                <c:pt idx="3567">
                  <c:v>0.71354270854168189</c:v>
                </c:pt>
                <c:pt idx="3568">
                  <c:v>0.71374274854968345</c:v>
                </c:pt>
                <c:pt idx="3569">
                  <c:v>0.713942788557685</c:v>
                </c:pt>
                <c:pt idx="3570">
                  <c:v>0.71414282856568656</c:v>
                </c:pt>
                <c:pt idx="3571">
                  <c:v>0.71434286857368812</c:v>
                </c:pt>
                <c:pt idx="3572">
                  <c:v>0.71454290858168967</c:v>
                </c:pt>
                <c:pt idx="3573">
                  <c:v>0.71474294858969123</c:v>
                </c:pt>
                <c:pt idx="3574">
                  <c:v>0.71494298859769279</c:v>
                </c:pt>
                <c:pt idx="3575">
                  <c:v>0.71514302860569434</c:v>
                </c:pt>
                <c:pt idx="3576">
                  <c:v>0.7153430686136959</c:v>
                </c:pt>
                <c:pt idx="3577">
                  <c:v>0.71554310862169745</c:v>
                </c:pt>
                <c:pt idx="3578">
                  <c:v>0.71574314862969901</c:v>
                </c:pt>
                <c:pt idx="3579">
                  <c:v>0.71594318863770057</c:v>
                </c:pt>
                <c:pt idx="3580">
                  <c:v>0.71614322864570212</c:v>
                </c:pt>
                <c:pt idx="3581">
                  <c:v>0.71634326865370368</c:v>
                </c:pt>
                <c:pt idx="3582">
                  <c:v>0.71654330866170524</c:v>
                </c:pt>
                <c:pt idx="3583">
                  <c:v>0.71674334866970679</c:v>
                </c:pt>
                <c:pt idx="3584">
                  <c:v>0.71694338867770835</c:v>
                </c:pt>
                <c:pt idx="3585">
                  <c:v>0.7171434286857099</c:v>
                </c:pt>
                <c:pt idx="3586">
                  <c:v>0.71734346869371146</c:v>
                </c:pt>
                <c:pt idx="3587">
                  <c:v>0.71754350870171302</c:v>
                </c:pt>
                <c:pt idx="3588">
                  <c:v>0.71774354870971457</c:v>
                </c:pt>
                <c:pt idx="3589">
                  <c:v>0.71794358871771613</c:v>
                </c:pt>
                <c:pt idx="3590">
                  <c:v>0.71814362872571769</c:v>
                </c:pt>
                <c:pt idx="3591">
                  <c:v>0.71834366873371924</c:v>
                </c:pt>
                <c:pt idx="3592">
                  <c:v>0.7185437087417208</c:v>
                </c:pt>
                <c:pt idx="3593">
                  <c:v>0.71874374874972236</c:v>
                </c:pt>
                <c:pt idx="3594">
                  <c:v>0.71894378875772391</c:v>
                </c:pt>
                <c:pt idx="3595">
                  <c:v>0.71914382876572547</c:v>
                </c:pt>
                <c:pt idx="3596">
                  <c:v>0.71934386877372702</c:v>
                </c:pt>
                <c:pt idx="3597">
                  <c:v>0.71954390878172858</c:v>
                </c:pt>
                <c:pt idx="3598">
                  <c:v>0.71974394878973014</c:v>
                </c:pt>
                <c:pt idx="3599">
                  <c:v>0.71994398879773169</c:v>
                </c:pt>
                <c:pt idx="3600">
                  <c:v>0.72014402880573325</c:v>
                </c:pt>
                <c:pt idx="3601">
                  <c:v>0.72034406881373481</c:v>
                </c:pt>
                <c:pt idx="3602">
                  <c:v>0.72054410882173636</c:v>
                </c:pt>
                <c:pt idx="3603">
                  <c:v>0.72074414882973792</c:v>
                </c:pt>
                <c:pt idx="3604">
                  <c:v>0.72094418883773947</c:v>
                </c:pt>
                <c:pt idx="3605">
                  <c:v>0.72114422884574103</c:v>
                </c:pt>
                <c:pt idx="3606">
                  <c:v>0.72134426885374259</c:v>
                </c:pt>
                <c:pt idx="3607">
                  <c:v>0.72154430886174414</c:v>
                </c:pt>
                <c:pt idx="3608">
                  <c:v>0.7217443488697457</c:v>
                </c:pt>
                <c:pt idx="3609">
                  <c:v>0.72194438887774726</c:v>
                </c:pt>
                <c:pt idx="3610">
                  <c:v>0.72214442888574881</c:v>
                </c:pt>
                <c:pt idx="3611">
                  <c:v>0.72234446889375037</c:v>
                </c:pt>
                <c:pt idx="3612">
                  <c:v>0.72254450890175193</c:v>
                </c:pt>
                <c:pt idx="3613">
                  <c:v>0.72274454890975348</c:v>
                </c:pt>
                <c:pt idx="3614">
                  <c:v>0.72294458891775504</c:v>
                </c:pt>
                <c:pt idx="3615">
                  <c:v>0.72314462892575659</c:v>
                </c:pt>
                <c:pt idx="3616">
                  <c:v>0.72334466893375815</c:v>
                </c:pt>
                <c:pt idx="3617">
                  <c:v>0.72354470894175971</c:v>
                </c:pt>
                <c:pt idx="3618">
                  <c:v>0.72374474894976126</c:v>
                </c:pt>
                <c:pt idx="3619">
                  <c:v>0.72394478895776282</c:v>
                </c:pt>
                <c:pt idx="3620">
                  <c:v>0.72414482896576438</c:v>
                </c:pt>
                <c:pt idx="3621">
                  <c:v>0.72434486897376593</c:v>
                </c:pt>
                <c:pt idx="3622">
                  <c:v>0.72454490898176749</c:v>
                </c:pt>
                <c:pt idx="3623">
                  <c:v>0.72474494898976904</c:v>
                </c:pt>
                <c:pt idx="3624">
                  <c:v>0.7249449889977706</c:v>
                </c:pt>
                <c:pt idx="3625">
                  <c:v>0.72514502900577216</c:v>
                </c:pt>
                <c:pt idx="3626">
                  <c:v>0.72534506901377371</c:v>
                </c:pt>
                <c:pt idx="3627">
                  <c:v>0.72554510902177527</c:v>
                </c:pt>
                <c:pt idx="3628">
                  <c:v>0.72574514902977683</c:v>
                </c:pt>
                <c:pt idx="3629">
                  <c:v>0.72594518903777838</c:v>
                </c:pt>
                <c:pt idx="3630">
                  <c:v>0.72614522904577994</c:v>
                </c:pt>
                <c:pt idx="3631">
                  <c:v>0.72634526905378149</c:v>
                </c:pt>
                <c:pt idx="3632">
                  <c:v>0.72654530906178305</c:v>
                </c:pt>
                <c:pt idx="3633">
                  <c:v>0.72674534906978461</c:v>
                </c:pt>
                <c:pt idx="3634">
                  <c:v>0.72694538907778616</c:v>
                </c:pt>
                <c:pt idx="3635">
                  <c:v>0.72714542908578772</c:v>
                </c:pt>
                <c:pt idx="3636">
                  <c:v>0.72734546909378928</c:v>
                </c:pt>
                <c:pt idx="3637">
                  <c:v>0.72754550910179083</c:v>
                </c:pt>
                <c:pt idx="3638">
                  <c:v>0.72774554910979239</c:v>
                </c:pt>
                <c:pt idx="3639">
                  <c:v>0.72794558911779395</c:v>
                </c:pt>
                <c:pt idx="3640">
                  <c:v>0.7281456291257955</c:v>
                </c:pt>
                <c:pt idx="3641">
                  <c:v>0.72834566913379706</c:v>
                </c:pt>
                <c:pt idx="3642">
                  <c:v>0.72854570914179861</c:v>
                </c:pt>
                <c:pt idx="3643">
                  <c:v>0.72874574914980017</c:v>
                </c:pt>
                <c:pt idx="3644">
                  <c:v>0.72894578915780173</c:v>
                </c:pt>
                <c:pt idx="3645">
                  <c:v>0.72914582916580328</c:v>
                </c:pt>
                <c:pt idx="3646">
                  <c:v>0.72934586917380484</c:v>
                </c:pt>
                <c:pt idx="3647">
                  <c:v>0.7295459091818064</c:v>
                </c:pt>
                <c:pt idx="3648">
                  <c:v>0.72974594918980795</c:v>
                </c:pt>
                <c:pt idx="3649">
                  <c:v>0.72994598919780951</c:v>
                </c:pt>
                <c:pt idx="3650">
                  <c:v>0.73014602920581106</c:v>
                </c:pt>
                <c:pt idx="3651">
                  <c:v>0.73034606921381262</c:v>
                </c:pt>
                <c:pt idx="3652">
                  <c:v>0.73054610922181418</c:v>
                </c:pt>
                <c:pt idx="3653">
                  <c:v>0.73074614922981573</c:v>
                </c:pt>
                <c:pt idx="3654">
                  <c:v>0.73094618923781729</c:v>
                </c:pt>
                <c:pt idx="3655">
                  <c:v>0.73114622924581885</c:v>
                </c:pt>
                <c:pt idx="3656">
                  <c:v>0.7313462692538204</c:v>
                </c:pt>
                <c:pt idx="3657">
                  <c:v>0.73154630926182196</c:v>
                </c:pt>
                <c:pt idx="3658">
                  <c:v>0.73174634926982352</c:v>
                </c:pt>
                <c:pt idx="3659">
                  <c:v>0.73194638927782507</c:v>
                </c:pt>
                <c:pt idx="3660">
                  <c:v>0.73214642928582663</c:v>
                </c:pt>
                <c:pt idx="3661">
                  <c:v>0.73234646929382818</c:v>
                </c:pt>
                <c:pt idx="3662">
                  <c:v>0.73254650930182974</c:v>
                </c:pt>
                <c:pt idx="3663">
                  <c:v>0.7327465493098313</c:v>
                </c:pt>
                <c:pt idx="3664">
                  <c:v>0.73294658931783285</c:v>
                </c:pt>
                <c:pt idx="3665">
                  <c:v>0.73314662932583441</c:v>
                </c:pt>
                <c:pt idx="3666">
                  <c:v>0.73334666933383597</c:v>
                </c:pt>
                <c:pt idx="3667">
                  <c:v>0.73354670934183752</c:v>
                </c:pt>
                <c:pt idx="3668">
                  <c:v>0.73374674934983908</c:v>
                </c:pt>
                <c:pt idx="3669">
                  <c:v>0.73394678935784063</c:v>
                </c:pt>
                <c:pt idx="3670">
                  <c:v>0.73414682936584219</c:v>
                </c:pt>
                <c:pt idx="3671">
                  <c:v>0.73434686937384375</c:v>
                </c:pt>
                <c:pt idx="3672">
                  <c:v>0.7345469093818453</c:v>
                </c:pt>
                <c:pt idx="3673">
                  <c:v>0.73474694938984686</c:v>
                </c:pt>
                <c:pt idx="3674">
                  <c:v>0.73494698939784842</c:v>
                </c:pt>
                <c:pt idx="3675">
                  <c:v>0.73514702940584997</c:v>
                </c:pt>
                <c:pt idx="3676">
                  <c:v>0.73534706941385153</c:v>
                </c:pt>
                <c:pt idx="3677">
                  <c:v>0.73554710942185308</c:v>
                </c:pt>
                <c:pt idx="3678">
                  <c:v>0.73574714942985464</c:v>
                </c:pt>
                <c:pt idx="3679">
                  <c:v>0.7359471894378562</c:v>
                </c:pt>
                <c:pt idx="3680">
                  <c:v>0.73614722944585775</c:v>
                </c:pt>
                <c:pt idx="3681">
                  <c:v>0.73634726945385931</c:v>
                </c:pt>
                <c:pt idx="3682">
                  <c:v>0.73654730946186087</c:v>
                </c:pt>
                <c:pt idx="3683">
                  <c:v>0.73674734946986242</c:v>
                </c:pt>
                <c:pt idx="3684">
                  <c:v>0.73694738947786398</c:v>
                </c:pt>
                <c:pt idx="3685">
                  <c:v>0.73714742948586554</c:v>
                </c:pt>
                <c:pt idx="3686">
                  <c:v>0.73734746949386709</c:v>
                </c:pt>
                <c:pt idx="3687">
                  <c:v>0.73754750950186865</c:v>
                </c:pt>
                <c:pt idx="3688">
                  <c:v>0.7377475495098702</c:v>
                </c:pt>
                <c:pt idx="3689">
                  <c:v>0.73794758951787176</c:v>
                </c:pt>
                <c:pt idx="3690">
                  <c:v>0.73814762952587332</c:v>
                </c:pt>
                <c:pt idx="3691">
                  <c:v>0.73834766953387487</c:v>
                </c:pt>
                <c:pt idx="3692">
                  <c:v>0.73854770954187643</c:v>
                </c:pt>
                <c:pt idx="3693">
                  <c:v>0.73874774954987799</c:v>
                </c:pt>
                <c:pt idx="3694">
                  <c:v>0.73894778955787954</c:v>
                </c:pt>
                <c:pt idx="3695">
                  <c:v>0.7391478295658811</c:v>
                </c:pt>
                <c:pt idx="3696">
                  <c:v>0.73934786957388265</c:v>
                </c:pt>
                <c:pt idx="3697">
                  <c:v>0.73954790958188421</c:v>
                </c:pt>
                <c:pt idx="3698">
                  <c:v>0.73974794958988577</c:v>
                </c:pt>
                <c:pt idx="3699">
                  <c:v>0.73994798959788732</c:v>
                </c:pt>
                <c:pt idx="3700">
                  <c:v>0.74014802960588888</c:v>
                </c:pt>
                <c:pt idx="3701">
                  <c:v>0.74034806961389044</c:v>
                </c:pt>
                <c:pt idx="3702">
                  <c:v>0.74054810962189199</c:v>
                </c:pt>
                <c:pt idx="3703">
                  <c:v>0.74074814962989355</c:v>
                </c:pt>
                <c:pt idx="3704">
                  <c:v>0.7409481896378951</c:v>
                </c:pt>
                <c:pt idx="3705">
                  <c:v>0.74114822964589666</c:v>
                </c:pt>
                <c:pt idx="3706">
                  <c:v>0.74134826965389822</c:v>
                </c:pt>
                <c:pt idx="3707">
                  <c:v>0.74154830966189977</c:v>
                </c:pt>
                <c:pt idx="3708">
                  <c:v>0.74174834966990133</c:v>
                </c:pt>
                <c:pt idx="3709">
                  <c:v>0.74194838967790289</c:v>
                </c:pt>
                <c:pt idx="3710">
                  <c:v>0.74214842968590444</c:v>
                </c:pt>
                <c:pt idx="3711">
                  <c:v>0.742348469693906</c:v>
                </c:pt>
                <c:pt idx="3712">
                  <c:v>0.74254850970190756</c:v>
                </c:pt>
                <c:pt idx="3713">
                  <c:v>0.74274854970990911</c:v>
                </c:pt>
                <c:pt idx="3714">
                  <c:v>0.74294858971791067</c:v>
                </c:pt>
                <c:pt idx="3715">
                  <c:v>0.74314862972591222</c:v>
                </c:pt>
                <c:pt idx="3716">
                  <c:v>0.74334866973391378</c:v>
                </c:pt>
                <c:pt idx="3717">
                  <c:v>0.74354870974191534</c:v>
                </c:pt>
                <c:pt idx="3718">
                  <c:v>0.74374874974991689</c:v>
                </c:pt>
                <c:pt idx="3719">
                  <c:v>0.74394878975791845</c:v>
                </c:pt>
                <c:pt idx="3720">
                  <c:v>0.74414882976592001</c:v>
                </c:pt>
                <c:pt idx="3721">
                  <c:v>0.74434886977392156</c:v>
                </c:pt>
                <c:pt idx="3722">
                  <c:v>0.74454890978192312</c:v>
                </c:pt>
                <c:pt idx="3723">
                  <c:v>0.74474894978992467</c:v>
                </c:pt>
                <c:pt idx="3724">
                  <c:v>0.74494898979792623</c:v>
                </c:pt>
                <c:pt idx="3725">
                  <c:v>0.74514902980592779</c:v>
                </c:pt>
                <c:pt idx="3726">
                  <c:v>0.74534906981392934</c:v>
                </c:pt>
                <c:pt idx="3727">
                  <c:v>0.7455491098219309</c:v>
                </c:pt>
                <c:pt idx="3728">
                  <c:v>0.74574914982993246</c:v>
                </c:pt>
                <c:pt idx="3729">
                  <c:v>0.74594918983793401</c:v>
                </c:pt>
                <c:pt idx="3730">
                  <c:v>0.74614922984593557</c:v>
                </c:pt>
                <c:pt idx="3731">
                  <c:v>0.74634926985393713</c:v>
                </c:pt>
                <c:pt idx="3732">
                  <c:v>0.74654930986193868</c:v>
                </c:pt>
                <c:pt idx="3733">
                  <c:v>0.74674934986994024</c:v>
                </c:pt>
                <c:pt idx="3734">
                  <c:v>0.74694938987794179</c:v>
                </c:pt>
                <c:pt idx="3735">
                  <c:v>0.74714942988594335</c:v>
                </c:pt>
                <c:pt idx="3736">
                  <c:v>0.74734946989394491</c:v>
                </c:pt>
                <c:pt idx="3737">
                  <c:v>0.74754950990194646</c:v>
                </c:pt>
                <c:pt idx="3738">
                  <c:v>0.74774954990994802</c:v>
                </c:pt>
                <c:pt idx="3739">
                  <c:v>0.74794958991794958</c:v>
                </c:pt>
                <c:pt idx="3740">
                  <c:v>0.74814962992595113</c:v>
                </c:pt>
                <c:pt idx="3741">
                  <c:v>0.74834966993395269</c:v>
                </c:pt>
                <c:pt idx="3742">
                  <c:v>0.74854970994195424</c:v>
                </c:pt>
                <c:pt idx="3743">
                  <c:v>0.7487497499499558</c:v>
                </c:pt>
                <c:pt idx="3744">
                  <c:v>0.74894978995795736</c:v>
                </c:pt>
                <c:pt idx="3745">
                  <c:v>0.74914982996595891</c:v>
                </c:pt>
                <c:pt idx="3746">
                  <c:v>0.74934986997396047</c:v>
                </c:pt>
                <c:pt idx="3747">
                  <c:v>0.74954990998196203</c:v>
                </c:pt>
                <c:pt idx="3748">
                  <c:v>0.74974994998996358</c:v>
                </c:pt>
                <c:pt idx="3749">
                  <c:v>0.74994998999796514</c:v>
                </c:pt>
                <c:pt idx="3750">
                  <c:v>0.75015003000596669</c:v>
                </c:pt>
                <c:pt idx="3751">
                  <c:v>0.75035007001396825</c:v>
                </c:pt>
                <c:pt idx="3752">
                  <c:v>0.75055011002196981</c:v>
                </c:pt>
                <c:pt idx="3753">
                  <c:v>0.75075015002997136</c:v>
                </c:pt>
                <c:pt idx="3754">
                  <c:v>0.75095019003797292</c:v>
                </c:pt>
                <c:pt idx="3755">
                  <c:v>0.75115023004597448</c:v>
                </c:pt>
                <c:pt idx="3756">
                  <c:v>0.75135027005397603</c:v>
                </c:pt>
                <c:pt idx="3757">
                  <c:v>0.75155031006197759</c:v>
                </c:pt>
                <c:pt idx="3758">
                  <c:v>0.75175035006997915</c:v>
                </c:pt>
                <c:pt idx="3759">
                  <c:v>0.7519503900779807</c:v>
                </c:pt>
                <c:pt idx="3760">
                  <c:v>0.75215043008598226</c:v>
                </c:pt>
                <c:pt idx="3761">
                  <c:v>0.75235047009398381</c:v>
                </c:pt>
                <c:pt idx="3762">
                  <c:v>0.75255051010198537</c:v>
                </c:pt>
                <c:pt idx="3763">
                  <c:v>0.75275055010998693</c:v>
                </c:pt>
                <c:pt idx="3764">
                  <c:v>0.75295059011798848</c:v>
                </c:pt>
                <c:pt idx="3765">
                  <c:v>0.75315063012599004</c:v>
                </c:pt>
                <c:pt idx="3766">
                  <c:v>0.7533506701339916</c:v>
                </c:pt>
                <c:pt idx="3767">
                  <c:v>0.75355071014199315</c:v>
                </c:pt>
                <c:pt idx="3768">
                  <c:v>0.75375075014999471</c:v>
                </c:pt>
                <c:pt idx="3769">
                  <c:v>0.75395079015799626</c:v>
                </c:pt>
                <c:pt idx="3770">
                  <c:v>0.75415083016599782</c:v>
                </c:pt>
                <c:pt idx="3771">
                  <c:v>0.75435087017399938</c:v>
                </c:pt>
                <c:pt idx="3772">
                  <c:v>0.75455091018200093</c:v>
                </c:pt>
                <c:pt idx="3773">
                  <c:v>0.75475095019000249</c:v>
                </c:pt>
                <c:pt idx="3774">
                  <c:v>0.75495099019800405</c:v>
                </c:pt>
                <c:pt idx="3775">
                  <c:v>0.7551510302060056</c:v>
                </c:pt>
                <c:pt idx="3776">
                  <c:v>0.75535107021400716</c:v>
                </c:pt>
                <c:pt idx="3777">
                  <c:v>0.75555111022200871</c:v>
                </c:pt>
                <c:pt idx="3778">
                  <c:v>0.75575115023001027</c:v>
                </c:pt>
                <c:pt idx="3779">
                  <c:v>0.75595119023801183</c:v>
                </c:pt>
                <c:pt idx="3780">
                  <c:v>0.75615123024601338</c:v>
                </c:pt>
                <c:pt idx="3781">
                  <c:v>0.75635127025401494</c:v>
                </c:pt>
                <c:pt idx="3782">
                  <c:v>0.7565513102620165</c:v>
                </c:pt>
                <c:pt idx="3783">
                  <c:v>0.75675135027001805</c:v>
                </c:pt>
                <c:pt idx="3784">
                  <c:v>0.75695139027801961</c:v>
                </c:pt>
                <c:pt idx="3785">
                  <c:v>0.75715143028602117</c:v>
                </c:pt>
                <c:pt idx="3786">
                  <c:v>0.75735147029402272</c:v>
                </c:pt>
                <c:pt idx="3787">
                  <c:v>0.75755151030202428</c:v>
                </c:pt>
                <c:pt idx="3788">
                  <c:v>0.75775155031002583</c:v>
                </c:pt>
                <c:pt idx="3789">
                  <c:v>0.75795159031802739</c:v>
                </c:pt>
                <c:pt idx="3790">
                  <c:v>0.75815163032602895</c:v>
                </c:pt>
                <c:pt idx="3791">
                  <c:v>0.7583516703340305</c:v>
                </c:pt>
                <c:pt idx="3792">
                  <c:v>0.75855171034203206</c:v>
                </c:pt>
                <c:pt idx="3793">
                  <c:v>0.75875175035003362</c:v>
                </c:pt>
                <c:pt idx="3794">
                  <c:v>0.75895179035803517</c:v>
                </c:pt>
                <c:pt idx="3795">
                  <c:v>0.75915183036603673</c:v>
                </c:pt>
                <c:pt idx="3796">
                  <c:v>0.75935187037403828</c:v>
                </c:pt>
                <c:pt idx="3797">
                  <c:v>0.75955191038203984</c:v>
                </c:pt>
                <c:pt idx="3798">
                  <c:v>0.7597519503900414</c:v>
                </c:pt>
                <c:pt idx="3799">
                  <c:v>0.75995199039804295</c:v>
                </c:pt>
                <c:pt idx="3800">
                  <c:v>0.76015203040604451</c:v>
                </c:pt>
                <c:pt idx="3801">
                  <c:v>0.76035207041404607</c:v>
                </c:pt>
                <c:pt idx="3802">
                  <c:v>0.76055211042204762</c:v>
                </c:pt>
                <c:pt idx="3803">
                  <c:v>0.76075215043004918</c:v>
                </c:pt>
                <c:pt idx="3804">
                  <c:v>0.76095219043805074</c:v>
                </c:pt>
                <c:pt idx="3805">
                  <c:v>0.76115223044605229</c:v>
                </c:pt>
                <c:pt idx="3806">
                  <c:v>0.76135227045405385</c:v>
                </c:pt>
                <c:pt idx="3807">
                  <c:v>0.7615523104620554</c:v>
                </c:pt>
                <c:pt idx="3808">
                  <c:v>0.76175235047005696</c:v>
                </c:pt>
                <c:pt idx="3809">
                  <c:v>0.76195239047805852</c:v>
                </c:pt>
                <c:pt idx="3810">
                  <c:v>0.76215243048606007</c:v>
                </c:pt>
                <c:pt idx="3811">
                  <c:v>0.76235247049406163</c:v>
                </c:pt>
                <c:pt idx="3812">
                  <c:v>0.76255251050206319</c:v>
                </c:pt>
                <c:pt idx="3813">
                  <c:v>0.76275255051006474</c:v>
                </c:pt>
                <c:pt idx="3814">
                  <c:v>0.7629525905180663</c:v>
                </c:pt>
                <c:pt idx="3815">
                  <c:v>0.76315263052606785</c:v>
                </c:pt>
                <c:pt idx="3816">
                  <c:v>0.76335267053406941</c:v>
                </c:pt>
                <c:pt idx="3817">
                  <c:v>0.76355271054207097</c:v>
                </c:pt>
                <c:pt idx="3818">
                  <c:v>0.76375275055007252</c:v>
                </c:pt>
                <c:pt idx="3819">
                  <c:v>0.76395279055807408</c:v>
                </c:pt>
                <c:pt idx="3820">
                  <c:v>0.76415283056607564</c:v>
                </c:pt>
                <c:pt idx="3821">
                  <c:v>0.76435287057407719</c:v>
                </c:pt>
                <c:pt idx="3822">
                  <c:v>0.76455291058207875</c:v>
                </c:pt>
                <c:pt idx="3823">
                  <c:v>0.7647529505900803</c:v>
                </c:pt>
                <c:pt idx="3824">
                  <c:v>0.76495299059808186</c:v>
                </c:pt>
                <c:pt idx="3825">
                  <c:v>0.76515303060608342</c:v>
                </c:pt>
                <c:pt idx="3826">
                  <c:v>0.76535307061408497</c:v>
                </c:pt>
                <c:pt idx="3827">
                  <c:v>0.76555311062208653</c:v>
                </c:pt>
                <c:pt idx="3828">
                  <c:v>0.76575315063008809</c:v>
                </c:pt>
                <c:pt idx="3829">
                  <c:v>0.76595319063808964</c:v>
                </c:pt>
                <c:pt idx="3830">
                  <c:v>0.7661532306460912</c:v>
                </c:pt>
                <c:pt idx="3831">
                  <c:v>0.76635327065409276</c:v>
                </c:pt>
                <c:pt idx="3832">
                  <c:v>0.76655331066209431</c:v>
                </c:pt>
                <c:pt idx="3833">
                  <c:v>0.76675335067009587</c:v>
                </c:pt>
                <c:pt idx="3834">
                  <c:v>0.76695339067809742</c:v>
                </c:pt>
                <c:pt idx="3835">
                  <c:v>0.76715343068609898</c:v>
                </c:pt>
                <c:pt idx="3836">
                  <c:v>0.76735347069410054</c:v>
                </c:pt>
                <c:pt idx="3837">
                  <c:v>0.76755351070210209</c:v>
                </c:pt>
                <c:pt idx="3838">
                  <c:v>0.76775355071010365</c:v>
                </c:pt>
                <c:pt idx="3839">
                  <c:v>0.76795359071810521</c:v>
                </c:pt>
                <c:pt idx="3840">
                  <c:v>0.76815363072610676</c:v>
                </c:pt>
                <c:pt idx="3841">
                  <c:v>0.76835367073410832</c:v>
                </c:pt>
                <c:pt idx="3842">
                  <c:v>0.76855371074210987</c:v>
                </c:pt>
                <c:pt idx="3843">
                  <c:v>0.76875375075011143</c:v>
                </c:pt>
                <c:pt idx="3844">
                  <c:v>0.76895379075811299</c:v>
                </c:pt>
                <c:pt idx="3845">
                  <c:v>0.76915383076611454</c:v>
                </c:pt>
                <c:pt idx="3846">
                  <c:v>0.7693538707741161</c:v>
                </c:pt>
                <c:pt idx="3847">
                  <c:v>0.76955391078211766</c:v>
                </c:pt>
                <c:pt idx="3848">
                  <c:v>0.76975395079011921</c:v>
                </c:pt>
                <c:pt idx="3849">
                  <c:v>0.76995399079812077</c:v>
                </c:pt>
                <c:pt idx="3850">
                  <c:v>0.77015403080612233</c:v>
                </c:pt>
                <c:pt idx="3851">
                  <c:v>0.77035407081412388</c:v>
                </c:pt>
                <c:pt idx="3852">
                  <c:v>0.77055411082212544</c:v>
                </c:pt>
                <c:pt idx="3853">
                  <c:v>0.77075415083012699</c:v>
                </c:pt>
                <c:pt idx="3854">
                  <c:v>0.77095419083812855</c:v>
                </c:pt>
                <c:pt idx="3855">
                  <c:v>0.77115423084613011</c:v>
                </c:pt>
                <c:pt idx="3856">
                  <c:v>0.77135427085413166</c:v>
                </c:pt>
                <c:pt idx="3857">
                  <c:v>0.77155431086213322</c:v>
                </c:pt>
                <c:pt idx="3858">
                  <c:v>0.77175435087013478</c:v>
                </c:pt>
                <c:pt idx="3859">
                  <c:v>0.77195439087813633</c:v>
                </c:pt>
                <c:pt idx="3860">
                  <c:v>0.77215443088613789</c:v>
                </c:pt>
                <c:pt idx="3861">
                  <c:v>0.77235447089413944</c:v>
                </c:pt>
                <c:pt idx="3862">
                  <c:v>0.772554510902141</c:v>
                </c:pt>
                <c:pt idx="3863">
                  <c:v>0.77275455091014256</c:v>
                </c:pt>
                <c:pt idx="3864">
                  <c:v>0.77295459091814411</c:v>
                </c:pt>
                <c:pt idx="3865">
                  <c:v>0.77315463092614567</c:v>
                </c:pt>
                <c:pt idx="3866">
                  <c:v>0.77335467093414723</c:v>
                </c:pt>
                <c:pt idx="3867">
                  <c:v>0.77355471094214878</c:v>
                </c:pt>
                <c:pt idx="3868">
                  <c:v>0.77375475095015034</c:v>
                </c:pt>
                <c:pt idx="3869">
                  <c:v>0.77395479095815189</c:v>
                </c:pt>
                <c:pt idx="3870">
                  <c:v>0.77415483096615345</c:v>
                </c:pt>
                <c:pt idx="3871">
                  <c:v>0.77435487097415501</c:v>
                </c:pt>
                <c:pt idx="3872">
                  <c:v>0.77455491098215656</c:v>
                </c:pt>
                <c:pt idx="3873">
                  <c:v>0.77475495099015812</c:v>
                </c:pt>
                <c:pt idx="3874">
                  <c:v>0.77495499099815968</c:v>
                </c:pt>
                <c:pt idx="3875">
                  <c:v>0.77515503100616123</c:v>
                </c:pt>
                <c:pt idx="3876">
                  <c:v>0.77535507101416279</c:v>
                </c:pt>
                <c:pt idx="3877">
                  <c:v>0.77555511102216435</c:v>
                </c:pt>
                <c:pt idx="3878">
                  <c:v>0.7757551510301659</c:v>
                </c:pt>
                <c:pt idx="3879">
                  <c:v>0.77595519103816746</c:v>
                </c:pt>
                <c:pt idx="3880">
                  <c:v>0.77615523104616901</c:v>
                </c:pt>
                <c:pt idx="3881">
                  <c:v>0.77635527105417057</c:v>
                </c:pt>
                <c:pt idx="3882">
                  <c:v>0.77655531106217213</c:v>
                </c:pt>
                <c:pt idx="3883">
                  <c:v>0.77675535107017368</c:v>
                </c:pt>
                <c:pt idx="3884">
                  <c:v>0.77695539107817524</c:v>
                </c:pt>
                <c:pt idx="3885">
                  <c:v>0.7771554310861768</c:v>
                </c:pt>
                <c:pt idx="3886">
                  <c:v>0.77735547109417835</c:v>
                </c:pt>
                <c:pt idx="3887">
                  <c:v>0.77755551110217991</c:v>
                </c:pt>
                <c:pt idx="3888">
                  <c:v>0.77775555111018146</c:v>
                </c:pt>
                <c:pt idx="3889">
                  <c:v>0.77795559111818302</c:v>
                </c:pt>
                <c:pt idx="3890">
                  <c:v>0.77815563112618458</c:v>
                </c:pt>
                <c:pt idx="3891">
                  <c:v>0.77835567113418613</c:v>
                </c:pt>
                <c:pt idx="3892">
                  <c:v>0.77855571114218769</c:v>
                </c:pt>
                <c:pt idx="3893">
                  <c:v>0.77875575115018925</c:v>
                </c:pt>
                <c:pt idx="3894">
                  <c:v>0.7789557911581908</c:v>
                </c:pt>
                <c:pt idx="3895">
                  <c:v>0.77915583116619236</c:v>
                </c:pt>
                <c:pt idx="3896">
                  <c:v>0.77935587117419391</c:v>
                </c:pt>
                <c:pt idx="3897">
                  <c:v>0.77955591118219547</c:v>
                </c:pt>
                <c:pt idx="3898">
                  <c:v>0.77975595119019703</c:v>
                </c:pt>
                <c:pt idx="3899">
                  <c:v>0.77995599119819858</c:v>
                </c:pt>
                <c:pt idx="3900">
                  <c:v>0.78015603120620014</c:v>
                </c:pt>
                <c:pt idx="3901">
                  <c:v>0.7803560712142017</c:v>
                </c:pt>
                <c:pt idx="3902">
                  <c:v>0.78055611122220325</c:v>
                </c:pt>
                <c:pt idx="3903">
                  <c:v>0.78075615123020481</c:v>
                </c:pt>
                <c:pt idx="3904">
                  <c:v>0.78095619123820637</c:v>
                </c:pt>
                <c:pt idx="3905">
                  <c:v>0.78115623124620792</c:v>
                </c:pt>
                <c:pt idx="3906">
                  <c:v>0.78135627125420948</c:v>
                </c:pt>
                <c:pt idx="3907">
                  <c:v>0.78155631126221103</c:v>
                </c:pt>
                <c:pt idx="3908">
                  <c:v>0.78175635127021259</c:v>
                </c:pt>
                <c:pt idx="3909">
                  <c:v>0.78195639127821415</c:v>
                </c:pt>
                <c:pt idx="3910">
                  <c:v>0.7821564312862157</c:v>
                </c:pt>
                <c:pt idx="3911">
                  <c:v>0.78235647129421726</c:v>
                </c:pt>
                <c:pt idx="3912">
                  <c:v>0.78255651130221882</c:v>
                </c:pt>
                <c:pt idx="3913">
                  <c:v>0.78275655131022037</c:v>
                </c:pt>
                <c:pt idx="3914">
                  <c:v>0.78295659131822193</c:v>
                </c:pt>
                <c:pt idx="3915">
                  <c:v>0.78315663132622348</c:v>
                </c:pt>
                <c:pt idx="3916">
                  <c:v>0.78335667133422504</c:v>
                </c:pt>
                <c:pt idx="3917">
                  <c:v>0.7835567113422266</c:v>
                </c:pt>
                <c:pt idx="3918">
                  <c:v>0.78375675135022815</c:v>
                </c:pt>
                <c:pt idx="3919">
                  <c:v>0.78395679135822971</c:v>
                </c:pt>
                <c:pt idx="3920">
                  <c:v>0.78415683136623127</c:v>
                </c:pt>
                <c:pt idx="3921">
                  <c:v>0.78435687137423282</c:v>
                </c:pt>
                <c:pt idx="3922">
                  <c:v>0.78455691138223438</c:v>
                </c:pt>
                <c:pt idx="3923">
                  <c:v>0.78475695139023594</c:v>
                </c:pt>
                <c:pt idx="3924">
                  <c:v>0.78495699139823749</c:v>
                </c:pt>
                <c:pt idx="3925">
                  <c:v>0.78515703140623905</c:v>
                </c:pt>
                <c:pt idx="3926">
                  <c:v>0.7853570714142406</c:v>
                </c:pt>
                <c:pt idx="3927">
                  <c:v>0.78555711142224216</c:v>
                </c:pt>
                <c:pt idx="3928">
                  <c:v>0.78575715143024372</c:v>
                </c:pt>
                <c:pt idx="3929">
                  <c:v>0.78595719143824527</c:v>
                </c:pt>
                <c:pt idx="3930">
                  <c:v>0.78615723144624683</c:v>
                </c:pt>
                <c:pt idx="3931">
                  <c:v>0.78635727145424839</c:v>
                </c:pt>
                <c:pt idx="3932">
                  <c:v>0.78655731146224994</c:v>
                </c:pt>
                <c:pt idx="3933">
                  <c:v>0.7867573514702515</c:v>
                </c:pt>
                <c:pt idx="3934">
                  <c:v>0.78695739147825305</c:v>
                </c:pt>
                <c:pt idx="3935">
                  <c:v>0.78715743148625461</c:v>
                </c:pt>
                <c:pt idx="3936">
                  <c:v>0.78735747149425617</c:v>
                </c:pt>
                <c:pt idx="3937">
                  <c:v>0.78755751150225772</c:v>
                </c:pt>
                <c:pt idx="3938">
                  <c:v>0.78775755151025928</c:v>
                </c:pt>
                <c:pt idx="3939">
                  <c:v>0.78795759151826084</c:v>
                </c:pt>
                <c:pt idx="3940">
                  <c:v>0.78815763152626239</c:v>
                </c:pt>
                <c:pt idx="3941">
                  <c:v>0.78835767153426395</c:v>
                </c:pt>
                <c:pt idx="3942">
                  <c:v>0.7885577115422655</c:v>
                </c:pt>
                <c:pt idx="3943">
                  <c:v>0.78875775155026706</c:v>
                </c:pt>
                <c:pt idx="3944">
                  <c:v>0.78895779155826862</c:v>
                </c:pt>
                <c:pt idx="3945">
                  <c:v>0.78915783156627017</c:v>
                </c:pt>
                <c:pt idx="3946">
                  <c:v>0.78935787157427173</c:v>
                </c:pt>
                <c:pt idx="3947">
                  <c:v>0.78955791158227329</c:v>
                </c:pt>
                <c:pt idx="3948">
                  <c:v>0.78975795159027484</c:v>
                </c:pt>
                <c:pt idx="3949">
                  <c:v>0.7899579915982764</c:v>
                </c:pt>
                <c:pt idx="3950">
                  <c:v>0.79015803160627796</c:v>
                </c:pt>
                <c:pt idx="3951">
                  <c:v>0.79035807161427951</c:v>
                </c:pt>
                <c:pt idx="3952">
                  <c:v>0.79055811162228107</c:v>
                </c:pt>
                <c:pt idx="3953">
                  <c:v>0.79075815163028262</c:v>
                </c:pt>
                <c:pt idx="3954">
                  <c:v>0.79095819163828418</c:v>
                </c:pt>
                <c:pt idx="3955">
                  <c:v>0.79115823164628574</c:v>
                </c:pt>
                <c:pt idx="3956">
                  <c:v>0.79135827165428729</c:v>
                </c:pt>
                <c:pt idx="3957">
                  <c:v>0.79155831166228885</c:v>
                </c:pt>
                <c:pt idx="3958">
                  <c:v>0.79175835167029041</c:v>
                </c:pt>
                <c:pt idx="3959">
                  <c:v>0.79195839167829196</c:v>
                </c:pt>
                <c:pt idx="3960">
                  <c:v>0.79215843168629352</c:v>
                </c:pt>
                <c:pt idx="3961">
                  <c:v>0.79235847169429507</c:v>
                </c:pt>
                <c:pt idx="3962">
                  <c:v>0.79255851170229663</c:v>
                </c:pt>
                <c:pt idx="3963">
                  <c:v>0.79275855171029819</c:v>
                </c:pt>
                <c:pt idx="3964">
                  <c:v>0.79295859171829974</c:v>
                </c:pt>
                <c:pt idx="3965">
                  <c:v>0.7931586317263013</c:v>
                </c:pt>
                <c:pt idx="3966">
                  <c:v>0.79335867173430286</c:v>
                </c:pt>
                <c:pt idx="3967">
                  <c:v>0.79355871174230441</c:v>
                </c:pt>
                <c:pt idx="3968">
                  <c:v>0.79375875175030597</c:v>
                </c:pt>
                <c:pt idx="3969">
                  <c:v>0.79395879175830752</c:v>
                </c:pt>
                <c:pt idx="3970">
                  <c:v>0.79415883176630908</c:v>
                </c:pt>
                <c:pt idx="3971">
                  <c:v>0.79435887177431064</c:v>
                </c:pt>
                <c:pt idx="3972">
                  <c:v>0.79455891178231219</c:v>
                </c:pt>
                <c:pt idx="3973">
                  <c:v>0.79475895179031375</c:v>
                </c:pt>
                <c:pt idx="3974">
                  <c:v>0.79495899179831531</c:v>
                </c:pt>
                <c:pt idx="3975">
                  <c:v>0.79515903180631686</c:v>
                </c:pt>
                <c:pt idx="3976">
                  <c:v>0.79535907181431842</c:v>
                </c:pt>
                <c:pt idx="3977">
                  <c:v>0.79555911182231998</c:v>
                </c:pt>
                <c:pt idx="3978">
                  <c:v>0.79575915183032153</c:v>
                </c:pt>
                <c:pt idx="3979">
                  <c:v>0.79595919183832309</c:v>
                </c:pt>
                <c:pt idx="3980">
                  <c:v>0.79615923184632464</c:v>
                </c:pt>
                <c:pt idx="3981">
                  <c:v>0.7963592718543262</c:v>
                </c:pt>
                <c:pt idx="3982">
                  <c:v>0.79655931186232776</c:v>
                </c:pt>
                <c:pt idx="3983">
                  <c:v>0.79675935187032931</c:v>
                </c:pt>
                <c:pt idx="3984">
                  <c:v>0.79695939187833087</c:v>
                </c:pt>
                <c:pt idx="3985">
                  <c:v>0.79715943188633243</c:v>
                </c:pt>
                <c:pt idx="3986">
                  <c:v>0.79735947189433398</c:v>
                </c:pt>
                <c:pt idx="3987">
                  <c:v>0.79755951190233554</c:v>
                </c:pt>
                <c:pt idx="3988">
                  <c:v>0.79775955191033709</c:v>
                </c:pt>
                <c:pt idx="3989">
                  <c:v>0.79795959191833865</c:v>
                </c:pt>
                <c:pt idx="3990">
                  <c:v>0.79815963192634021</c:v>
                </c:pt>
                <c:pt idx="3991">
                  <c:v>0.79835967193434176</c:v>
                </c:pt>
                <c:pt idx="3992">
                  <c:v>0.79855971194234332</c:v>
                </c:pt>
                <c:pt idx="3993">
                  <c:v>0.79875975195034488</c:v>
                </c:pt>
                <c:pt idx="3994">
                  <c:v>0.79895979195834643</c:v>
                </c:pt>
                <c:pt idx="3995">
                  <c:v>0.79915983196634799</c:v>
                </c:pt>
                <c:pt idx="3996">
                  <c:v>0.79935987197434955</c:v>
                </c:pt>
                <c:pt idx="3997">
                  <c:v>0.7995599119823511</c:v>
                </c:pt>
                <c:pt idx="3998">
                  <c:v>0.79975995199035266</c:v>
                </c:pt>
                <c:pt idx="3999">
                  <c:v>0.79995999199835421</c:v>
                </c:pt>
                <c:pt idx="4000">
                  <c:v>0.80016003200635577</c:v>
                </c:pt>
                <c:pt idx="4001">
                  <c:v>0.80036007201435733</c:v>
                </c:pt>
                <c:pt idx="4002">
                  <c:v>0.80056011202235888</c:v>
                </c:pt>
                <c:pt idx="4003">
                  <c:v>0.80076015203036044</c:v>
                </c:pt>
                <c:pt idx="4004">
                  <c:v>0.800960192038362</c:v>
                </c:pt>
                <c:pt idx="4005">
                  <c:v>0.80116023204636355</c:v>
                </c:pt>
                <c:pt idx="4006">
                  <c:v>0.80136027205436511</c:v>
                </c:pt>
                <c:pt idx="4007">
                  <c:v>0.80156031206236666</c:v>
                </c:pt>
                <c:pt idx="4008">
                  <c:v>0.80176035207036822</c:v>
                </c:pt>
                <c:pt idx="4009">
                  <c:v>0.80196039207836978</c:v>
                </c:pt>
                <c:pt idx="4010">
                  <c:v>0.80216043208637133</c:v>
                </c:pt>
                <c:pt idx="4011">
                  <c:v>0.80236047209437289</c:v>
                </c:pt>
                <c:pt idx="4012">
                  <c:v>0.80256051210237445</c:v>
                </c:pt>
                <c:pt idx="4013">
                  <c:v>0.802760552110376</c:v>
                </c:pt>
                <c:pt idx="4014">
                  <c:v>0.80296059211837756</c:v>
                </c:pt>
                <c:pt idx="4015">
                  <c:v>0.80316063212637911</c:v>
                </c:pt>
                <c:pt idx="4016">
                  <c:v>0.80336067213438067</c:v>
                </c:pt>
                <c:pt idx="4017">
                  <c:v>0.80356071214238223</c:v>
                </c:pt>
                <c:pt idx="4018">
                  <c:v>0.80376075215038378</c:v>
                </c:pt>
                <c:pt idx="4019">
                  <c:v>0.80396079215838534</c:v>
                </c:pt>
                <c:pt idx="4020">
                  <c:v>0.8041608321663869</c:v>
                </c:pt>
                <c:pt idx="4021">
                  <c:v>0.80436087217438845</c:v>
                </c:pt>
                <c:pt idx="4022">
                  <c:v>0.80456091218239001</c:v>
                </c:pt>
                <c:pt idx="4023">
                  <c:v>0.80476095219039157</c:v>
                </c:pt>
                <c:pt idx="4024">
                  <c:v>0.80496099219839312</c:v>
                </c:pt>
                <c:pt idx="4025">
                  <c:v>0.80516103220639468</c:v>
                </c:pt>
                <c:pt idx="4026">
                  <c:v>0.80536107221439623</c:v>
                </c:pt>
                <c:pt idx="4027">
                  <c:v>0.80556111222239779</c:v>
                </c:pt>
                <c:pt idx="4028">
                  <c:v>0.80576115223039935</c:v>
                </c:pt>
                <c:pt idx="4029">
                  <c:v>0.8059611922384009</c:v>
                </c:pt>
                <c:pt idx="4030">
                  <c:v>0.80616123224640246</c:v>
                </c:pt>
                <c:pt idx="4031">
                  <c:v>0.80636127225440402</c:v>
                </c:pt>
                <c:pt idx="4032">
                  <c:v>0.80656131226240557</c:v>
                </c:pt>
                <c:pt idx="4033">
                  <c:v>0.80676135227040713</c:v>
                </c:pt>
                <c:pt idx="4034">
                  <c:v>0.80696139227840868</c:v>
                </c:pt>
                <c:pt idx="4035">
                  <c:v>0.80716143228641024</c:v>
                </c:pt>
                <c:pt idx="4036">
                  <c:v>0.8073614722944118</c:v>
                </c:pt>
                <c:pt idx="4037">
                  <c:v>0.80756151230241335</c:v>
                </c:pt>
                <c:pt idx="4038">
                  <c:v>0.80776155231041491</c:v>
                </c:pt>
                <c:pt idx="4039">
                  <c:v>0.80796159231841647</c:v>
                </c:pt>
                <c:pt idx="4040">
                  <c:v>0.80816163232641802</c:v>
                </c:pt>
                <c:pt idx="4041">
                  <c:v>0.80836167233441958</c:v>
                </c:pt>
                <c:pt idx="4042">
                  <c:v>0.80856171234242113</c:v>
                </c:pt>
                <c:pt idx="4043">
                  <c:v>0.80876175235042269</c:v>
                </c:pt>
                <c:pt idx="4044">
                  <c:v>0.80896179235842425</c:v>
                </c:pt>
                <c:pt idx="4045">
                  <c:v>0.8091618323664258</c:v>
                </c:pt>
                <c:pt idx="4046">
                  <c:v>0.80936187237442736</c:v>
                </c:pt>
                <c:pt idx="4047">
                  <c:v>0.80956191238242892</c:v>
                </c:pt>
                <c:pt idx="4048">
                  <c:v>0.80976195239043047</c:v>
                </c:pt>
                <c:pt idx="4049">
                  <c:v>0.80996199239843203</c:v>
                </c:pt>
                <c:pt idx="4050">
                  <c:v>0.81016203240643359</c:v>
                </c:pt>
                <c:pt idx="4051">
                  <c:v>0.81036207241443514</c:v>
                </c:pt>
                <c:pt idx="4052">
                  <c:v>0.8105621124224367</c:v>
                </c:pt>
                <c:pt idx="4053">
                  <c:v>0.81076215243043825</c:v>
                </c:pt>
                <c:pt idx="4054">
                  <c:v>0.81096219243843981</c:v>
                </c:pt>
                <c:pt idx="4055">
                  <c:v>0.81116223244644137</c:v>
                </c:pt>
                <c:pt idx="4056">
                  <c:v>0.81136227245444292</c:v>
                </c:pt>
                <c:pt idx="4057">
                  <c:v>0.81156231246244448</c:v>
                </c:pt>
                <c:pt idx="4058">
                  <c:v>0.81176235247044604</c:v>
                </c:pt>
                <c:pt idx="4059">
                  <c:v>0.81196239247844759</c:v>
                </c:pt>
                <c:pt idx="4060">
                  <c:v>0.81216243248644915</c:v>
                </c:pt>
                <c:pt idx="4061">
                  <c:v>0.8123624724944507</c:v>
                </c:pt>
                <c:pt idx="4062">
                  <c:v>0.81256251250245226</c:v>
                </c:pt>
                <c:pt idx="4063">
                  <c:v>0.81276255251045382</c:v>
                </c:pt>
                <c:pt idx="4064">
                  <c:v>0.81296259251845537</c:v>
                </c:pt>
                <c:pt idx="4065">
                  <c:v>0.81316263252645693</c:v>
                </c:pt>
                <c:pt idx="4066">
                  <c:v>0.81336267253445849</c:v>
                </c:pt>
                <c:pt idx="4067">
                  <c:v>0.81356271254246004</c:v>
                </c:pt>
                <c:pt idx="4068">
                  <c:v>0.8137627525504616</c:v>
                </c:pt>
                <c:pt idx="4069">
                  <c:v>0.81396279255846316</c:v>
                </c:pt>
                <c:pt idx="4070">
                  <c:v>0.81416283256646471</c:v>
                </c:pt>
                <c:pt idx="4071">
                  <c:v>0.81436287257446627</c:v>
                </c:pt>
                <c:pt idx="4072">
                  <c:v>0.81456291258246782</c:v>
                </c:pt>
                <c:pt idx="4073">
                  <c:v>0.81476295259046938</c:v>
                </c:pt>
                <c:pt idx="4074">
                  <c:v>0.81496299259847094</c:v>
                </c:pt>
                <c:pt idx="4075">
                  <c:v>0.81516303260647249</c:v>
                </c:pt>
                <c:pt idx="4076">
                  <c:v>0.81536307261447405</c:v>
                </c:pt>
                <c:pt idx="4077">
                  <c:v>0.81556311262247561</c:v>
                </c:pt>
                <c:pt idx="4078">
                  <c:v>0.81576315263047716</c:v>
                </c:pt>
                <c:pt idx="4079">
                  <c:v>0.81596319263847872</c:v>
                </c:pt>
                <c:pt idx="4080">
                  <c:v>0.81616323264648027</c:v>
                </c:pt>
                <c:pt idx="4081">
                  <c:v>0.81636327265448183</c:v>
                </c:pt>
                <c:pt idx="4082">
                  <c:v>0.81656331266248339</c:v>
                </c:pt>
                <c:pt idx="4083">
                  <c:v>0.81676335267048494</c:v>
                </c:pt>
                <c:pt idx="4084">
                  <c:v>0.8169633926784865</c:v>
                </c:pt>
                <c:pt idx="4085">
                  <c:v>0.81716343268648806</c:v>
                </c:pt>
                <c:pt idx="4086">
                  <c:v>0.81736347269448961</c:v>
                </c:pt>
                <c:pt idx="4087">
                  <c:v>0.81756351270249117</c:v>
                </c:pt>
                <c:pt idx="4088">
                  <c:v>0.81776355271049272</c:v>
                </c:pt>
                <c:pt idx="4089">
                  <c:v>0.81796359271849428</c:v>
                </c:pt>
                <c:pt idx="4090">
                  <c:v>0.81816363272649584</c:v>
                </c:pt>
                <c:pt idx="4091">
                  <c:v>0.81836367273449739</c:v>
                </c:pt>
                <c:pt idx="4092">
                  <c:v>0.81856371274249895</c:v>
                </c:pt>
                <c:pt idx="4093">
                  <c:v>0.81876375275050051</c:v>
                </c:pt>
                <c:pt idx="4094">
                  <c:v>0.81896379275850206</c:v>
                </c:pt>
                <c:pt idx="4095">
                  <c:v>0.81916383276650362</c:v>
                </c:pt>
                <c:pt idx="4096">
                  <c:v>0.81936387277450518</c:v>
                </c:pt>
                <c:pt idx="4097">
                  <c:v>0.81956391278250673</c:v>
                </c:pt>
                <c:pt idx="4098">
                  <c:v>0.81976395279050829</c:v>
                </c:pt>
                <c:pt idx="4099">
                  <c:v>0.81996399279850984</c:v>
                </c:pt>
                <c:pt idx="4100">
                  <c:v>0.8201640328065114</c:v>
                </c:pt>
                <c:pt idx="4101">
                  <c:v>0.82036407281451296</c:v>
                </c:pt>
                <c:pt idx="4102">
                  <c:v>0.82056411282251451</c:v>
                </c:pt>
                <c:pt idx="4103">
                  <c:v>0.82076415283051607</c:v>
                </c:pt>
                <c:pt idx="4104">
                  <c:v>0.82096419283851763</c:v>
                </c:pt>
                <c:pt idx="4105">
                  <c:v>0.82116423284651918</c:v>
                </c:pt>
                <c:pt idx="4106">
                  <c:v>0.82136427285452074</c:v>
                </c:pt>
                <c:pt idx="4107">
                  <c:v>0.82156431286252229</c:v>
                </c:pt>
                <c:pt idx="4108">
                  <c:v>0.82176435287052385</c:v>
                </c:pt>
                <c:pt idx="4109">
                  <c:v>0.82196439287852541</c:v>
                </c:pt>
                <c:pt idx="4110">
                  <c:v>0.82216443288652696</c:v>
                </c:pt>
                <c:pt idx="4111">
                  <c:v>0.82236447289452852</c:v>
                </c:pt>
                <c:pt idx="4112">
                  <c:v>0.82256451290253008</c:v>
                </c:pt>
                <c:pt idx="4113">
                  <c:v>0.82276455291053163</c:v>
                </c:pt>
                <c:pt idx="4114">
                  <c:v>0.82296459291853319</c:v>
                </c:pt>
                <c:pt idx="4115">
                  <c:v>0.82316463292653475</c:v>
                </c:pt>
                <c:pt idx="4116">
                  <c:v>0.8233646729345363</c:v>
                </c:pt>
                <c:pt idx="4117">
                  <c:v>0.82356471294253786</c:v>
                </c:pt>
                <c:pt idx="4118">
                  <c:v>0.82376475295053941</c:v>
                </c:pt>
                <c:pt idx="4119">
                  <c:v>0.82396479295854097</c:v>
                </c:pt>
                <c:pt idx="4120">
                  <c:v>0.82416483296654253</c:v>
                </c:pt>
                <c:pt idx="4121">
                  <c:v>0.82436487297454408</c:v>
                </c:pt>
                <c:pt idx="4122">
                  <c:v>0.82456491298254564</c:v>
                </c:pt>
                <c:pt idx="4123">
                  <c:v>0.8247649529905472</c:v>
                </c:pt>
                <c:pt idx="4124">
                  <c:v>0.82496499299854875</c:v>
                </c:pt>
                <c:pt idx="4125">
                  <c:v>0.82516503300655031</c:v>
                </c:pt>
                <c:pt idx="4126">
                  <c:v>0.82536507301455186</c:v>
                </c:pt>
                <c:pt idx="4127">
                  <c:v>0.82556511302255342</c:v>
                </c:pt>
                <c:pt idx="4128">
                  <c:v>0.82576515303055498</c:v>
                </c:pt>
                <c:pt idx="4129">
                  <c:v>0.82596519303855653</c:v>
                </c:pt>
                <c:pt idx="4130">
                  <c:v>0.82616523304655809</c:v>
                </c:pt>
                <c:pt idx="4131">
                  <c:v>0.82636527305455965</c:v>
                </c:pt>
                <c:pt idx="4132">
                  <c:v>0.8265653130625612</c:v>
                </c:pt>
                <c:pt idx="4133">
                  <c:v>0.82676535307056276</c:v>
                </c:pt>
                <c:pt idx="4134">
                  <c:v>0.82696539307856431</c:v>
                </c:pt>
                <c:pt idx="4135">
                  <c:v>0.82716543308656587</c:v>
                </c:pt>
                <c:pt idx="4136">
                  <c:v>0.82736547309456743</c:v>
                </c:pt>
                <c:pt idx="4137">
                  <c:v>0.82756551310256898</c:v>
                </c:pt>
                <c:pt idx="4138">
                  <c:v>0.82776555311057054</c:v>
                </c:pt>
                <c:pt idx="4139">
                  <c:v>0.8279655931185721</c:v>
                </c:pt>
                <c:pt idx="4140">
                  <c:v>0.82816563312657365</c:v>
                </c:pt>
                <c:pt idx="4141">
                  <c:v>0.82836567313457521</c:v>
                </c:pt>
                <c:pt idx="4142">
                  <c:v>0.82856571314257677</c:v>
                </c:pt>
                <c:pt idx="4143">
                  <c:v>0.82876575315057832</c:v>
                </c:pt>
                <c:pt idx="4144">
                  <c:v>0.82896579315857988</c:v>
                </c:pt>
                <c:pt idx="4145">
                  <c:v>0.82916583316658143</c:v>
                </c:pt>
                <c:pt idx="4146">
                  <c:v>0.82936587317458299</c:v>
                </c:pt>
                <c:pt idx="4147">
                  <c:v>0.82956591318258455</c:v>
                </c:pt>
                <c:pt idx="4148">
                  <c:v>0.8297659531905861</c:v>
                </c:pt>
                <c:pt idx="4149">
                  <c:v>0.82996599319858766</c:v>
                </c:pt>
                <c:pt idx="4150">
                  <c:v>0.83016603320658922</c:v>
                </c:pt>
                <c:pt idx="4151">
                  <c:v>0.83036607321459077</c:v>
                </c:pt>
                <c:pt idx="4152">
                  <c:v>0.83056611322259233</c:v>
                </c:pt>
                <c:pt idx="4153">
                  <c:v>0.83076615323059388</c:v>
                </c:pt>
                <c:pt idx="4154">
                  <c:v>0.83096619323859544</c:v>
                </c:pt>
                <c:pt idx="4155">
                  <c:v>0.831166233246597</c:v>
                </c:pt>
                <c:pt idx="4156">
                  <c:v>0.83136627325459855</c:v>
                </c:pt>
                <c:pt idx="4157">
                  <c:v>0.83156631326260011</c:v>
                </c:pt>
                <c:pt idx="4158">
                  <c:v>0.83176635327060167</c:v>
                </c:pt>
                <c:pt idx="4159">
                  <c:v>0.83196639327860322</c:v>
                </c:pt>
                <c:pt idx="4160">
                  <c:v>0.83216643328660478</c:v>
                </c:pt>
                <c:pt idx="4161">
                  <c:v>0.83236647329460633</c:v>
                </c:pt>
                <c:pt idx="4162">
                  <c:v>0.83256651330260789</c:v>
                </c:pt>
                <c:pt idx="4163">
                  <c:v>0.83276655331060945</c:v>
                </c:pt>
                <c:pt idx="4164">
                  <c:v>0.832966593318611</c:v>
                </c:pt>
                <c:pt idx="4165">
                  <c:v>0.83316663332661256</c:v>
                </c:pt>
                <c:pt idx="4166">
                  <c:v>0.83336667333461412</c:v>
                </c:pt>
                <c:pt idx="4167">
                  <c:v>0.83356671334261567</c:v>
                </c:pt>
                <c:pt idx="4168">
                  <c:v>0.83376675335061723</c:v>
                </c:pt>
                <c:pt idx="4169">
                  <c:v>0.83396679335861879</c:v>
                </c:pt>
                <c:pt idx="4170">
                  <c:v>0.83416683336662034</c:v>
                </c:pt>
                <c:pt idx="4171">
                  <c:v>0.8343668733746219</c:v>
                </c:pt>
                <c:pt idx="4172">
                  <c:v>0.83456691338262345</c:v>
                </c:pt>
                <c:pt idx="4173">
                  <c:v>0.83476695339062501</c:v>
                </c:pt>
                <c:pt idx="4174">
                  <c:v>0.83496699339862657</c:v>
                </c:pt>
                <c:pt idx="4175">
                  <c:v>0.83516703340662812</c:v>
                </c:pt>
                <c:pt idx="4176">
                  <c:v>0.83536707341462968</c:v>
                </c:pt>
                <c:pt idx="4177">
                  <c:v>0.83556711342263124</c:v>
                </c:pt>
                <c:pt idx="4178">
                  <c:v>0.83576715343063279</c:v>
                </c:pt>
                <c:pt idx="4179">
                  <c:v>0.83596719343863435</c:v>
                </c:pt>
                <c:pt idx="4180">
                  <c:v>0.8361672334466359</c:v>
                </c:pt>
                <c:pt idx="4181">
                  <c:v>0.83636727345463746</c:v>
                </c:pt>
                <c:pt idx="4182">
                  <c:v>0.83656731346263902</c:v>
                </c:pt>
                <c:pt idx="4183">
                  <c:v>0.83676735347064057</c:v>
                </c:pt>
                <c:pt idx="4184">
                  <c:v>0.83696739347864213</c:v>
                </c:pt>
                <c:pt idx="4185">
                  <c:v>0.83716743348664369</c:v>
                </c:pt>
                <c:pt idx="4186">
                  <c:v>0.83736747349464524</c:v>
                </c:pt>
                <c:pt idx="4187">
                  <c:v>0.8375675135026468</c:v>
                </c:pt>
                <c:pt idx="4188">
                  <c:v>0.83776755351064836</c:v>
                </c:pt>
                <c:pt idx="4189">
                  <c:v>0.83796759351864991</c:v>
                </c:pt>
                <c:pt idx="4190">
                  <c:v>0.83816763352665147</c:v>
                </c:pt>
                <c:pt idx="4191">
                  <c:v>0.83836767353465302</c:v>
                </c:pt>
                <c:pt idx="4192">
                  <c:v>0.83856771354265458</c:v>
                </c:pt>
                <c:pt idx="4193">
                  <c:v>0.83876775355065614</c:v>
                </c:pt>
                <c:pt idx="4194">
                  <c:v>0.83896779355865769</c:v>
                </c:pt>
                <c:pt idx="4195">
                  <c:v>0.83916783356665925</c:v>
                </c:pt>
                <c:pt idx="4196">
                  <c:v>0.83936787357466081</c:v>
                </c:pt>
                <c:pt idx="4197">
                  <c:v>0.83956791358266236</c:v>
                </c:pt>
                <c:pt idx="4198">
                  <c:v>0.83976795359066392</c:v>
                </c:pt>
                <c:pt idx="4199">
                  <c:v>0.83996799359866547</c:v>
                </c:pt>
                <c:pt idx="4200">
                  <c:v>0.84016803360666703</c:v>
                </c:pt>
                <c:pt idx="4201">
                  <c:v>0.84036807361466859</c:v>
                </c:pt>
                <c:pt idx="4202">
                  <c:v>0.84056811362267014</c:v>
                </c:pt>
                <c:pt idx="4203">
                  <c:v>0.8407681536306717</c:v>
                </c:pt>
                <c:pt idx="4204">
                  <c:v>0.84096819363867326</c:v>
                </c:pt>
                <c:pt idx="4205">
                  <c:v>0.84116823364667481</c:v>
                </c:pt>
                <c:pt idx="4206">
                  <c:v>0.84136827365467637</c:v>
                </c:pt>
                <c:pt idx="4207">
                  <c:v>0.84156831366267792</c:v>
                </c:pt>
                <c:pt idx="4208">
                  <c:v>0.84176835367067948</c:v>
                </c:pt>
                <c:pt idx="4209">
                  <c:v>0.84196839367868104</c:v>
                </c:pt>
                <c:pt idx="4210">
                  <c:v>0.84216843368668259</c:v>
                </c:pt>
                <c:pt idx="4211">
                  <c:v>0.84236847369468415</c:v>
                </c:pt>
                <c:pt idx="4212">
                  <c:v>0.84256851370268571</c:v>
                </c:pt>
                <c:pt idx="4213">
                  <c:v>0.84276855371068726</c:v>
                </c:pt>
                <c:pt idx="4214">
                  <c:v>0.84296859371868882</c:v>
                </c:pt>
                <c:pt idx="4215">
                  <c:v>0.84316863372669038</c:v>
                </c:pt>
                <c:pt idx="4216">
                  <c:v>0.84336867373469193</c:v>
                </c:pt>
                <c:pt idx="4217">
                  <c:v>0.84356871374269349</c:v>
                </c:pt>
                <c:pt idx="4218">
                  <c:v>0.84376875375069504</c:v>
                </c:pt>
                <c:pt idx="4219">
                  <c:v>0.8439687937586966</c:v>
                </c:pt>
                <c:pt idx="4220">
                  <c:v>0.84416883376669816</c:v>
                </c:pt>
                <c:pt idx="4221">
                  <c:v>0.84436887377469971</c:v>
                </c:pt>
                <c:pt idx="4222">
                  <c:v>0.84456891378270127</c:v>
                </c:pt>
                <c:pt idx="4223">
                  <c:v>0.84476895379070283</c:v>
                </c:pt>
                <c:pt idx="4224">
                  <c:v>0.84496899379870438</c:v>
                </c:pt>
                <c:pt idx="4225">
                  <c:v>0.84516903380670594</c:v>
                </c:pt>
                <c:pt idx="4226">
                  <c:v>0.84536907381470749</c:v>
                </c:pt>
                <c:pt idx="4227">
                  <c:v>0.84556911382270905</c:v>
                </c:pt>
                <c:pt idx="4228">
                  <c:v>0.84576915383071061</c:v>
                </c:pt>
                <c:pt idx="4229">
                  <c:v>0.84596919383871216</c:v>
                </c:pt>
                <c:pt idx="4230">
                  <c:v>0.84616923384671372</c:v>
                </c:pt>
                <c:pt idx="4231">
                  <c:v>0.84636927385471528</c:v>
                </c:pt>
                <c:pt idx="4232">
                  <c:v>0.84656931386271683</c:v>
                </c:pt>
                <c:pt idx="4233">
                  <c:v>0.84676935387071839</c:v>
                </c:pt>
                <c:pt idx="4234">
                  <c:v>0.84696939387871994</c:v>
                </c:pt>
                <c:pt idx="4235">
                  <c:v>0.8471694338867215</c:v>
                </c:pt>
                <c:pt idx="4236">
                  <c:v>0.84736947389472306</c:v>
                </c:pt>
                <c:pt idx="4237">
                  <c:v>0.84756951390272461</c:v>
                </c:pt>
                <c:pt idx="4238">
                  <c:v>0.84776955391072617</c:v>
                </c:pt>
                <c:pt idx="4239">
                  <c:v>0.84796959391872773</c:v>
                </c:pt>
                <c:pt idx="4240">
                  <c:v>0.84816963392672928</c:v>
                </c:pt>
                <c:pt idx="4241">
                  <c:v>0.84836967393473084</c:v>
                </c:pt>
                <c:pt idx="4242">
                  <c:v>0.8485697139427324</c:v>
                </c:pt>
                <c:pt idx="4243">
                  <c:v>0.84876975395073395</c:v>
                </c:pt>
                <c:pt idx="4244">
                  <c:v>0.84896979395873551</c:v>
                </c:pt>
                <c:pt idx="4245">
                  <c:v>0.84916983396673706</c:v>
                </c:pt>
                <c:pt idx="4246">
                  <c:v>0.84936987397473862</c:v>
                </c:pt>
                <c:pt idx="4247">
                  <c:v>0.84956991398274018</c:v>
                </c:pt>
                <c:pt idx="4248">
                  <c:v>0.84976995399074173</c:v>
                </c:pt>
                <c:pt idx="4249">
                  <c:v>0.84996999399874329</c:v>
                </c:pt>
                <c:pt idx="4250">
                  <c:v>0.85017003400674485</c:v>
                </c:pt>
                <c:pt idx="4251">
                  <c:v>0.8503700740147464</c:v>
                </c:pt>
                <c:pt idx="4252">
                  <c:v>0.85057011402274796</c:v>
                </c:pt>
                <c:pt idx="4253">
                  <c:v>0.85077015403074951</c:v>
                </c:pt>
                <c:pt idx="4254">
                  <c:v>0.85097019403875107</c:v>
                </c:pt>
                <c:pt idx="4255">
                  <c:v>0.85117023404675263</c:v>
                </c:pt>
                <c:pt idx="4256">
                  <c:v>0.85137027405475418</c:v>
                </c:pt>
                <c:pt idx="4257">
                  <c:v>0.85157031406275574</c:v>
                </c:pt>
                <c:pt idx="4258">
                  <c:v>0.8517703540707573</c:v>
                </c:pt>
                <c:pt idx="4259">
                  <c:v>0.85197039407875885</c:v>
                </c:pt>
                <c:pt idx="4260">
                  <c:v>0.85217043408676041</c:v>
                </c:pt>
                <c:pt idx="4261">
                  <c:v>0.85237047409476197</c:v>
                </c:pt>
                <c:pt idx="4262">
                  <c:v>0.85257051410276352</c:v>
                </c:pt>
                <c:pt idx="4263">
                  <c:v>0.85277055411076508</c:v>
                </c:pt>
                <c:pt idx="4264">
                  <c:v>0.85297059411876663</c:v>
                </c:pt>
                <c:pt idx="4265">
                  <c:v>0.85317063412676819</c:v>
                </c:pt>
                <c:pt idx="4266">
                  <c:v>0.85337067413476975</c:v>
                </c:pt>
                <c:pt idx="4267">
                  <c:v>0.8535707141427713</c:v>
                </c:pt>
                <c:pt idx="4268">
                  <c:v>0.85377075415077286</c:v>
                </c:pt>
                <c:pt idx="4269">
                  <c:v>0.85397079415877442</c:v>
                </c:pt>
                <c:pt idx="4270">
                  <c:v>0.85417083416677597</c:v>
                </c:pt>
                <c:pt idx="4271">
                  <c:v>0.85437087417477753</c:v>
                </c:pt>
                <c:pt idx="4272">
                  <c:v>0.85457091418277908</c:v>
                </c:pt>
                <c:pt idx="4273">
                  <c:v>0.85477095419078064</c:v>
                </c:pt>
                <c:pt idx="4274">
                  <c:v>0.8549709941987822</c:v>
                </c:pt>
                <c:pt idx="4275">
                  <c:v>0.85517103420678375</c:v>
                </c:pt>
                <c:pt idx="4276">
                  <c:v>0.85537107421478531</c:v>
                </c:pt>
                <c:pt idx="4277">
                  <c:v>0.85557111422278687</c:v>
                </c:pt>
                <c:pt idx="4278">
                  <c:v>0.85577115423078842</c:v>
                </c:pt>
                <c:pt idx="4279">
                  <c:v>0.85597119423878998</c:v>
                </c:pt>
                <c:pt idx="4280">
                  <c:v>0.85617123424679153</c:v>
                </c:pt>
                <c:pt idx="4281">
                  <c:v>0.85637127425479309</c:v>
                </c:pt>
                <c:pt idx="4282">
                  <c:v>0.85657131426279465</c:v>
                </c:pt>
                <c:pt idx="4283">
                  <c:v>0.8567713542707962</c:v>
                </c:pt>
                <c:pt idx="4284">
                  <c:v>0.85697139427879776</c:v>
                </c:pt>
                <c:pt idx="4285">
                  <c:v>0.85717143428679932</c:v>
                </c:pt>
                <c:pt idx="4286">
                  <c:v>0.85737147429480087</c:v>
                </c:pt>
                <c:pt idx="4287">
                  <c:v>0.85757151430280243</c:v>
                </c:pt>
                <c:pt idx="4288">
                  <c:v>0.85777155431080399</c:v>
                </c:pt>
                <c:pt idx="4289">
                  <c:v>0.85797159431880554</c:v>
                </c:pt>
                <c:pt idx="4290">
                  <c:v>0.8581716343268071</c:v>
                </c:pt>
                <c:pt idx="4291">
                  <c:v>0.85837167433480865</c:v>
                </c:pt>
                <c:pt idx="4292">
                  <c:v>0.85857171434281021</c:v>
                </c:pt>
                <c:pt idx="4293">
                  <c:v>0.85877175435081177</c:v>
                </c:pt>
                <c:pt idx="4294">
                  <c:v>0.85897179435881332</c:v>
                </c:pt>
                <c:pt idx="4295">
                  <c:v>0.85917183436681488</c:v>
                </c:pt>
                <c:pt idx="4296">
                  <c:v>0.85937187437481644</c:v>
                </c:pt>
                <c:pt idx="4297">
                  <c:v>0.85957191438281799</c:v>
                </c:pt>
                <c:pt idx="4298">
                  <c:v>0.85977195439081955</c:v>
                </c:pt>
                <c:pt idx="4299">
                  <c:v>0.8599719943988211</c:v>
                </c:pt>
                <c:pt idx="4300">
                  <c:v>0.86017203440682266</c:v>
                </c:pt>
                <c:pt idx="4301">
                  <c:v>0.86037207441482422</c:v>
                </c:pt>
                <c:pt idx="4302">
                  <c:v>0.86057211442282577</c:v>
                </c:pt>
                <c:pt idx="4303">
                  <c:v>0.86077215443082733</c:v>
                </c:pt>
                <c:pt idx="4304">
                  <c:v>0.86097219443882889</c:v>
                </c:pt>
                <c:pt idx="4305">
                  <c:v>0.86117223444683044</c:v>
                </c:pt>
                <c:pt idx="4306">
                  <c:v>0.861372274454832</c:v>
                </c:pt>
                <c:pt idx="4307">
                  <c:v>0.86157231446283356</c:v>
                </c:pt>
                <c:pt idx="4308">
                  <c:v>0.86177235447083511</c:v>
                </c:pt>
                <c:pt idx="4309">
                  <c:v>0.86197239447883667</c:v>
                </c:pt>
                <c:pt idx="4310">
                  <c:v>0.86217243448683822</c:v>
                </c:pt>
                <c:pt idx="4311">
                  <c:v>0.86237247449483978</c:v>
                </c:pt>
                <c:pt idx="4312">
                  <c:v>0.86257251450284134</c:v>
                </c:pt>
                <c:pt idx="4313">
                  <c:v>0.86277255451084289</c:v>
                </c:pt>
                <c:pt idx="4314">
                  <c:v>0.86297259451884445</c:v>
                </c:pt>
                <c:pt idx="4315">
                  <c:v>0.86317263452684601</c:v>
                </c:pt>
                <c:pt idx="4316">
                  <c:v>0.86337267453484756</c:v>
                </c:pt>
                <c:pt idx="4317">
                  <c:v>0.86357271454284912</c:v>
                </c:pt>
                <c:pt idx="4318">
                  <c:v>0.86377275455085067</c:v>
                </c:pt>
                <c:pt idx="4319">
                  <c:v>0.86397279455885223</c:v>
                </c:pt>
                <c:pt idx="4320">
                  <c:v>0.86417283456685379</c:v>
                </c:pt>
                <c:pt idx="4321">
                  <c:v>0.86437287457485534</c:v>
                </c:pt>
                <c:pt idx="4322">
                  <c:v>0.8645729145828569</c:v>
                </c:pt>
                <c:pt idx="4323">
                  <c:v>0.86477295459085846</c:v>
                </c:pt>
                <c:pt idx="4324">
                  <c:v>0.86497299459886001</c:v>
                </c:pt>
                <c:pt idx="4325">
                  <c:v>0.86517303460686157</c:v>
                </c:pt>
                <c:pt idx="4326">
                  <c:v>0.86537307461486312</c:v>
                </c:pt>
                <c:pt idx="4327">
                  <c:v>0.86557311462286468</c:v>
                </c:pt>
                <c:pt idx="4328">
                  <c:v>0.86577315463086624</c:v>
                </c:pt>
                <c:pt idx="4329">
                  <c:v>0.86597319463886779</c:v>
                </c:pt>
                <c:pt idx="4330">
                  <c:v>0.86617323464686935</c:v>
                </c:pt>
                <c:pt idx="4331">
                  <c:v>0.86637327465487091</c:v>
                </c:pt>
                <c:pt idx="4332">
                  <c:v>0.86657331466287246</c:v>
                </c:pt>
                <c:pt idx="4333">
                  <c:v>0.86677335467087402</c:v>
                </c:pt>
                <c:pt idx="4334">
                  <c:v>0.86697339467887558</c:v>
                </c:pt>
                <c:pt idx="4335">
                  <c:v>0.86717343468687713</c:v>
                </c:pt>
                <c:pt idx="4336">
                  <c:v>0.86737347469487869</c:v>
                </c:pt>
                <c:pt idx="4337">
                  <c:v>0.86757351470288024</c:v>
                </c:pt>
                <c:pt idx="4338">
                  <c:v>0.8677735547108818</c:v>
                </c:pt>
                <c:pt idx="4339">
                  <c:v>0.86797359471888336</c:v>
                </c:pt>
                <c:pt idx="4340">
                  <c:v>0.86817363472688491</c:v>
                </c:pt>
                <c:pt idx="4341">
                  <c:v>0.86837367473488647</c:v>
                </c:pt>
                <c:pt idx="4342">
                  <c:v>0.86857371474288803</c:v>
                </c:pt>
                <c:pt idx="4343">
                  <c:v>0.86877375475088958</c:v>
                </c:pt>
                <c:pt idx="4344">
                  <c:v>0.86897379475889114</c:v>
                </c:pt>
                <c:pt idx="4345">
                  <c:v>0.86917383476689269</c:v>
                </c:pt>
                <c:pt idx="4346">
                  <c:v>0.86937387477489425</c:v>
                </c:pt>
                <c:pt idx="4347">
                  <c:v>0.86957391478289581</c:v>
                </c:pt>
                <c:pt idx="4348">
                  <c:v>0.86977395479089736</c:v>
                </c:pt>
                <c:pt idx="4349">
                  <c:v>0.86997399479889892</c:v>
                </c:pt>
                <c:pt idx="4350">
                  <c:v>0.87017403480690048</c:v>
                </c:pt>
                <c:pt idx="4351">
                  <c:v>0.87037407481490203</c:v>
                </c:pt>
                <c:pt idx="4352">
                  <c:v>0.87057411482290359</c:v>
                </c:pt>
                <c:pt idx="4353">
                  <c:v>0.87077415483090514</c:v>
                </c:pt>
                <c:pt idx="4354">
                  <c:v>0.8709741948389067</c:v>
                </c:pt>
                <c:pt idx="4355">
                  <c:v>0.87117423484690826</c:v>
                </c:pt>
                <c:pt idx="4356">
                  <c:v>0.87137427485490981</c:v>
                </c:pt>
                <c:pt idx="4357">
                  <c:v>0.87157431486291137</c:v>
                </c:pt>
                <c:pt idx="4358">
                  <c:v>0.87177435487091293</c:v>
                </c:pt>
                <c:pt idx="4359">
                  <c:v>0.87197439487891448</c:v>
                </c:pt>
                <c:pt idx="4360">
                  <c:v>0.87217443488691604</c:v>
                </c:pt>
                <c:pt idx="4361">
                  <c:v>0.8723744748949176</c:v>
                </c:pt>
                <c:pt idx="4362">
                  <c:v>0.87257451490291915</c:v>
                </c:pt>
                <c:pt idx="4363">
                  <c:v>0.87277455491092071</c:v>
                </c:pt>
                <c:pt idx="4364">
                  <c:v>0.87297459491892226</c:v>
                </c:pt>
                <c:pt idx="4365">
                  <c:v>0.87317463492692382</c:v>
                </c:pt>
                <c:pt idx="4366">
                  <c:v>0.87337467493492538</c:v>
                </c:pt>
                <c:pt idx="4367">
                  <c:v>0.87357471494292693</c:v>
                </c:pt>
                <c:pt idx="4368">
                  <c:v>0.87377475495092849</c:v>
                </c:pt>
                <c:pt idx="4369">
                  <c:v>0.87397479495893005</c:v>
                </c:pt>
                <c:pt idx="4370">
                  <c:v>0.8741748349669316</c:v>
                </c:pt>
                <c:pt idx="4371">
                  <c:v>0.87437487497493316</c:v>
                </c:pt>
                <c:pt idx="4372">
                  <c:v>0.87457491498293471</c:v>
                </c:pt>
                <c:pt idx="4373">
                  <c:v>0.87477495499093627</c:v>
                </c:pt>
                <c:pt idx="4374">
                  <c:v>0.87497499499893783</c:v>
                </c:pt>
                <c:pt idx="4375">
                  <c:v>0.87517503500693938</c:v>
                </c:pt>
                <c:pt idx="4376">
                  <c:v>0.87537507501494094</c:v>
                </c:pt>
                <c:pt idx="4377">
                  <c:v>0.8755751150229425</c:v>
                </c:pt>
                <c:pt idx="4378">
                  <c:v>0.87577515503094405</c:v>
                </c:pt>
                <c:pt idx="4379">
                  <c:v>0.87597519503894561</c:v>
                </c:pt>
                <c:pt idx="4380">
                  <c:v>0.87617523504694717</c:v>
                </c:pt>
                <c:pt idx="4381">
                  <c:v>0.87637527505494872</c:v>
                </c:pt>
                <c:pt idx="4382">
                  <c:v>0.87657531506295028</c:v>
                </c:pt>
                <c:pt idx="4383">
                  <c:v>0.87677535507095183</c:v>
                </c:pt>
                <c:pt idx="4384">
                  <c:v>0.87697539507895339</c:v>
                </c:pt>
                <c:pt idx="4385">
                  <c:v>0.87717543508695495</c:v>
                </c:pt>
                <c:pt idx="4386">
                  <c:v>0.8773754750949565</c:v>
                </c:pt>
                <c:pt idx="4387">
                  <c:v>0.87757551510295806</c:v>
                </c:pt>
                <c:pt idx="4388">
                  <c:v>0.87777555511095962</c:v>
                </c:pt>
                <c:pt idx="4389">
                  <c:v>0.87797559511896117</c:v>
                </c:pt>
                <c:pt idx="4390">
                  <c:v>0.87817563512696273</c:v>
                </c:pt>
                <c:pt idx="4391">
                  <c:v>0.87837567513496428</c:v>
                </c:pt>
                <c:pt idx="4392">
                  <c:v>0.87857571514296584</c:v>
                </c:pt>
                <c:pt idx="4393">
                  <c:v>0.8787757551509674</c:v>
                </c:pt>
                <c:pt idx="4394">
                  <c:v>0.87897579515896895</c:v>
                </c:pt>
                <c:pt idx="4395">
                  <c:v>0.87917583516697051</c:v>
                </c:pt>
                <c:pt idx="4396">
                  <c:v>0.87937587517497207</c:v>
                </c:pt>
                <c:pt idx="4397">
                  <c:v>0.87957591518297362</c:v>
                </c:pt>
                <c:pt idx="4398">
                  <c:v>0.87977595519097518</c:v>
                </c:pt>
                <c:pt idx="4399">
                  <c:v>0.87997599519897673</c:v>
                </c:pt>
                <c:pt idx="4400">
                  <c:v>0.88017603520697829</c:v>
                </c:pt>
                <c:pt idx="4401">
                  <c:v>0.88037607521497985</c:v>
                </c:pt>
                <c:pt idx="4402">
                  <c:v>0.8805761152229814</c:v>
                </c:pt>
                <c:pt idx="4403">
                  <c:v>0.88077615523098296</c:v>
                </c:pt>
                <c:pt idx="4404">
                  <c:v>0.88097619523898452</c:v>
                </c:pt>
                <c:pt idx="4405">
                  <c:v>0.88117623524698607</c:v>
                </c:pt>
                <c:pt idx="4406">
                  <c:v>0.88137627525498763</c:v>
                </c:pt>
                <c:pt idx="4407">
                  <c:v>0.88157631526298919</c:v>
                </c:pt>
                <c:pt idx="4408">
                  <c:v>0.88177635527099074</c:v>
                </c:pt>
                <c:pt idx="4409">
                  <c:v>0.8819763952789923</c:v>
                </c:pt>
                <c:pt idx="4410">
                  <c:v>0.88217643528699385</c:v>
                </c:pt>
                <c:pt idx="4411">
                  <c:v>0.88237647529499541</c:v>
                </c:pt>
                <c:pt idx="4412">
                  <c:v>0.88257651530299697</c:v>
                </c:pt>
                <c:pt idx="4413">
                  <c:v>0.88277655531099852</c:v>
                </c:pt>
                <c:pt idx="4414">
                  <c:v>0.88297659531900008</c:v>
                </c:pt>
                <c:pt idx="4415">
                  <c:v>0.88317663532700164</c:v>
                </c:pt>
                <c:pt idx="4416">
                  <c:v>0.88337667533500319</c:v>
                </c:pt>
                <c:pt idx="4417">
                  <c:v>0.88357671534300475</c:v>
                </c:pt>
                <c:pt idx="4418">
                  <c:v>0.8837767553510063</c:v>
                </c:pt>
                <c:pt idx="4419">
                  <c:v>0.88397679535900786</c:v>
                </c:pt>
                <c:pt idx="4420">
                  <c:v>0.88417683536700942</c:v>
                </c:pt>
                <c:pt idx="4421">
                  <c:v>0.88437687537501097</c:v>
                </c:pt>
                <c:pt idx="4422">
                  <c:v>0.88457691538301253</c:v>
                </c:pt>
                <c:pt idx="4423">
                  <c:v>0.88477695539101409</c:v>
                </c:pt>
                <c:pt idx="4424">
                  <c:v>0.88497699539901564</c:v>
                </c:pt>
                <c:pt idx="4425">
                  <c:v>0.8851770354070172</c:v>
                </c:pt>
                <c:pt idx="4426">
                  <c:v>0.88537707541501875</c:v>
                </c:pt>
                <c:pt idx="4427">
                  <c:v>0.88557711542302031</c:v>
                </c:pt>
                <c:pt idx="4428">
                  <c:v>0.88577715543102187</c:v>
                </c:pt>
                <c:pt idx="4429">
                  <c:v>0.88597719543902342</c:v>
                </c:pt>
                <c:pt idx="4430">
                  <c:v>0.88617723544702498</c:v>
                </c:pt>
                <c:pt idx="4431">
                  <c:v>0.88637727545502654</c:v>
                </c:pt>
                <c:pt idx="4432">
                  <c:v>0.88657731546302809</c:v>
                </c:pt>
                <c:pt idx="4433">
                  <c:v>0.88677735547102965</c:v>
                </c:pt>
                <c:pt idx="4434">
                  <c:v>0.88697739547903121</c:v>
                </c:pt>
                <c:pt idx="4435">
                  <c:v>0.88717743548703276</c:v>
                </c:pt>
                <c:pt idx="4436">
                  <c:v>0.88737747549503432</c:v>
                </c:pt>
                <c:pt idx="4437">
                  <c:v>0.88757751550303587</c:v>
                </c:pt>
                <c:pt idx="4438">
                  <c:v>0.88777755551103743</c:v>
                </c:pt>
                <c:pt idx="4439">
                  <c:v>0.88797759551903899</c:v>
                </c:pt>
                <c:pt idx="4440">
                  <c:v>0.88817763552704054</c:v>
                </c:pt>
                <c:pt idx="4441">
                  <c:v>0.8883776755350421</c:v>
                </c:pt>
                <c:pt idx="4442">
                  <c:v>0.88857771554304366</c:v>
                </c:pt>
                <c:pt idx="4443">
                  <c:v>0.88877775555104521</c:v>
                </c:pt>
                <c:pt idx="4444">
                  <c:v>0.88897779555904677</c:v>
                </c:pt>
                <c:pt idx="4445">
                  <c:v>0.88917783556704832</c:v>
                </c:pt>
                <c:pt idx="4446">
                  <c:v>0.88937787557504988</c:v>
                </c:pt>
                <c:pt idx="4447">
                  <c:v>0.88957791558305144</c:v>
                </c:pt>
                <c:pt idx="4448">
                  <c:v>0.88977795559105299</c:v>
                </c:pt>
                <c:pt idx="4449">
                  <c:v>0.88997799559905455</c:v>
                </c:pt>
                <c:pt idx="4450">
                  <c:v>0.89017803560705611</c:v>
                </c:pt>
                <c:pt idx="4451">
                  <c:v>0.89037807561505766</c:v>
                </c:pt>
                <c:pt idx="4452">
                  <c:v>0.89057811562305922</c:v>
                </c:pt>
                <c:pt idx="4453">
                  <c:v>0.89077815563106078</c:v>
                </c:pt>
                <c:pt idx="4454">
                  <c:v>0.89097819563906233</c:v>
                </c:pt>
                <c:pt idx="4455">
                  <c:v>0.89117823564706389</c:v>
                </c:pt>
                <c:pt idx="4456">
                  <c:v>0.89137827565506544</c:v>
                </c:pt>
                <c:pt idx="4457">
                  <c:v>0.891578315663067</c:v>
                </c:pt>
                <c:pt idx="4458">
                  <c:v>0.89177835567106856</c:v>
                </c:pt>
                <c:pt idx="4459">
                  <c:v>0.89197839567907011</c:v>
                </c:pt>
                <c:pt idx="4460">
                  <c:v>0.89217843568707167</c:v>
                </c:pt>
                <c:pt idx="4461">
                  <c:v>0.89237847569507323</c:v>
                </c:pt>
                <c:pt idx="4462">
                  <c:v>0.89257851570307478</c:v>
                </c:pt>
                <c:pt idx="4463">
                  <c:v>0.89277855571107634</c:v>
                </c:pt>
                <c:pt idx="4464">
                  <c:v>0.89297859571907789</c:v>
                </c:pt>
                <c:pt idx="4465">
                  <c:v>0.89317863572707945</c:v>
                </c:pt>
                <c:pt idx="4466">
                  <c:v>0.89337867573508101</c:v>
                </c:pt>
                <c:pt idx="4467">
                  <c:v>0.89357871574308256</c:v>
                </c:pt>
                <c:pt idx="4468">
                  <c:v>0.89377875575108412</c:v>
                </c:pt>
                <c:pt idx="4469">
                  <c:v>0.89397879575908568</c:v>
                </c:pt>
                <c:pt idx="4470">
                  <c:v>0.89417883576708723</c:v>
                </c:pt>
                <c:pt idx="4471">
                  <c:v>0.89437887577508879</c:v>
                </c:pt>
                <c:pt idx="4472">
                  <c:v>0.89457891578309034</c:v>
                </c:pt>
                <c:pt idx="4473">
                  <c:v>0.8947789557910919</c:v>
                </c:pt>
                <c:pt idx="4474">
                  <c:v>0.89497899579909346</c:v>
                </c:pt>
                <c:pt idx="4475">
                  <c:v>0.89517903580709501</c:v>
                </c:pt>
                <c:pt idx="4476">
                  <c:v>0.89537907581509657</c:v>
                </c:pt>
                <c:pt idx="4477">
                  <c:v>0.89557911582309813</c:v>
                </c:pt>
                <c:pt idx="4478">
                  <c:v>0.89577915583109968</c:v>
                </c:pt>
                <c:pt idx="4479">
                  <c:v>0.89597919583910124</c:v>
                </c:pt>
                <c:pt idx="4480">
                  <c:v>0.8961792358471028</c:v>
                </c:pt>
                <c:pt idx="4481">
                  <c:v>0.89637927585510435</c:v>
                </c:pt>
                <c:pt idx="4482">
                  <c:v>0.89657931586310591</c:v>
                </c:pt>
                <c:pt idx="4483">
                  <c:v>0.89677935587110746</c:v>
                </c:pt>
                <c:pt idx="4484">
                  <c:v>0.89697939587910902</c:v>
                </c:pt>
                <c:pt idx="4485">
                  <c:v>0.89717943588711058</c:v>
                </c:pt>
                <c:pt idx="4486">
                  <c:v>0.89737947589511213</c:v>
                </c:pt>
                <c:pt idx="4487">
                  <c:v>0.89757951590311369</c:v>
                </c:pt>
                <c:pt idx="4488">
                  <c:v>0.89777955591111525</c:v>
                </c:pt>
                <c:pt idx="4489">
                  <c:v>0.8979795959191168</c:v>
                </c:pt>
                <c:pt idx="4490">
                  <c:v>0.89817963592711836</c:v>
                </c:pt>
                <c:pt idx="4491">
                  <c:v>0.89837967593511991</c:v>
                </c:pt>
                <c:pt idx="4492">
                  <c:v>0.89857971594312147</c:v>
                </c:pt>
                <c:pt idx="4493">
                  <c:v>0.89877975595112303</c:v>
                </c:pt>
                <c:pt idx="4494">
                  <c:v>0.89897979595912458</c:v>
                </c:pt>
                <c:pt idx="4495">
                  <c:v>0.89917983596712614</c:v>
                </c:pt>
                <c:pt idx="4496">
                  <c:v>0.8993798759751277</c:v>
                </c:pt>
                <c:pt idx="4497">
                  <c:v>0.89957991598312925</c:v>
                </c:pt>
                <c:pt idx="4498">
                  <c:v>0.89977995599113081</c:v>
                </c:pt>
                <c:pt idx="4499">
                  <c:v>0.89997999599913237</c:v>
                </c:pt>
                <c:pt idx="4500">
                  <c:v>0.90018003600713392</c:v>
                </c:pt>
                <c:pt idx="4501">
                  <c:v>0.90038007601513548</c:v>
                </c:pt>
                <c:pt idx="4502">
                  <c:v>0.90058011602313703</c:v>
                </c:pt>
                <c:pt idx="4503">
                  <c:v>0.90078015603113859</c:v>
                </c:pt>
                <c:pt idx="4504">
                  <c:v>0.90098019603914015</c:v>
                </c:pt>
                <c:pt idx="4505">
                  <c:v>0.9011802360471417</c:v>
                </c:pt>
                <c:pt idx="4506">
                  <c:v>0.90138027605514326</c:v>
                </c:pt>
                <c:pt idx="4507">
                  <c:v>0.90158031606314482</c:v>
                </c:pt>
                <c:pt idx="4508">
                  <c:v>0.90178035607114637</c:v>
                </c:pt>
                <c:pt idx="4509">
                  <c:v>0.90198039607914793</c:v>
                </c:pt>
                <c:pt idx="4510">
                  <c:v>0.90218043608714948</c:v>
                </c:pt>
                <c:pt idx="4511">
                  <c:v>0.90238047609515104</c:v>
                </c:pt>
                <c:pt idx="4512">
                  <c:v>0.9025805161031526</c:v>
                </c:pt>
                <c:pt idx="4513">
                  <c:v>0.90278055611115415</c:v>
                </c:pt>
                <c:pt idx="4514">
                  <c:v>0.90298059611915571</c:v>
                </c:pt>
                <c:pt idx="4515">
                  <c:v>0.90318063612715727</c:v>
                </c:pt>
                <c:pt idx="4516">
                  <c:v>0.90338067613515882</c:v>
                </c:pt>
                <c:pt idx="4517">
                  <c:v>0.90358071614316038</c:v>
                </c:pt>
                <c:pt idx="4518">
                  <c:v>0.90378075615116193</c:v>
                </c:pt>
                <c:pt idx="4519">
                  <c:v>0.90398079615916349</c:v>
                </c:pt>
                <c:pt idx="4520">
                  <c:v>0.90418083616716505</c:v>
                </c:pt>
                <c:pt idx="4521">
                  <c:v>0.9043808761751666</c:v>
                </c:pt>
                <c:pt idx="4522">
                  <c:v>0.90458091618316816</c:v>
                </c:pt>
                <c:pt idx="4523">
                  <c:v>0.90478095619116972</c:v>
                </c:pt>
                <c:pt idx="4524">
                  <c:v>0.90498099619917127</c:v>
                </c:pt>
                <c:pt idx="4525">
                  <c:v>0.90518103620717283</c:v>
                </c:pt>
                <c:pt idx="4526">
                  <c:v>0.90538107621517439</c:v>
                </c:pt>
                <c:pt idx="4527">
                  <c:v>0.90558111622317594</c:v>
                </c:pt>
                <c:pt idx="4528">
                  <c:v>0.9057811562311775</c:v>
                </c:pt>
                <c:pt idx="4529">
                  <c:v>0.90598119623917905</c:v>
                </c:pt>
                <c:pt idx="4530">
                  <c:v>0.90618123624718061</c:v>
                </c:pt>
                <c:pt idx="4531">
                  <c:v>0.90638127625518217</c:v>
                </c:pt>
                <c:pt idx="4532">
                  <c:v>0.90658131626318372</c:v>
                </c:pt>
                <c:pt idx="4533">
                  <c:v>0.90678135627118528</c:v>
                </c:pt>
                <c:pt idx="4534">
                  <c:v>0.90698139627918684</c:v>
                </c:pt>
                <c:pt idx="4535">
                  <c:v>0.90718143628718839</c:v>
                </c:pt>
                <c:pt idx="4536">
                  <c:v>0.90738147629518995</c:v>
                </c:pt>
                <c:pt idx="4537">
                  <c:v>0.9075815163031915</c:v>
                </c:pt>
                <c:pt idx="4538">
                  <c:v>0.90778155631119306</c:v>
                </c:pt>
                <c:pt idx="4539">
                  <c:v>0.90798159631919462</c:v>
                </c:pt>
                <c:pt idx="4540">
                  <c:v>0.90818163632719617</c:v>
                </c:pt>
                <c:pt idx="4541">
                  <c:v>0.90838167633519773</c:v>
                </c:pt>
                <c:pt idx="4542">
                  <c:v>0.90858171634319929</c:v>
                </c:pt>
                <c:pt idx="4543">
                  <c:v>0.90878175635120084</c:v>
                </c:pt>
                <c:pt idx="4544">
                  <c:v>0.9089817963592024</c:v>
                </c:pt>
                <c:pt idx="4545">
                  <c:v>0.90918183636720395</c:v>
                </c:pt>
                <c:pt idx="4546">
                  <c:v>0.90938187637520551</c:v>
                </c:pt>
                <c:pt idx="4547">
                  <c:v>0.90958191638320707</c:v>
                </c:pt>
                <c:pt idx="4548">
                  <c:v>0.90978195639120862</c:v>
                </c:pt>
                <c:pt idx="4549">
                  <c:v>0.90998199639921018</c:v>
                </c:pt>
                <c:pt idx="4550">
                  <c:v>0.91018203640721174</c:v>
                </c:pt>
                <c:pt idx="4551">
                  <c:v>0.91038207641521329</c:v>
                </c:pt>
                <c:pt idx="4552">
                  <c:v>0.91058211642321485</c:v>
                </c:pt>
                <c:pt idx="4553">
                  <c:v>0.91078215643121641</c:v>
                </c:pt>
                <c:pt idx="4554">
                  <c:v>0.91098219643921796</c:v>
                </c:pt>
                <c:pt idx="4555">
                  <c:v>0.91118223644721952</c:v>
                </c:pt>
                <c:pt idx="4556">
                  <c:v>0.91138227645522107</c:v>
                </c:pt>
                <c:pt idx="4557">
                  <c:v>0.91158231646322263</c:v>
                </c:pt>
                <c:pt idx="4558">
                  <c:v>0.91178235647122419</c:v>
                </c:pt>
                <c:pt idx="4559">
                  <c:v>0.91198239647922574</c:v>
                </c:pt>
                <c:pt idx="4560">
                  <c:v>0.9121824364872273</c:v>
                </c:pt>
                <c:pt idx="4561">
                  <c:v>0.91238247649522886</c:v>
                </c:pt>
                <c:pt idx="4562">
                  <c:v>0.91258251650323041</c:v>
                </c:pt>
                <c:pt idx="4563">
                  <c:v>0.91278255651123197</c:v>
                </c:pt>
                <c:pt idx="4564">
                  <c:v>0.91298259651923352</c:v>
                </c:pt>
                <c:pt idx="4565">
                  <c:v>0.91318263652723508</c:v>
                </c:pt>
                <c:pt idx="4566">
                  <c:v>0.91338267653523664</c:v>
                </c:pt>
                <c:pt idx="4567">
                  <c:v>0.91358271654323819</c:v>
                </c:pt>
                <c:pt idx="4568">
                  <c:v>0.91378275655123975</c:v>
                </c:pt>
                <c:pt idx="4569">
                  <c:v>0.91398279655924131</c:v>
                </c:pt>
                <c:pt idx="4570">
                  <c:v>0.91418283656724286</c:v>
                </c:pt>
                <c:pt idx="4571">
                  <c:v>0.91438287657524442</c:v>
                </c:pt>
                <c:pt idx="4572">
                  <c:v>0.91458291658324598</c:v>
                </c:pt>
                <c:pt idx="4573">
                  <c:v>0.91478295659124753</c:v>
                </c:pt>
                <c:pt idx="4574">
                  <c:v>0.91498299659924909</c:v>
                </c:pt>
                <c:pt idx="4575">
                  <c:v>0.91518303660725064</c:v>
                </c:pt>
                <c:pt idx="4576">
                  <c:v>0.9153830766152522</c:v>
                </c:pt>
                <c:pt idx="4577">
                  <c:v>0.91558311662325376</c:v>
                </c:pt>
                <c:pt idx="4578">
                  <c:v>0.91578315663125531</c:v>
                </c:pt>
                <c:pt idx="4579">
                  <c:v>0.91598319663925687</c:v>
                </c:pt>
                <c:pt idx="4580">
                  <c:v>0.91618323664725843</c:v>
                </c:pt>
                <c:pt idx="4581">
                  <c:v>0.91638327665525998</c:v>
                </c:pt>
                <c:pt idx="4582">
                  <c:v>0.91658331666326154</c:v>
                </c:pt>
                <c:pt idx="4583">
                  <c:v>0.91678335667126309</c:v>
                </c:pt>
                <c:pt idx="4584">
                  <c:v>0.91698339667926465</c:v>
                </c:pt>
                <c:pt idx="4585">
                  <c:v>0.91718343668726621</c:v>
                </c:pt>
                <c:pt idx="4586">
                  <c:v>0.91738347669526776</c:v>
                </c:pt>
                <c:pt idx="4587">
                  <c:v>0.91758351670326932</c:v>
                </c:pt>
                <c:pt idx="4588">
                  <c:v>0.91778355671127088</c:v>
                </c:pt>
                <c:pt idx="4589">
                  <c:v>0.91798359671927243</c:v>
                </c:pt>
                <c:pt idx="4590">
                  <c:v>0.91818363672727399</c:v>
                </c:pt>
                <c:pt idx="4591">
                  <c:v>0.91838367673527554</c:v>
                </c:pt>
                <c:pt idx="4592">
                  <c:v>0.9185837167432771</c:v>
                </c:pt>
                <c:pt idx="4593">
                  <c:v>0.91878375675127866</c:v>
                </c:pt>
                <c:pt idx="4594">
                  <c:v>0.91898379675928021</c:v>
                </c:pt>
                <c:pt idx="4595">
                  <c:v>0.91918383676728177</c:v>
                </c:pt>
                <c:pt idx="4596">
                  <c:v>0.91938387677528333</c:v>
                </c:pt>
                <c:pt idx="4597">
                  <c:v>0.91958391678328488</c:v>
                </c:pt>
                <c:pt idx="4598">
                  <c:v>0.91978395679128644</c:v>
                </c:pt>
                <c:pt idx="4599">
                  <c:v>0.919983996799288</c:v>
                </c:pt>
                <c:pt idx="4600">
                  <c:v>0.92018403680728955</c:v>
                </c:pt>
                <c:pt idx="4601">
                  <c:v>0.92038407681529111</c:v>
                </c:pt>
                <c:pt idx="4602">
                  <c:v>0.92058411682329266</c:v>
                </c:pt>
                <c:pt idx="4603">
                  <c:v>0.92078415683129422</c:v>
                </c:pt>
                <c:pt idx="4604">
                  <c:v>0.92098419683929578</c:v>
                </c:pt>
                <c:pt idx="4605">
                  <c:v>0.92118423684729733</c:v>
                </c:pt>
                <c:pt idx="4606">
                  <c:v>0.92138427685529889</c:v>
                </c:pt>
                <c:pt idx="4607">
                  <c:v>0.92158431686330045</c:v>
                </c:pt>
                <c:pt idx="4608">
                  <c:v>0.921784356871302</c:v>
                </c:pt>
                <c:pt idx="4609">
                  <c:v>0.92198439687930356</c:v>
                </c:pt>
                <c:pt idx="4610">
                  <c:v>0.92218443688730511</c:v>
                </c:pt>
                <c:pt idx="4611">
                  <c:v>0.92238447689530667</c:v>
                </c:pt>
                <c:pt idx="4612">
                  <c:v>0.92258451690330823</c:v>
                </c:pt>
                <c:pt idx="4613">
                  <c:v>0.92278455691130978</c:v>
                </c:pt>
                <c:pt idx="4614">
                  <c:v>0.92298459691931134</c:v>
                </c:pt>
                <c:pt idx="4615">
                  <c:v>0.9231846369273129</c:v>
                </c:pt>
                <c:pt idx="4616">
                  <c:v>0.92338467693531445</c:v>
                </c:pt>
                <c:pt idx="4617">
                  <c:v>0.92358471694331601</c:v>
                </c:pt>
                <c:pt idx="4618">
                  <c:v>0.92378475695131756</c:v>
                </c:pt>
                <c:pt idx="4619">
                  <c:v>0.92398479695931912</c:v>
                </c:pt>
                <c:pt idx="4620">
                  <c:v>0.92418483696732068</c:v>
                </c:pt>
                <c:pt idx="4621">
                  <c:v>0.92438487697532223</c:v>
                </c:pt>
                <c:pt idx="4622">
                  <c:v>0.92458491698332379</c:v>
                </c:pt>
                <c:pt idx="4623">
                  <c:v>0.92478495699132535</c:v>
                </c:pt>
                <c:pt idx="4624">
                  <c:v>0.9249849969993269</c:v>
                </c:pt>
                <c:pt idx="4625">
                  <c:v>0.92518503700732846</c:v>
                </c:pt>
                <c:pt idx="4626">
                  <c:v>0.92538507701533002</c:v>
                </c:pt>
                <c:pt idx="4627">
                  <c:v>0.92558511702333157</c:v>
                </c:pt>
                <c:pt idx="4628">
                  <c:v>0.92578515703133313</c:v>
                </c:pt>
                <c:pt idx="4629">
                  <c:v>0.92598519703933468</c:v>
                </c:pt>
                <c:pt idx="4630">
                  <c:v>0.92618523704733624</c:v>
                </c:pt>
                <c:pt idx="4631">
                  <c:v>0.9263852770553378</c:v>
                </c:pt>
                <c:pt idx="4632">
                  <c:v>0.92658531706333935</c:v>
                </c:pt>
                <c:pt idx="4633">
                  <c:v>0.92678535707134091</c:v>
                </c:pt>
                <c:pt idx="4634">
                  <c:v>0.92698539707934247</c:v>
                </c:pt>
                <c:pt idx="4635">
                  <c:v>0.92718543708734402</c:v>
                </c:pt>
                <c:pt idx="4636">
                  <c:v>0.92738547709534558</c:v>
                </c:pt>
                <c:pt idx="4637">
                  <c:v>0.92758551710334713</c:v>
                </c:pt>
                <c:pt idx="4638">
                  <c:v>0.92778555711134869</c:v>
                </c:pt>
                <c:pt idx="4639">
                  <c:v>0.92798559711935025</c:v>
                </c:pt>
                <c:pt idx="4640">
                  <c:v>0.9281856371273518</c:v>
                </c:pt>
                <c:pt idx="4641">
                  <c:v>0.92838567713535336</c:v>
                </c:pt>
                <c:pt idx="4642">
                  <c:v>0.92858571714335492</c:v>
                </c:pt>
                <c:pt idx="4643">
                  <c:v>0.92878575715135647</c:v>
                </c:pt>
                <c:pt idx="4644">
                  <c:v>0.92898579715935803</c:v>
                </c:pt>
                <c:pt idx="4645">
                  <c:v>0.92918583716735959</c:v>
                </c:pt>
                <c:pt idx="4646">
                  <c:v>0.92938587717536114</c:v>
                </c:pt>
                <c:pt idx="4647">
                  <c:v>0.9295859171833627</c:v>
                </c:pt>
                <c:pt idx="4648">
                  <c:v>0.92978595719136425</c:v>
                </c:pt>
                <c:pt idx="4649">
                  <c:v>0.92998599719936581</c:v>
                </c:pt>
                <c:pt idx="4650">
                  <c:v>0.93018603720736737</c:v>
                </c:pt>
                <c:pt idx="4651">
                  <c:v>0.93038607721536892</c:v>
                </c:pt>
                <c:pt idx="4652">
                  <c:v>0.93058611722337048</c:v>
                </c:pt>
                <c:pt idx="4653">
                  <c:v>0.93078615723137204</c:v>
                </c:pt>
                <c:pt idx="4654">
                  <c:v>0.93098619723937359</c:v>
                </c:pt>
                <c:pt idx="4655">
                  <c:v>0.93118623724737515</c:v>
                </c:pt>
                <c:pt idx="4656">
                  <c:v>0.9313862772553767</c:v>
                </c:pt>
                <c:pt idx="4657">
                  <c:v>0.93158631726337826</c:v>
                </c:pt>
                <c:pt idx="4658">
                  <c:v>0.93178635727137982</c:v>
                </c:pt>
                <c:pt idx="4659">
                  <c:v>0.93198639727938137</c:v>
                </c:pt>
                <c:pt idx="4660">
                  <c:v>0.93218643728738293</c:v>
                </c:pt>
                <c:pt idx="4661">
                  <c:v>0.93238647729538449</c:v>
                </c:pt>
                <c:pt idx="4662">
                  <c:v>0.93258651730338604</c:v>
                </c:pt>
                <c:pt idx="4663">
                  <c:v>0.9327865573113876</c:v>
                </c:pt>
                <c:pt idx="4664">
                  <c:v>0.93298659731938915</c:v>
                </c:pt>
                <c:pt idx="4665">
                  <c:v>0.93318663732739071</c:v>
                </c:pt>
                <c:pt idx="4666">
                  <c:v>0.93338667733539227</c:v>
                </c:pt>
                <c:pt idx="4667">
                  <c:v>0.93358671734339382</c:v>
                </c:pt>
                <c:pt idx="4668">
                  <c:v>0.93378675735139538</c:v>
                </c:pt>
                <c:pt idx="4669">
                  <c:v>0.93398679735939694</c:v>
                </c:pt>
                <c:pt idx="4670">
                  <c:v>0.93418683736739849</c:v>
                </c:pt>
                <c:pt idx="4671">
                  <c:v>0.93438687737540005</c:v>
                </c:pt>
                <c:pt idx="4672">
                  <c:v>0.93458691738340161</c:v>
                </c:pt>
                <c:pt idx="4673">
                  <c:v>0.93478695739140316</c:v>
                </c:pt>
                <c:pt idx="4674">
                  <c:v>0.93498699739940472</c:v>
                </c:pt>
                <c:pt idx="4675">
                  <c:v>0.93518703740740627</c:v>
                </c:pt>
                <c:pt idx="4676">
                  <c:v>0.93538707741540783</c:v>
                </c:pt>
                <c:pt idx="4677">
                  <c:v>0.93558711742340939</c:v>
                </c:pt>
                <c:pt idx="4678">
                  <c:v>0.93578715743141094</c:v>
                </c:pt>
                <c:pt idx="4679">
                  <c:v>0.9359871974394125</c:v>
                </c:pt>
                <c:pt idx="4680">
                  <c:v>0.93618723744741406</c:v>
                </c:pt>
                <c:pt idx="4681">
                  <c:v>0.93638727745541561</c:v>
                </c:pt>
                <c:pt idx="4682">
                  <c:v>0.93658731746341717</c:v>
                </c:pt>
                <c:pt idx="4683">
                  <c:v>0.93678735747141872</c:v>
                </c:pt>
                <c:pt idx="4684">
                  <c:v>0.93698739747942028</c:v>
                </c:pt>
                <c:pt idx="4685">
                  <c:v>0.93718743748742184</c:v>
                </c:pt>
                <c:pt idx="4686">
                  <c:v>0.93738747749542339</c:v>
                </c:pt>
                <c:pt idx="4687">
                  <c:v>0.93758751750342495</c:v>
                </c:pt>
                <c:pt idx="4688">
                  <c:v>0.93778755751142651</c:v>
                </c:pt>
                <c:pt idx="4689">
                  <c:v>0.93798759751942806</c:v>
                </c:pt>
                <c:pt idx="4690">
                  <c:v>0.93818763752742962</c:v>
                </c:pt>
                <c:pt idx="4691">
                  <c:v>0.93838767753543118</c:v>
                </c:pt>
                <c:pt idx="4692">
                  <c:v>0.93858771754343273</c:v>
                </c:pt>
                <c:pt idx="4693">
                  <c:v>0.93878775755143429</c:v>
                </c:pt>
                <c:pt idx="4694">
                  <c:v>0.93898779755943584</c:v>
                </c:pt>
                <c:pt idx="4695">
                  <c:v>0.9391878375674374</c:v>
                </c:pt>
                <c:pt idx="4696">
                  <c:v>0.93938787757543896</c:v>
                </c:pt>
                <c:pt idx="4697">
                  <c:v>0.93958791758344051</c:v>
                </c:pt>
                <c:pt idx="4698">
                  <c:v>0.93978795759144207</c:v>
                </c:pt>
                <c:pt idx="4699">
                  <c:v>0.93998799759944363</c:v>
                </c:pt>
                <c:pt idx="4700">
                  <c:v>0.94018803760744518</c:v>
                </c:pt>
                <c:pt idx="4701">
                  <c:v>0.94038807761544674</c:v>
                </c:pt>
                <c:pt idx="4702">
                  <c:v>0.94058811762344829</c:v>
                </c:pt>
                <c:pt idx="4703">
                  <c:v>0.94078815763144985</c:v>
                </c:pt>
                <c:pt idx="4704">
                  <c:v>0.94098819763945141</c:v>
                </c:pt>
                <c:pt idx="4705">
                  <c:v>0.94118823764745296</c:v>
                </c:pt>
                <c:pt idx="4706">
                  <c:v>0.94138827765545452</c:v>
                </c:pt>
                <c:pt idx="4707">
                  <c:v>0.94158831766345608</c:v>
                </c:pt>
                <c:pt idx="4708">
                  <c:v>0.94178835767145763</c:v>
                </c:pt>
                <c:pt idx="4709">
                  <c:v>0.94198839767945919</c:v>
                </c:pt>
                <c:pt idx="4710">
                  <c:v>0.94218843768746074</c:v>
                </c:pt>
                <c:pt idx="4711">
                  <c:v>0.9423884776954623</c:v>
                </c:pt>
                <c:pt idx="4712">
                  <c:v>0.94258851770346386</c:v>
                </c:pt>
                <c:pt idx="4713">
                  <c:v>0.94278855771146541</c:v>
                </c:pt>
                <c:pt idx="4714">
                  <c:v>0.94298859771946697</c:v>
                </c:pt>
                <c:pt idx="4715">
                  <c:v>0.94318863772746853</c:v>
                </c:pt>
                <c:pt idx="4716">
                  <c:v>0.94338867773547008</c:v>
                </c:pt>
                <c:pt idx="4717">
                  <c:v>0.94358871774347164</c:v>
                </c:pt>
                <c:pt idx="4718">
                  <c:v>0.9437887577514732</c:v>
                </c:pt>
                <c:pt idx="4719">
                  <c:v>0.94398879775947475</c:v>
                </c:pt>
                <c:pt idx="4720">
                  <c:v>0.94418883776747631</c:v>
                </c:pt>
                <c:pt idx="4721">
                  <c:v>0.94438887777547786</c:v>
                </c:pt>
                <c:pt idx="4722">
                  <c:v>0.94458891778347942</c:v>
                </c:pt>
                <c:pt idx="4723">
                  <c:v>0.94478895779148098</c:v>
                </c:pt>
                <c:pt idx="4724">
                  <c:v>0.94498899779948253</c:v>
                </c:pt>
                <c:pt idx="4725">
                  <c:v>0.94518903780748409</c:v>
                </c:pt>
                <c:pt idx="4726">
                  <c:v>0.94538907781548565</c:v>
                </c:pt>
                <c:pt idx="4727">
                  <c:v>0.9455891178234872</c:v>
                </c:pt>
                <c:pt idx="4728">
                  <c:v>0.94578915783148876</c:v>
                </c:pt>
                <c:pt idx="4729">
                  <c:v>0.94598919783949031</c:v>
                </c:pt>
                <c:pt idx="4730">
                  <c:v>0.94618923784749187</c:v>
                </c:pt>
                <c:pt idx="4731">
                  <c:v>0.94638927785549343</c:v>
                </c:pt>
                <c:pt idx="4732">
                  <c:v>0.94658931786349498</c:v>
                </c:pt>
                <c:pt idx="4733">
                  <c:v>0.94678935787149654</c:v>
                </c:pt>
                <c:pt idx="4734">
                  <c:v>0.9469893978794981</c:v>
                </c:pt>
                <c:pt idx="4735">
                  <c:v>0.94718943788749965</c:v>
                </c:pt>
                <c:pt idx="4736">
                  <c:v>0.94738947789550121</c:v>
                </c:pt>
                <c:pt idx="4737">
                  <c:v>0.94758951790350276</c:v>
                </c:pt>
                <c:pt idx="4738">
                  <c:v>0.94778955791150432</c:v>
                </c:pt>
                <c:pt idx="4739">
                  <c:v>0.94798959791950588</c:v>
                </c:pt>
                <c:pt idx="4740">
                  <c:v>0.94818963792750743</c:v>
                </c:pt>
                <c:pt idx="4741">
                  <c:v>0.94838967793550899</c:v>
                </c:pt>
                <c:pt idx="4742">
                  <c:v>0.94858971794351055</c:v>
                </c:pt>
                <c:pt idx="4743">
                  <c:v>0.9487897579515121</c:v>
                </c:pt>
                <c:pt idx="4744">
                  <c:v>0.94898979795951366</c:v>
                </c:pt>
                <c:pt idx="4745">
                  <c:v>0.94918983796751522</c:v>
                </c:pt>
                <c:pt idx="4746">
                  <c:v>0.94938987797551677</c:v>
                </c:pt>
                <c:pt idx="4747">
                  <c:v>0.94958991798351833</c:v>
                </c:pt>
                <c:pt idx="4748">
                  <c:v>0.94978995799151988</c:v>
                </c:pt>
                <c:pt idx="4749">
                  <c:v>0.94998999799952144</c:v>
                </c:pt>
                <c:pt idx="4750">
                  <c:v>0.950190038007523</c:v>
                </c:pt>
                <c:pt idx="4751">
                  <c:v>0.95039007801552455</c:v>
                </c:pt>
                <c:pt idx="4752">
                  <c:v>0.95059011802352611</c:v>
                </c:pt>
                <c:pt idx="4753">
                  <c:v>0.95079015803152767</c:v>
                </c:pt>
                <c:pt idx="4754">
                  <c:v>0.95099019803952922</c:v>
                </c:pt>
                <c:pt idx="4755">
                  <c:v>0.95119023804753078</c:v>
                </c:pt>
                <c:pt idx="4756">
                  <c:v>0.95139027805553233</c:v>
                </c:pt>
                <c:pt idx="4757">
                  <c:v>0.95159031806353389</c:v>
                </c:pt>
                <c:pt idx="4758">
                  <c:v>0.95179035807153545</c:v>
                </c:pt>
                <c:pt idx="4759">
                  <c:v>0.951990398079537</c:v>
                </c:pt>
                <c:pt idx="4760">
                  <c:v>0.95219043808753856</c:v>
                </c:pt>
                <c:pt idx="4761">
                  <c:v>0.95239047809554012</c:v>
                </c:pt>
                <c:pt idx="4762">
                  <c:v>0.95259051810354167</c:v>
                </c:pt>
                <c:pt idx="4763">
                  <c:v>0.95279055811154323</c:v>
                </c:pt>
                <c:pt idx="4764">
                  <c:v>0.95299059811954479</c:v>
                </c:pt>
                <c:pt idx="4765">
                  <c:v>0.95319063812754634</c:v>
                </c:pt>
                <c:pt idx="4766">
                  <c:v>0.9533906781355479</c:v>
                </c:pt>
                <c:pt idx="4767">
                  <c:v>0.95359071814354945</c:v>
                </c:pt>
                <c:pt idx="4768">
                  <c:v>0.95379075815155101</c:v>
                </c:pt>
                <c:pt idx="4769">
                  <c:v>0.95399079815955257</c:v>
                </c:pt>
                <c:pt idx="4770">
                  <c:v>0.95419083816755412</c:v>
                </c:pt>
                <c:pt idx="4771">
                  <c:v>0.95439087817555568</c:v>
                </c:pt>
                <c:pt idx="4772">
                  <c:v>0.95459091818355724</c:v>
                </c:pt>
                <c:pt idx="4773">
                  <c:v>0.95479095819155879</c:v>
                </c:pt>
                <c:pt idx="4774">
                  <c:v>0.95499099819956035</c:v>
                </c:pt>
                <c:pt idx="4775">
                  <c:v>0.9551910382075619</c:v>
                </c:pt>
                <c:pt idx="4776">
                  <c:v>0.95539107821556346</c:v>
                </c:pt>
                <c:pt idx="4777">
                  <c:v>0.95559111822356502</c:v>
                </c:pt>
                <c:pt idx="4778">
                  <c:v>0.95579115823156657</c:v>
                </c:pt>
                <c:pt idx="4779">
                  <c:v>0.95599119823956813</c:v>
                </c:pt>
                <c:pt idx="4780">
                  <c:v>0.95619123824756969</c:v>
                </c:pt>
                <c:pt idx="4781">
                  <c:v>0.95639127825557124</c:v>
                </c:pt>
                <c:pt idx="4782">
                  <c:v>0.9565913182635728</c:v>
                </c:pt>
                <c:pt idx="4783">
                  <c:v>0.95679135827157435</c:v>
                </c:pt>
                <c:pt idx="4784">
                  <c:v>0.95699139827957591</c:v>
                </c:pt>
                <c:pt idx="4785">
                  <c:v>0.95719143828757747</c:v>
                </c:pt>
                <c:pt idx="4786">
                  <c:v>0.95739147829557902</c:v>
                </c:pt>
                <c:pt idx="4787">
                  <c:v>0.95759151830358058</c:v>
                </c:pt>
                <c:pt idx="4788">
                  <c:v>0.95779155831158214</c:v>
                </c:pt>
                <c:pt idx="4789">
                  <c:v>0.95799159831958369</c:v>
                </c:pt>
                <c:pt idx="4790">
                  <c:v>0.95819163832758525</c:v>
                </c:pt>
                <c:pt idx="4791">
                  <c:v>0.95839167833558681</c:v>
                </c:pt>
                <c:pt idx="4792">
                  <c:v>0.95859171834358836</c:v>
                </c:pt>
                <c:pt idx="4793">
                  <c:v>0.95879175835158992</c:v>
                </c:pt>
                <c:pt idx="4794">
                  <c:v>0.95899179835959147</c:v>
                </c:pt>
                <c:pt idx="4795">
                  <c:v>0.95919183836759303</c:v>
                </c:pt>
                <c:pt idx="4796">
                  <c:v>0.95939187837559459</c:v>
                </c:pt>
                <c:pt idx="4797">
                  <c:v>0.95959191838359614</c:v>
                </c:pt>
                <c:pt idx="4798">
                  <c:v>0.9597919583915977</c:v>
                </c:pt>
                <c:pt idx="4799">
                  <c:v>0.95999199839959926</c:v>
                </c:pt>
                <c:pt idx="4800">
                  <c:v>0.96019203840760081</c:v>
                </c:pt>
                <c:pt idx="4801">
                  <c:v>0.96039207841560237</c:v>
                </c:pt>
                <c:pt idx="4802">
                  <c:v>0.96059211842360392</c:v>
                </c:pt>
                <c:pt idx="4803">
                  <c:v>0.96079215843160548</c:v>
                </c:pt>
                <c:pt idx="4804">
                  <c:v>0.96099219843960704</c:v>
                </c:pt>
                <c:pt idx="4805">
                  <c:v>0.96119223844760859</c:v>
                </c:pt>
                <c:pt idx="4806">
                  <c:v>0.96139227845561015</c:v>
                </c:pt>
                <c:pt idx="4807">
                  <c:v>0.96159231846361171</c:v>
                </c:pt>
                <c:pt idx="4808">
                  <c:v>0.96179235847161326</c:v>
                </c:pt>
                <c:pt idx="4809">
                  <c:v>0.96199239847961482</c:v>
                </c:pt>
                <c:pt idx="4810">
                  <c:v>0.96219243848761637</c:v>
                </c:pt>
                <c:pt idx="4811">
                  <c:v>0.96239247849561793</c:v>
                </c:pt>
                <c:pt idx="4812">
                  <c:v>0.96259251850361949</c:v>
                </c:pt>
                <c:pt idx="4813">
                  <c:v>0.96279255851162104</c:v>
                </c:pt>
                <c:pt idx="4814">
                  <c:v>0.9629925985196226</c:v>
                </c:pt>
                <c:pt idx="4815">
                  <c:v>0.96319263852762416</c:v>
                </c:pt>
                <c:pt idx="4816">
                  <c:v>0.96339267853562571</c:v>
                </c:pt>
                <c:pt idx="4817">
                  <c:v>0.96359271854362727</c:v>
                </c:pt>
                <c:pt idx="4818">
                  <c:v>0.96379275855162883</c:v>
                </c:pt>
                <c:pt idx="4819">
                  <c:v>0.96399279855963038</c:v>
                </c:pt>
                <c:pt idx="4820">
                  <c:v>0.96419283856763194</c:v>
                </c:pt>
                <c:pt idx="4821">
                  <c:v>0.96439287857563349</c:v>
                </c:pt>
                <c:pt idx="4822">
                  <c:v>0.96459291858363505</c:v>
                </c:pt>
                <c:pt idx="4823">
                  <c:v>0.96479295859163661</c:v>
                </c:pt>
                <c:pt idx="4824">
                  <c:v>0.96499299859963816</c:v>
                </c:pt>
                <c:pt idx="4825">
                  <c:v>0.96519303860763972</c:v>
                </c:pt>
                <c:pt idx="4826">
                  <c:v>0.96539307861564128</c:v>
                </c:pt>
                <c:pt idx="4827">
                  <c:v>0.96559311862364283</c:v>
                </c:pt>
                <c:pt idx="4828">
                  <c:v>0.96579315863164439</c:v>
                </c:pt>
                <c:pt idx="4829">
                  <c:v>0.96599319863964594</c:v>
                </c:pt>
                <c:pt idx="4830">
                  <c:v>0.9661932386476475</c:v>
                </c:pt>
                <c:pt idx="4831">
                  <c:v>0.96639327865564906</c:v>
                </c:pt>
                <c:pt idx="4832">
                  <c:v>0.96659331866365061</c:v>
                </c:pt>
                <c:pt idx="4833">
                  <c:v>0.96679335867165217</c:v>
                </c:pt>
                <c:pt idx="4834">
                  <c:v>0.96699339867965373</c:v>
                </c:pt>
                <c:pt idx="4835">
                  <c:v>0.96719343868765528</c:v>
                </c:pt>
                <c:pt idx="4836">
                  <c:v>0.96739347869565684</c:v>
                </c:pt>
                <c:pt idx="4837">
                  <c:v>0.9675935187036584</c:v>
                </c:pt>
                <c:pt idx="4838">
                  <c:v>0.96779355871165995</c:v>
                </c:pt>
                <c:pt idx="4839">
                  <c:v>0.96799359871966151</c:v>
                </c:pt>
                <c:pt idx="4840">
                  <c:v>0.96819363872766306</c:v>
                </c:pt>
                <c:pt idx="4841">
                  <c:v>0.96839367873566462</c:v>
                </c:pt>
                <c:pt idx="4842">
                  <c:v>0.96859371874366618</c:v>
                </c:pt>
                <c:pt idx="4843">
                  <c:v>0.96879375875166773</c:v>
                </c:pt>
                <c:pt idx="4844">
                  <c:v>0.96899379875966929</c:v>
                </c:pt>
                <c:pt idx="4845">
                  <c:v>0.96919383876767085</c:v>
                </c:pt>
                <c:pt idx="4846">
                  <c:v>0.9693938787756724</c:v>
                </c:pt>
                <c:pt idx="4847">
                  <c:v>0.96959391878367396</c:v>
                </c:pt>
                <c:pt idx="4848">
                  <c:v>0.96979395879167551</c:v>
                </c:pt>
                <c:pt idx="4849">
                  <c:v>0.96999399879967707</c:v>
                </c:pt>
                <c:pt idx="4850">
                  <c:v>0.97019403880767863</c:v>
                </c:pt>
                <c:pt idx="4851">
                  <c:v>0.97039407881568018</c:v>
                </c:pt>
                <c:pt idx="4852">
                  <c:v>0.97059411882368174</c:v>
                </c:pt>
                <c:pt idx="4853">
                  <c:v>0.9707941588316833</c:v>
                </c:pt>
                <c:pt idx="4854">
                  <c:v>0.97099419883968485</c:v>
                </c:pt>
                <c:pt idx="4855">
                  <c:v>0.97119423884768641</c:v>
                </c:pt>
                <c:pt idx="4856">
                  <c:v>0.97139427885568796</c:v>
                </c:pt>
                <c:pt idx="4857">
                  <c:v>0.97159431886368952</c:v>
                </c:pt>
                <c:pt idx="4858">
                  <c:v>0.97179435887169108</c:v>
                </c:pt>
                <c:pt idx="4859">
                  <c:v>0.97199439887969263</c:v>
                </c:pt>
                <c:pt idx="4860">
                  <c:v>0.97219443888769419</c:v>
                </c:pt>
                <c:pt idx="4861">
                  <c:v>0.97239447889569575</c:v>
                </c:pt>
                <c:pt idx="4862">
                  <c:v>0.9725945189036973</c:v>
                </c:pt>
                <c:pt idx="4863">
                  <c:v>0.97279455891169886</c:v>
                </c:pt>
                <c:pt idx="4864">
                  <c:v>0.97299459891970042</c:v>
                </c:pt>
                <c:pt idx="4865">
                  <c:v>0.97319463892770197</c:v>
                </c:pt>
                <c:pt idx="4866">
                  <c:v>0.97339467893570353</c:v>
                </c:pt>
                <c:pt idx="4867">
                  <c:v>0.97359471894370508</c:v>
                </c:pt>
                <c:pt idx="4868">
                  <c:v>0.97379475895170664</c:v>
                </c:pt>
                <c:pt idx="4869">
                  <c:v>0.9739947989597082</c:v>
                </c:pt>
                <c:pt idx="4870">
                  <c:v>0.97419483896770975</c:v>
                </c:pt>
                <c:pt idx="4871">
                  <c:v>0.97439487897571131</c:v>
                </c:pt>
                <c:pt idx="4872">
                  <c:v>0.97459491898371287</c:v>
                </c:pt>
                <c:pt idx="4873">
                  <c:v>0.97479495899171442</c:v>
                </c:pt>
                <c:pt idx="4874">
                  <c:v>0.97499499899971598</c:v>
                </c:pt>
                <c:pt idx="4875">
                  <c:v>0.97519503900771753</c:v>
                </c:pt>
                <c:pt idx="4876">
                  <c:v>0.97539507901571909</c:v>
                </c:pt>
                <c:pt idx="4877">
                  <c:v>0.97559511902372065</c:v>
                </c:pt>
                <c:pt idx="4878">
                  <c:v>0.9757951590317222</c:v>
                </c:pt>
                <c:pt idx="4879">
                  <c:v>0.97599519903972376</c:v>
                </c:pt>
                <c:pt idx="4880">
                  <c:v>0.97619523904772532</c:v>
                </c:pt>
                <c:pt idx="4881">
                  <c:v>0.97639527905572687</c:v>
                </c:pt>
                <c:pt idx="4882">
                  <c:v>0.97659531906372843</c:v>
                </c:pt>
                <c:pt idx="4883">
                  <c:v>0.97679535907172998</c:v>
                </c:pt>
                <c:pt idx="4884">
                  <c:v>0.97699539907973154</c:v>
                </c:pt>
                <c:pt idx="4885">
                  <c:v>0.9771954390877331</c:v>
                </c:pt>
                <c:pt idx="4886">
                  <c:v>0.97739547909573465</c:v>
                </c:pt>
                <c:pt idx="4887">
                  <c:v>0.97759551910373621</c:v>
                </c:pt>
                <c:pt idx="4888">
                  <c:v>0.97779555911173777</c:v>
                </c:pt>
                <c:pt idx="4889">
                  <c:v>0.97799559911973932</c:v>
                </c:pt>
                <c:pt idx="4890">
                  <c:v>0.97819563912774088</c:v>
                </c:pt>
                <c:pt idx="4891">
                  <c:v>0.97839567913574244</c:v>
                </c:pt>
                <c:pt idx="4892">
                  <c:v>0.97859571914374399</c:v>
                </c:pt>
                <c:pt idx="4893">
                  <c:v>0.97879575915174555</c:v>
                </c:pt>
                <c:pt idx="4894">
                  <c:v>0.9789957991597471</c:v>
                </c:pt>
                <c:pt idx="4895">
                  <c:v>0.97919583916774866</c:v>
                </c:pt>
                <c:pt idx="4896">
                  <c:v>0.97939587917575022</c:v>
                </c:pt>
                <c:pt idx="4897">
                  <c:v>0.97959591918375177</c:v>
                </c:pt>
                <c:pt idx="4898">
                  <c:v>0.97979595919175333</c:v>
                </c:pt>
                <c:pt idx="4899">
                  <c:v>0.97999599919975489</c:v>
                </c:pt>
                <c:pt idx="4900">
                  <c:v>0.98019603920775644</c:v>
                </c:pt>
                <c:pt idx="4901">
                  <c:v>0.980396079215758</c:v>
                </c:pt>
                <c:pt idx="4902">
                  <c:v>0.98059611922375955</c:v>
                </c:pt>
                <c:pt idx="4903">
                  <c:v>0.98079615923176111</c:v>
                </c:pt>
                <c:pt idx="4904">
                  <c:v>0.98099619923976267</c:v>
                </c:pt>
                <c:pt idx="4905">
                  <c:v>0.98119623924776422</c:v>
                </c:pt>
                <c:pt idx="4906">
                  <c:v>0.98139627925576578</c:v>
                </c:pt>
                <c:pt idx="4907">
                  <c:v>0.98159631926376734</c:v>
                </c:pt>
                <c:pt idx="4908">
                  <c:v>0.98179635927176889</c:v>
                </c:pt>
                <c:pt idx="4909">
                  <c:v>0.98199639927977045</c:v>
                </c:pt>
                <c:pt idx="4910">
                  <c:v>0.98219643928777201</c:v>
                </c:pt>
                <c:pt idx="4911">
                  <c:v>0.98239647929577356</c:v>
                </c:pt>
                <c:pt idx="4912">
                  <c:v>0.98259651930377512</c:v>
                </c:pt>
                <c:pt idx="4913">
                  <c:v>0.98279655931177667</c:v>
                </c:pt>
                <c:pt idx="4914">
                  <c:v>0.98299659931977823</c:v>
                </c:pt>
                <c:pt idx="4915">
                  <c:v>0.98319663932777979</c:v>
                </c:pt>
                <c:pt idx="4916">
                  <c:v>0.98339667933578134</c:v>
                </c:pt>
                <c:pt idx="4917">
                  <c:v>0.9835967193437829</c:v>
                </c:pt>
                <c:pt idx="4918">
                  <c:v>0.98379675935178446</c:v>
                </c:pt>
                <c:pt idx="4919">
                  <c:v>0.98399679935978601</c:v>
                </c:pt>
                <c:pt idx="4920">
                  <c:v>0.98419683936778757</c:v>
                </c:pt>
                <c:pt idx="4921">
                  <c:v>0.98439687937578912</c:v>
                </c:pt>
                <c:pt idx="4922">
                  <c:v>0.98459691938379068</c:v>
                </c:pt>
                <c:pt idx="4923">
                  <c:v>0.98479695939179224</c:v>
                </c:pt>
                <c:pt idx="4924">
                  <c:v>0.98499699939979379</c:v>
                </c:pt>
                <c:pt idx="4925">
                  <c:v>0.98519703940779535</c:v>
                </c:pt>
                <c:pt idx="4926">
                  <c:v>0.98539707941579691</c:v>
                </c:pt>
                <c:pt idx="4927">
                  <c:v>0.98559711942379846</c:v>
                </c:pt>
                <c:pt idx="4928">
                  <c:v>0.98579715943180002</c:v>
                </c:pt>
                <c:pt idx="4929">
                  <c:v>0.98599719943980157</c:v>
                </c:pt>
                <c:pt idx="4930">
                  <c:v>0.98619723944780313</c:v>
                </c:pt>
                <c:pt idx="4931">
                  <c:v>0.98639727945580469</c:v>
                </c:pt>
                <c:pt idx="4932">
                  <c:v>0.98659731946380624</c:v>
                </c:pt>
                <c:pt idx="4933">
                  <c:v>0.9867973594718078</c:v>
                </c:pt>
                <c:pt idx="4934">
                  <c:v>0.98699739947980936</c:v>
                </c:pt>
                <c:pt idx="4935">
                  <c:v>0.98719743948781091</c:v>
                </c:pt>
                <c:pt idx="4936">
                  <c:v>0.98739747949581247</c:v>
                </c:pt>
                <c:pt idx="4937">
                  <c:v>0.98759751950381403</c:v>
                </c:pt>
                <c:pt idx="4938">
                  <c:v>0.98779755951181558</c:v>
                </c:pt>
                <c:pt idx="4939">
                  <c:v>0.98799759951981714</c:v>
                </c:pt>
                <c:pt idx="4940">
                  <c:v>0.98819763952781869</c:v>
                </c:pt>
                <c:pt idx="4941">
                  <c:v>0.98839767953582025</c:v>
                </c:pt>
                <c:pt idx="4942">
                  <c:v>0.98859771954382181</c:v>
                </c:pt>
                <c:pt idx="4943">
                  <c:v>0.98879775955182336</c:v>
                </c:pt>
                <c:pt idx="4944">
                  <c:v>0.98899779955982492</c:v>
                </c:pt>
                <c:pt idx="4945">
                  <c:v>0.98919783956782648</c:v>
                </c:pt>
                <c:pt idx="4946">
                  <c:v>0.98939787957582803</c:v>
                </c:pt>
                <c:pt idx="4947">
                  <c:v>0.98959791958382959</c:v>
                </c:pt>
                <c:pt idx="4948">
                  <c:v>0.98979795959183114</c:v>
                </c:pt>
                <c:pt idx="4949">
                  <c:v>0.9899979995998327</c:v>
                </c:pt>
                <c:pt idx="4950">
                  <c:v>0.99019803960783426</c:v>
                </c:pt>
                <c:pt idx="4951">
                  <c:v>0.99039807961583581</c:v>
                </c:pt>
                <c:pt idx="4952">
                  <c:v>0.99059811962383737</c:v>
                </c:pt>
                <c:pt idx="4953">
                  <c:v>0.99079815963183893</c:v>
                </c:pt>
                <c:pt idx="4954">
                  <c:v>0.99099819963984048</c:v>
                </c:pt>
                <c:pt idx="4955">
                  <c:v>0.99119823964784204</c:v>
                </c:pt>
                <c:pt idx="4956">
                  <c:v>0.9913982796558436</c:v>
                </c:pt>
                <c:pt idx="4957">
                  <c:v>0.99159831966384515</c:v>
                </c:pt>
                <c:pt idx="4958">
                  <c:v>0.99179835967184671</c:v>
                </c:pt>
                <c:pt idx="4959">
                  <c:v>0.99199839967984826</c:v>
                </c:pt>
                <c:pt idx="4960">
                  <c:v>0.99219843968784982</c:v>
                </c:pt>
                <c:pt idx="4961">
                  <c:v>0.99239847969585138</c:v>
                </c:pt>
                <c:pt idx="4962">
                  <c:v>0.99259851970385293</c:v>
                </c:pt>
                <c:pt idx="4963">
                  <c:v>0.99279855971185449</c:v>
                </c:pt>
                <c:pt idx="4964">
                  <c:v>0.99299859971985605</c:v>
                </c:pt>
                <c:pt idx="4965">
                  <c:v>0.9931986397278576</c:v>
                </c:pt>
                <c:pt idx="4966">
                  <c:v>0.99339867973585916</c:v>
                </c:pt>
                <c:pt idx="4967">
                  <c:v>0.99359871974386071</c:v>
                </c:pt>
                <c:pt idx="4968">
                  <c:v>0.99379875975186227</c:v>
                </c:pt>
                <c:pt idx="4969">
                  <c:v>0.99399879975986383</c:v>
                </c:pt>
                <c:pt idx="4970">
                  <c:v>0.99419883976786538</c:v>
                </c:pt>
                <c:pt idx="4971">
                  <c:v>0.99439887977586694</c:v>
                </c:pt>
                <c:pt idx="4972">
                  <c:v>0.9945989197838685</c:v>
                </c:pt>
                <c:pt idx="4973">
                  <c:v>0.99479895979187005</c:v>
                </c:pt>
                <c:pt idx="4974">
                  <c:v>0.99499899979987161</c:v>
                </c:pt>
                <c:pt idx="4975">
                  <c:v>0.99519903980787316</c:v>
                </c:pt>
                <c:pt idx="4976">
                  <c:v>0.99539907981587472</c:v>
                </c:pt>
                <c:pt idx="4977">
                  <c:v>0.99559911982387628</c:v>
                </c:pt>
                <c:pt idx="4978">
                  <c:v>0.99579915983187783</c:v>
                </c:pt>
                <c:pt idx="4979">
                  <c:v>0.99599919983987939</c:v>
                </c:pt>
                <c:pt idx="4980">
                  <c:v>0.99619923984788095</c:v>
                </c:pt>
                <c:pt idx="4981">
                  <c:v>0.9963992798558825</c:v>
                </c:pt>
                <c:pt idx="4982">
                  <c:v>0.99659931986388406</c:v>
                </c:pt>
                <c:pt idx="4983">
                  <c:v>0.99679935987188562</c:v>
                </c:pt>
                <c:pt idx="4984">
                  <c:v>0.99699939987988717</c:v>
                </c:pt>
                <c:pt idx="4985">
                  <c:v>0.99719943988788873</c:v>
                </c:pt>
                <c:pt idx="4986">
                  <c:v>0.99739947989589028</c:v>
                </c:pt>
                <c:pt idx="4987">
                  <c:v>0.99759951990389184</c:v>
                </c:pt>
                <c:pt idx="4988">
                  <c:v>0.9977995599118934</c:v>
                </c:pt>
                <c:pt idx="4989">
                  <c:v>0.99799959991989495</c:v>
                </c:pt>
                <c:pt idx="4990">
                  <c:v>0.99819963992789651</c:v>
                </c:pt>
                <c:pt idx="4991">
                  <c:v>0.99839967993589807</c:v>
                </c:pt>
                <c:pt idx="4992">
                  <c:v>0.99859971994389962</c:v>
                </c:pt>
                <c:pt idx="4993">
                  <c:v>0.99879975995190118</c:v>
                </c:pt>
                <c:pt idx="4994">
                  <c:v>0.99899979995990273</c:v>
                </c:pt>
                <c:pt idx="4995">
                  <c:v>0.99919983996790429</c:v>
                </c:pt>
                <c:pt idx="4996">
                  <c:v>0.99939987997590585</c:v>
                </c:pt>
                <c:pt idx="4997">
                  <c:v>0.9995999199839074</c:v>
                </c:pt>
                <c:pt idx="4998">
                  <c:v>0.99979995999190896</c:v>
                </c:pt>
                <c:pt idx="4999">
                  <c:v>0.99999999999991052</c:v>
                </c:pt>
              </c:numCache>
            </c:numRef>
          </c:yVal>
          <c:smooth val="1"/>
        </c:ser>
        <c:axId val="162609024"/>
        <c:axId val="162610560"/>
      </c:scatterChart>
      <c:valAx>
        <c:axId val="162609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610560"/>
        <c:crosses val="autoZero"/>
        <c:crossBetween val="midCat"/>
      </c:valAx>
      <c:valAx>
        <c:axId val="16261056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7553017944535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6090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SimDataScen!$Q$6</c:f>
          <c:strCache>
            <c:ptCount val="1"/>
            <c:pt idx="0">
              <c:v>PDF Approximations</c:v>
            </c:pt>
          </c:strCache>
        </c:strRef>
      </c:tx>
      <c:layout>
        <c:manualLayout>
          <c:xMode val="edge"/>
          <c:yMode val="edge"/>
          <c:x val="0.34587608994951813"/>
          <c:y val="3.827093128424388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5.4513079394217533E-2"/>
          <c:y val="0.206663028934917"/>
          <c:w val="0.89288664525011474"/>
          <c:h val="0.52431175859414125"/>
        </c:manualLayout>
      </c:layout>
      <c:scatterChart>
        <c:scatterStyle val="smoothMarker"/>
        <c:ser>
          <c:idx val="0"/>
          <c:order val="0"/>
          <c:tx>
            <c:strRef>
              <c:f>SimDataScen!$R$7</c:f>
              <c:strCache>
                <c:ptCount val="1"/>
                <c:pt idx="0">
                  <c:v>Profit: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SimDataScen!$R$16:$R$115</c:f>
              <c:numCache>
                <c:formatCode>0.000</c:formatCode>
                <c:ptCount val="100"/>
                <c:pt idx="0">
                  <c:v>63.580362380286331</c:v>
                </c:pt>
                <c:pt idx="1">
                  <c:v>68.793456054547505</c:v>
                </c:pt>
                <c:pt idx="2">
                  <c:v>74.006549728808679</c:v>
                </c:pt>
                <c:pt idx="3">
                  <c:v>79.219643403069853</c:v>
                </c:pt>
                <c:pt idx="4">
                  <c:v>84.432737077331026</c:v>
                </c:pt>
                <c:pt idx="5">
                  <c:v>89.6458307515922</c:v>
                </c:pt>
                <c:pt idx="6">
                  <c:v>94.858924425853374</c:v>
                </c:pt>
                <c:pt idx="7">
                  <c:v>100.07201810011455</c:v>
                </c:pt>
                <c:pt idx="8">
                  <c:v>105.28511177437572</c:v>
                </c:pt>
                <c:pt idx="9">
                  <c:v>110.4982054486369</c:v>
                </c:pt>
                <c:pt idx="10">
                  <c:v>115.71129912289807</c:v>
                </c:pt>
                <c:pt idx="11">
                  <c:v>120.92439279715924</c:v>
                </c:pt>
                <c:pt idx="12">
                  <c:v>126.13748647142042</c:v>
                </c:pt>
                <c:pt idx="13">
                  <c:v>131.35058014568159</c:v>
                </c:pt>
                <c:pt idx="14">
                  <c:v>136.56367381994278</c:v>
                </c:pt>
                <c:pt idx="15">
                  <c:v>141.77676749420397</c:v>
                </c:pt>
                <c:pt idx="16">
                  <c:v>146.98986116846515</c:v>
                </c:pt>
                <c:pt idx="17">
                  <c:v>152.20295484272634</c:v>
                </c:pt>
                <c:pt idx="18">
                  <c:v>157.41604851698753</c:v>
                </c:pt>
                <c:pt idx="19">
                  <c:v>162.62914219124872</c:v>
                </c:pt>
                <c:pt idx="20">
                  <c:v>167.84223586550991</c:v>
                </c:pt>
                <c:pt idx="21">
                  <c:v>173.05532953977109</c:v>
                </c:pt>
                <c:pt idx="22">
                  <c:v>178.26842321403228</c:v>
                </c:pt>
                <c:pt idx="23">
                  <c:v>183.48151688829347</c:v>
                </c:pt>
                <c:pt idx="24">
                  <c:v>188.69461056255466</c:v>
                </c:pt>
                <c:pt idx="25">
                  <c:v>193.90770423681585</c:v>
                </c:pt>
                <c:pt idx="26">
                  <c:v>199.12079791107703</c:v>
                </c:pt>
                <c:pt idx="27">
                  <c:v>204.33389158533822</c:v>
                </c:pt>
                <c:pt idx="28">
                  <c:v>209.54698525959941</c:v>
                </c:pt>
                <c:pt idx="29">
                  <c:v>214.7600789338606</c:v>
                </c:pt>
                <c:pt idx="30">
                  <c:v>219.97317260812179</c:v>
                </c:pt>
                <c:pt idx="31">
                  <c:v>225.18626628238297</c:v>
                </c:pt>
                <c:pt idx="32">
                  <c:v>230.39935995664416</c:v>
                </c:pt>
                <c:pt idx="33">
                  <c:v>235.61245363090535</c:v>
                </c:pt>
                <c:pt idx="34">
                  <c:v>240.82554730516654</c:v>
                </c:pt>
                <c:pt idx="35">
                  <c:v>246.03864097942773</c:v>
                </c:pt>
                <c:pt idx="36">
                  <c:v>251.25173465368891</c:v>
                </c:pt>
                <c:pt idx="37">
                  <c:v>256.4648283279501</c:v>
                </c:pt>
                <c:pt idx="38">
                  <c:v>261.67792200221129</c:v>
                </c:pt>
                <c:pt idx="39">
                  <c:v>266.89101567647248</c:v>
                </c:pt>
                <c:pt idx="40">
                  <c:v>272.10410935073367</c:v>
                </c:pt>
                <c:pt idx="41">
                  <c:v>277.31720302499485</c:v>
                </c:pt>
                <c:pt idx="42">
                  <c:v>282.53029669925604</c:v>
                </c:pt>
                <c:pt idx="43">
                  <c:v>287.74339037351723</c:v>
                </c:pt>
                <c:pt idx="44">
                  <c:v>292.95648404777842</c:v>
                </c:pt>
                <c:pt idx="45">
                  <c:v>298.16957772203961</c:v>
                </c:pt>
                <c:pt idx="46">
                  <c:v>303.38267139630079</c:v>
                </c:pt>
                <c:pt idx="47">
                  <c:v>308.59576507056198</c:v>
                </c:pt>
                <c:pt idx="48">
                  <c:v>313.80885874482317</c:v>
                </c:pt>
                <c:pt idx="49">
                  <c:v>319.02195241908436</c:v>
                </c:pt>
                <c:pt idx="50">
                  <c:v>324.23504609334555</c:v>
                </c:pt>
                <c:pt idx="51">
                  <c:v>329.44813976760673</c:v>
                </c:pt>
                <c:pt idx="52">
                  <c:v>334.66123344186792</c:v>
                </c:pt>
                <c:pt idx="53">
                  <c:v>339.87432711612911</c:v>
                </c:pt>
                <c:pt idx="54">
                  <c:v>345.0874207903903</c:v>
                </c:pt>
                <c:pt idx="55">
                  <c:v>350.30051446465149</c:v>
                </c:pt>
                <c:pt idx="56">
                  <c:v>355.51360813891267</c:v>
                </c:pt>
                <c:pt idx="57">
                  <c:v>360.72670181317386</c:v>
                </c:pt>
                <c:pt idx="58">
                  <c:v>365.93979548743505</c:v>
                </c:pt>
                <c:pt idx="59">
                  <c:v>371.15288916169624</c:v>
                </c:pt>
                <c:pt idx="60">
                  <c:v>376.36598283595742</c:v>
                </c:pt>
                <c:pt idx="61">
                  <c:v>381.57907651021861</c:v>
                </c:pt>
                <c:pt idx="62">
                  <c:v>386.7921701844798</c:v>
                </c:pt>
                <c:pt idx="63">
                  <c:v>392.00526385874099</c:v>
                </c:pt>
                <c:pt idx="64">
                  <c:v>397.21835753300218</c:v>
                </c:pt>
                <c:pt idx="65">
                  <c:v>402.43145120726336</c:v>
                </c:pt>
                <c:pt idx="66">
                  <c:v>407.64454488152455</c:v>
                </c:pt>
                <c:pt idx="67">
                  <c:v>412.85763855578574</c:v>
                </c:pt>
                <c:pt idx="68">
                  <c:v>418.07073223004693</c:v>
                </c:pt>
                <c:pt idx="69">
                  <c:v>423.28382590430812</c:v>
                </c:pt>
                <c:pt idx="70">
                  <c:v>428.4969195785693</c:v>
                </c:pt>
                <c:pt idx="71">
                  <c:v>433.71001325283049</c:v>
                </c:pt>
                <c:pt idx="72">
                  <c:v>438.92310692709168</c:v>
                </c:pt>
                <c:pt idx="73">
                  <c:v>444.13620060135287</c:v>
                </c:pt>
                <c:pt idx="74">
                  <c:v>449.34929427561406</c:v>
                </c:pt>
                <c:pt idx="75">
                  <c:v>454.56238794987524</c:v>
                </c:pt>
                <c:pt idx="76">
                  <c:v>459.77548162413643</c:v>
                </c:pt>
                <c:pt idx="77">
                  <c:v>464.98857529839762</c:v>
                </c:pt>
                <c:pt idx="78">
                  <c:v>470.20166897265881</c:v>
                </c:pt>
                <c:pt idx="79">
                  <c:v>475.41476264692</c:v>
                </c:pt>
                <c:pt idx="80">
                  <c:v>480.62785632118118</c:v>
                </c:pt>
                <c:pt idx="81">
                  <c:v>485.84094999544237</c:v>
                </c:pt>
                <c:pt idx="82">
                  <c:v>491.05404366970356</c:v>
                </c:pt>
                <c:pt idx="83">
                  <c:v>496.26713734396475</c:v>
                </c:pt>
                <c:pt idx="84">
                  <c:v>501.48023101822594</c:v>
                </c:pt>
                <c:pt idx="85">
                  <c:v>506.69332469248712</c:v>
                </c:pt>
                <c:pt idx="86">
                  <c:v>511.90641836674831</c:v>
                </c:pt>
                <c:pt idx="87">
                  <c:v>517.11951204100944</c:v>
                </c:pt>
                <c:pt idx="88">
                  <c:v>522.33260571527057</c:v>
                </c:pt>
                <c:pt idx="89">
                  <c:v>527.54569938953171</c:v>
                </c:pt>
                <c:pt idx="90">
                  <c:v>532.75879306379284</c:v>
                </c:pt>
                <c:pt idx="91">
                  <c:v>537.97188673805397</c:v>
                </c:pt>
                <c:pt idx="92">
                  <c:v>543.1849804123151</c:v>
                </c:pt>
                <c:pt idx="93">
                  <c:v>548.39807408657623</c:v>
                </c:pt>
                <c:pt idx="94">
                  <c:v>553.61116776083736</c:v>
                </c:pt>
                <c:pt idx="95">
                  <c:v>558.82426143509849</c:v>
                </c:pt>
                <c:pt idx="96">
                  <c:v>564.03735510935962</c:v>
                </c:pt>
                <c:pt idx="97">
                  <c:v>569.25044878362075</c:v>
                </c:pt>
                <c:pt idx="98">
                  <c:v>574.46354245788189</c:v>
                </c:pt>
                <c:pt idx="99">
                  <c:v>579.67663613214302</c:v>
                </c:pt>
              </c:numCache>
            </c:numRef>
          </c:xVal>
          <c:yVal>
            <c:numRef>
              <c:f>SimDataScen!$S$16:$S$115</c:f>
              <c:numCache>
                <c:formatCode>0.000</c:formatCode>
                <c:ptCount val="100"/>
                <c:pt idx="0">
                  <c:v>1.4185465349204982E-4</c:v>
                </c:pt>
                <c:pt idx="1">
                  <c:v>1.7784468141223604E-4</c:v>
                </c:pt>
                <c:pt idx="2">
                  <c:v>2.196596099122768E-4</c:v>
                </c:pt>
                <c:pt idx="3">
                  <c:v>2.6730797159630791E-4</c:v>
                </c:pt>
                <c:pt idx="4">
                  <c:v>3.2063424139406092E-4</c:v>
                </c:pt>
                <c:pt idx="5">
                  <c:v>3.79400785670362E-4</c:v>
                </c:pt>
                <c:pt idx="6">
                  <c:v>4.4340744772942254E-4</c:v>
                </c:pt>
                <c:pt idx="7">
                  <c:v>5.1262288470098718E-4</c:v>
                </c:pt>
                <c:pt idx="8">
                  <c:v>5.872929920450248E-4</c:v>
                </c:pt>
                <c:pt idx="9">
                  <c:v>6.679922675038992E-4</c:v>
                </c:pt>
                <c:pt idx="10">
                  <c:v>7.555948216913641E-4</c:v>
                </c:pt>
                <c:pt idx="11">
                  <c:v>8.5116057234701744E-4</c:v>
                </c:pt>
                <c:pt idx="12">
                  <c:v>9.5575383367620733E-4</c:v>
                </c:pt>
                <c:pt idx="13">
                  <c:v>1.0702298002969949E-3</c:v>
                </c:pt>
                <c:pt idx="14">
                  <c:v>1.1950340270088301E-3</c:v>
                </c:pt>
                <c:pt idx="15">
                  <c:v>1.3300581998383668E-3</c:v>
                </c:pt>
                <c:pt idx="16">
                  <c:v>1.4745828639743451E-3</c:v>
                </c:pt>
                <c:pt idx="17">
                  <c:v>1.62731786150211E-3</c:v>
                </c:pt>
                <c:pt idx="18">
                  <c:v>1.786529350839193E-3</c:v>
                </c:pt>
                <c:pt idx="19">
                  <c:v>1.9502239595643861E-3</c:v>
                </c:pt>
                <c:pt idx="20">
                  <c:v>2.116350163868489E-3</c:v>
                </c:pt>
                <c:pt idx="21">
                  <c:v>2.2829764917383262E-3</c:v>
                </c:pt>
                <c:pt idx="22">
                  <c:v>2.4484151621075954E-3</c:v>
                </c:pt>
                <c:pt idx="23">
                  <c:v>2.6112755397618708E-3</c:v>
                </c:pt>
                <c:pt idx="24">
                  <c:v>2.7704499616701358E-3</c:v>
                </c:pt>
                <c:pt idx="25">
                  <c:v>2.9250502101943339E-3</c:v>
                </c:pt>
                <c:pt idx="26">
                  <c:v>3.0743220456781266E-3</c:v>
                </c:pt>
                <c:pt idx="27">
                  <c:v>3.2175656017958002E-3</c:v>
                </c:pt>
                <c:pt idx="28">
                  <c:v>3.354081723850029E-3</c:v>
                </c:pt>
                <c:pt idx="29">
                  <c:v>3.4831519225525152E-3</c:v>
                </c:pt>
                <c:pt idx="30">
                  <c:v>3.6040476322657172E-3</c:v>
                </c:pt>
                <c:pt idx="31">
                  <c:v>3.7160576112131574E-3</c:v>
                </c:pt>
                <c:pt idx="32">
                  <c:v>3.8185226372774452E-3</c:v>
                </c:pt>
                <c:pt idx="33">
                  <c:v>3.9108722099515502E-3</c:v>
                </c:pt>
                <c:pt idx="34">
                  <c:v>3.992663560668447E-3</c:v>
                </c:pt>
                <c:pt idx="35">
                  <c:v>4.0636231714181225E-3</c:v>
                </c:pt>
                <c:pt idx="36">
                  <c:v>4.1236826419256776E-3</c:v>
                </c:pt>
                <c:pt idx="37">
                  <c:v>4.1729873237079627E-3</c:v>
                </c:pt>
                <c:pt idx="38">
                  <c:v>4.2118462391454526E-3</c:v>
                </c:pt>
                <c:pt idx="39">
                  <c:v>4.2405955623781326E-3</c:v>
                </c:pt>
                <c:pt idx="40">
                  <c:v>4.2593712167228615E-3</c:v>
                </c:pt>
                <c:pt idx="41">
                  <c:v>4.2678256637399131E-3</c:v>
                </c:pt>
                <c:pt idx="42">
                  <c:v>4.2648663892502449E-3</c:v>
                </c:pt>
                <c:pt idx="43">
                  <c:v>4.2485198314820465E-3</c:v>
                </c:pt>
                <c:pt idx="44">
                  <c:v>4.2160177906845151E-3</c:v>
                </c:pt>
                <c:pt idx="45">
                  <c:v>4.1641576504247288E-3</c:v>
                </c:pt>
                <c:pt idx="46">
                  <c:v>4.0899121895271633E-3</c:v>
                </c:pt>
                <c:pt idx="47">
                  <c:v>3.9911819389695262E-3</c:v>
                </c:pt>
                <c:pt idx="48">
                  <c:v>3.8675211602257295E-3</c:v>
                </c:pt>
                <c:pt idx="49">
                  <c:v>3.7206508953851205E-3</c:v>
                </c:pt>
                <c:pt idx="50">
                  <c:v>3.554608572927991E-3</c:v>
                </c:pt>
                <c:pt idx="51">
                  <c:v>3.3754650963988522E-3</c:v>
                </c:pt>
                <c:pt idx="52">
                  <c:v>3.1906440807980443E-3</c:v>
                </c:pt>
                <c:pt idx="53">
                  <c:v>3.0079739462601403E-3</c:v>
                </c:pt>
                <c:pt idx="54">
                  <c:v>2.8346650359338658E-3</c:v>
                </c:pt>
                <c:pt idx="55">
                  <c:v>2.6764152802591164E-3</c:v>
                </c:pt>
                <c:pt idx="56">
                  <c:v>2.5368090071423758E-3</c:v>
                </c:pt>
                <c:pt idx="57">
                  <c:v>2.4170982369764956E-3</c:v>
                </c:pt>
                <c:pt idx="58">
                  <c:v>2.316366826216013E-3</c:v>
                </c:pt>
                <c:pt idx="59">
                  <c:v>2.2319989966605226E-3</c:v>
                </c:pt>
                <c:pt idx="60">
                  <c:v>2.160323302694805E-3</c:v>
                </c:pt>
                <c:pt idx="61">
                  <c:v>2.0972891285839811E-3</c:v>
                </c:pt>
                <c:pt idx="62">
                  <c:v>2.0390527482030095E-3</c:v>
                </c:pt>
                <c:pt idx="63">
                  <c:v>1.9823928721957296E-3</c:v>
                </c:pt>
                <c:pt idx="64">
                  <c:v>1.924926689273642E-3</c:v>
                </c:pt>
                <c:pt idx="65">
                  <c:v>1.8651429119332418E-3</c:v>
                </c:pt>
                <c:pt idx="66">
                  <c:v>1.8022990469847987E-3</c:v>
                </c:pt>
                <c:pt idx="67">
                  <c:v>1.7362427847164401E-3</c:v>
                </c:pt>
                <c:pt idx="68">
                  <c:v>1.6672140623654136E-3</c:v>
                </c:pt>
                <c:pt idx="69">
                  <c:v>1.5956702331360473E-3</c:v>
                </c:pt>
                <c:pt idx="70">
                  <c:v>1.5221579371111188E-3</c:v>
                </c:pt>
                <c:pt idx="71">
                  <c:v>1.4472369213061078E-3</c:v>
                </c:pt>
                <c:pt idx="72">
                  <c:v>1.3714467655906602E-3</c:v>
                </c:pt>
                <c:pt idx="73">
                  <c:v>1.2952992199752446E-3</c:v>
                </c:pt>
                <c:pt idx="74">
                  <c:v>1.2192773205391772E-3</c:v>
                </c:pt>
                <c:pt idx="75">
                  <c:v>1.1438271044480089E-3</c:v>
                </c:pt>
                <c:pt idx="76">
                  <c:v>1.0693367711061463E-3</c:v>
                </c:pt>
                <c:pt idx="77">
                  <c:v>9.9610844889342059E-4</c:v>
                </c:pt>
                <c:pt idx="78">
                  <c:v>9.2433553849237632E-4</c:v>
                </c:pt>
                <c:pt idx="79">
                  <c:v>8.5410064135320416E-4</c:v>
                </c:pt>
                <c:pt idx="80">
                  <c:v>7.8540402198453579E-4</c:v>
                </c:pt>
                <c:pt idx="81">
                  <c:v>7.1822191686850929E-4</c:v>
                </c:pt>
                <c:pt idx="82">
                  <c:v>6.5258185867049425E-4</c:v>
                </c:pt>
                <c:pt idx="83">
                  <c:v>5.8863357782351145E-4</c:v>
                </c:pt>
                <c:pt idx="84">
                  <c:v>5.2669280312408833E-4</c:v>
                </c:pt>
                <c:pt idx="85">
                  <c:v>4.6724226266623044E-4</c:v>
                </c:pt>
                <c:pt idx="86">
                  <c:v>4.108868479629407E-4</c:v>
                </c:pt>
                <c:pt idx="87">
                  <c:v>3.5827346386493078E-4</c:v>
                </c:pt>
                <c:pt idx="88">
                  <c:v>3.0999564477184115E-4</c:v>
                </c:pt>
                <c:pt idx="89">
                  <c:v>2.6650560678560516E-4</c:v>
                </c:pt>
                <c:pt idx="90">
                  <c:v>2.2805200716716025E-4</c:v>
                </c:pt>
                <c:pt idx="91">
                  <c:v>1.9465284265759642E-4</c:v>
                </c:pt>
                <c:pt idx="92">
                  <c:v>1.661033199036967E-4</c:v>
                </c:pt>
                <c:pt idx="93">
                  <c:v>1.4201132715244483E-4</c:v>
                </c:pt>
                <c:pt idx="94">
                  <c:v>1.2184983166417643E-4</c:v>
                </c:pt>
                <c:pt idx="95">
                  <c:v>1.0501580275872687E-4</c:v>
                </c:pt>
                <c:pt idx="96">
                  <c:v>9.0887614026605724E-5</c:v>
                </c:pt>
                <c:pt idx="97">
                  <c:v>7.8875610239359092E-5</c:v>
                </c:pt>
                <c:pt idx="98">
                  <c:v>6.8462539270262488E-5</c:v>
                </c:pt>
                <c:pt idx="99">
                  <c:v>5.9231653031330701E-5</c:v>
                </c:pt>
              </c:numCache>
            </c:numRef>
          </c:yVal>
        </c:ser>
        <c:ser>
          <c:idx val="1"/>
          <c:order val="1"/>
          <c:tx>
            <c:strRef>
              <c:f>SimDataScen!$R$7</c:f>
              <c:strCache>
                <c:ptCount val="1"/>
                <c:pt idx="0">
                  <c:v>Profit: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SimDataScen!$S$14</c:f>
                <c:numCache>
                  <c:formatCode>General</c:formatCode>
                  <c:ptCount val="1"/>
                  <c:pt idx="0">
                    <c:v>4.2404705256798396E-3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SimDataScen!$R$14</c:f>
              <c:numCache>
                <c:formatCode>0.000</c:formatCode>
                <c:ptCount val="1"/>
                <c:pt idx="0">
                  <c:v>289.3319889721331</c:v>
                </c:pt>
              </c:numCache>
            </c:numRef>
          </c:xVal>
          <c:yVal>
            <c:numRef>
              <c:f>SimDataScen!$S$14</c:f>
              <c:numCache>
                <c:formatCode>0.000</c:formatCode>
                <c:ptCount val="1"/>
                <c:pt idx="0">
                  <c:v>4.2404705256798396E-3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SimDataScen!$R$7</c:f>
              <c:strCache>
                <c:ptCount val="1"/>
                <c:pt idx="0">
                  <c:v>Profit: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SimDataScen!$S$15</c:f>
                <c:numCache>
                  <c:formatCode>General</c:formatCode>
                  <c:ptCount val="1"/>
                  <c:pt idx="0">
                    <c:v>7.1240215654211727E-4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SimDataScen!$R$15</c:f>
              <c:numCache>
                <c:formatCode>0.000</c:formatCode>
                <c:ptCount val="1"/>
                <c:pt idx="0">
                  <c:v>486.29816127691356</c:v>
                </c:pt>
              </c:numCache>
            </c:numRef>
          </c:xVal>
          <c:yVal>
            <c:numRef>
              <c:f>SimDataScen!$S$15</c:f>
              <c:numCache>
                <c:formatCode>0.000</c:formatCode>
                <c:ptCount val="1"/>
                <c:pt idx="0">
                  <c:v>7.1240215654211727E-4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SimDataScen!$R$7</c:f>
              <c:strCache>
                <c:ptCount val="1"/>
                <c:pt idx="0">
                  <c:v>Profit: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SimDataScen!$S$13</c:f>
                <c:numCache>
                  <c:formatCode>General</c:formatCode>
                  <c:ptCount val="1"/>
                  <c:pt idx="0">
                    <c:v>9.4568751399527534E-4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SimDataScen!$R$13</c:f>
              <c:numCache>
                <c:formatCode>0.000</c:formatCode>
                <c:ptCount val="1"/>
                <c:pt idx="0">
                  <c:v>125.6558860885238</c:v>
                </c:pt>
              </c:numCache>
            </c:numRef>
          </c:xVal>
          <c:yVal>
            <c:numRef>
              <c:f>SimDataScen!$S$13</c:f>
              <c:numCache>
                <c:formatCode>0.000</c:formatCode>
                <c:ptCount val="1"/>
                <c:pt idx="0">
                  <c:v>9.4568751399527534E-4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SimDataScen!$T$7</c:f>
              <c:strCache>
                <c:ptCount val="1"/>
                <c:pt idx="0">
                  <c:v>Profit: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SimDataScen!$T$16:$T$115</c:f>
              <c:numCache>
                <c:formatCode>0.000</c:formatCode>
                <c:ptCount val="100"/>
                <c:pt idx="0">
                  <c:v>-9.4505833824257195</c:v>
                </c:pt>
                <c:pt idx="1">
                  <c:v>-4.3990077367752134</c:v>
                </c:pt>
                <c:pt idx="2">
                  <c:v>0.6525679088752927</c:v>
                </c:pt>
                <c:pt idx="3">
                  <c:v>5.7041435545257988</c:v>
                </c:pt>
                <c:pt idx="4">
                  <c:v>10.755719200176305</c:v>
                </c:pt>
                <c:pt idx="5">
                  <c:v>15.80729484582681</c:v>
                </c:pt>
                <c:pt idx="6">
                  <c:v>20.858870491477315</c:v>
                </c:pt>
                <c:pt idx="7">
                  <c:v>25.910446137127821</c:v>
                </c:pt>
                <c:pt idx="8">
                  <c:v>30.962021782778326</c:v>
                </c:pt>
                <c:pt idx="9">
                  <c:v>36.013597428428831</c:v>
                </c:pt>
                <c:pt idx="10">
                  <c:v>41.06517307407934</c:v>
                </c:pt>
                <c:pt idx="11">
                  <c:v>46.116748719729848</c:v>
                </c:pt>
                <c:pt idx="12">
                  <c:v>51.168324365380357</c:v>
                </c:pt>
                <c:pt idx="13">
                  <c:v>56.219900011030866</c:v>
                </c:pt>
                <c:pt idx="14">
                  <c:v>61.271475656681375</c:v>
                </c:pt>
                <c:pt idx="15">
                  <c:v>66.323051302331876</c:v>
                </c:pt>
                <c:pt idx="16">
                  <c:v>71.374626947982378</c:v>
                </c:pt>
                <c:pt idx="17">
                  <c:v>76.42620259363288</c:v>
                </c:pt>
                <c:pt idx="18">
                  <c:v>81.477778239283381</c:v>
                </c:pt>
                <c:pt idx="19">
                  <c:v>86.529353884933883</c:v>
                </c:pt>
                <c:pt idx="20">
                  <c:v>91.580929530584385</c:v>
                </c:pt>
                <c:pt idx="21">
                  <c:v>96.632505176234886</c:v>
                </c:pt>
                <c:pt idx="22">
                  <c:v>101.68408082188539</c:v>
                </c:pt>
                <c:pt idx="23">
                  <c:v>106.73565646753589</c:v>
                </c:pt>
                <c:pt idx="24">
                  <c:v>111.78723211318639</c:v>
                </c:pt>
                <c:pt idx="25">
                  <c:v>116.83880775883689</c:v>
                </c:pt>
                <c:pt idx="26">
                  <c:v>121.89038340448739</c:v>
                </c:pt>
                <c:pt idx="27">
                  <c:v>126.9419590501379</c:v>
                </c:pt>
                <c:pt idx="28">
                  <c:v>131.99353469578841</c:v>
                </c:pt>
                <c:pt idx="29">
                  <c:v>137.04511034143891</c:v>
                </c:pt>
                <c:pt idx="30">
                  <c:v>142.09668598708942</c:v>
                </c:pt>
                <c:pt idx="31">
                  <c:v>147.14826163273992</c:v>
                </c:pt>
                <c:pt idx="32">
                  <c:v>152.19983727839042</c:v>
                </c:pt>
                <c:pt idx="33">
                  <c:v>157.25141292404092</c:v>
                </c:pt>
                <c:pt idx="34">
                  <c:v>162.30298856969142</c:v>
                </c:pt>
                <c:pt idx="35">
                  <c:v>167.35456421534192</c:v>
                </c:pt>
                <c:pt idx="36">
                  <c:v>172.40613986099243</c:v>
                </c:pt>
                <c:pt idx="37">
                  <c:v>177.45771550664293</c:v>
                </c:pt>
                <c:pt idx="38">
                  <c:v>182.50929115229343</c:v>
                </c:pt>
                <c:pt idx="39">
                  <c:v>187.56086679794393</c:v>
                </c:pt>
                <c:pt idx="40">
                  <c:v>192.61244244359443</c:v>
                </c:pt>
                <c:pt idx="41">
                  <c:v>197.66401808924493</c:v>
                </c:pt>
                <c:pt idx="42">
                  <c:v>202.71559373489544</c:v>
                </c:pt>
                <c:pt idx="43">
                  <c:v>207.76716938054594</c:v>
                </c:pt>
                <c:pt idx="44">
                  <c:v>212.81874502619644</c:v>
                </c:pt>
                <c:pt idx="45">
                  <c:v>217.87032067184694</c:v>
                </c:pt>
                <c:pt idx="46">
                  <c:v>222.92189631749744</c:v>
                </c:pt>
                <c:pt idx="47">
                  <c:v>227.97347196314794</c:v>
                </c:pt>
                <c:pt idx="48">
                  <c:v>233.02504760879845</c:v>
                </c:pt>
                <c:pt idx="49">
                  <c:v>238.07662325444895</c:v>
                </c:pt>
                <c:pt idx="50">
                  <c:v>243.12819890009945</c:v>
                </c:pt>
                <c:pt idx="51">
                  <c:v>248.17977454574995</c:v>
                </c:pt>
                <c:pt idx="52">
                  <c:v>253.23135019140045</c:v>
                </c:pt>
                <c:pt idx="53">
                  <c:v>258.28292583705098</c:v>
                </c:pt>
                <c:pt idx="54">
                  <c:v>263.33450148270151</c:v>
                </c:pt>
                <c:pt idx="55">
                  <c:v>268.38607712835204</c:v>
                </c:pt>
                <c:pt idx="56">
                  <c:v>273.43765277400257</c:v>
                </c:pt>
                <c:pt idx="57">
                  <c:v>278.4892284196531</c:v>
                </c:pt>
                <c:pt idx="58">
                  <c:v>283.54080406530363</c:v>
                </c:pt>
                <c:pt idx="59">
                  <c:v>288.59237971095416</c:v>
                </c:pt>
                <c:pt idx="60">
                  <c:v>293.64395535660469</c:v>
                </c:pt>
                <c:pt idx="61">
                  <c:v>298.69553100225522</c:v>
                </c:pt>
                <c:pt idx="62">
                  <c:v>303.74710664790575</c:v>
                </c:pt>
                <c:pt idx="63">
                  <c:v>308.79868229355628</c:v>
                </c:pt>
                <c:pt idx="64">
                  <c:v>313.85025793920681</c:v>
                </c:pt>
                <c:pt idx="65">
                  <c:v>318.90183358485734</c:v>
                </c:pt>
                <c:pt idx="66">
                  <c:v>323.95340923050787</c:v>
                </c:pt>
                <c:pt idx="67">
                  <c:v>329.0049848761584</c:v>
                </c:pt>
                <c:pt idx="68">
                  <c:v>334.05656052180893</c:v>
                </c:pt>
                <c:pt idx="69">
                  <c:v>339.10813616745946</c:v>
                </c:pt>
                <c:pt idx="70">
                  <c:v>344.15971181310999</c:v>
                </c:pt>
                <c:pt idx="71">
                  <c:v>349.21128745876052</c:v>
                </c:pt>
                <c:pt idx="72">
                  <c:v>354.26286310441105</c:v>
                </c:pt>
                <c:pt idx="73">
                  <c:v>359.31443875006158</c:v>
                </c:pt>
                <c:pt idx="74">
                  <c:v>364.36601439571211</c:v>
                </c:pt>
                <c:pt idx="75">
                  <c:v>369.41759004136264</c:v>
                </c:pt>
                <c:pt idx="76">
                  <c:v>374.46916568701317</c:v>
                </c:pt>
                <c:pt idx="77">
                  <c:v>379.5207413326637</c:v>
                </c:pt>
                <c:pt idx="78">
                  <c:v>384.57231697831423</c:v>
                </c:pt>
                <c:pt idx="79">
                  <c:v>389.62389262396476</c:v>
                </c:pt>
                <c:pt idx="80">
                  <c:v>394.67546826961529</c:v>
                </c:pt>
                <c:pt idx="81">
                  <c:v>399.72704391526582</c:v>
                </c:pt>
                <c:pt idx="82">
                  <c:v>404.77861956091635</c:v>
                </c:pt>
                <c:pt idx="83">
                  <c:v>409.83019520656688</c:v>
                </c:pt>
                <c:pt idx="84">
                  <c:v>414.88177085221741</c:v>
                </c:pt>
                <c:pt idx="85">
                  <c:v>419.93334649786794</c:v>
                </c:pt>
                <c:pt idx="86">
                  <c:v>424.98492214351847</c:v>
                </c:pt>
                <c:pt idx="87">
                  <c:v>430.036497789169</c:v>
                </c:pt>
                <c:pt idx="88">
                  <c:v>435.08807343481953</c:v>
                </c:pt>
                <c:pt idx="89">
                  <c:v>440.13964908047006</c:v>
                </c:pt>
                <c:pt idx="90">
                  <c:v>445.19122472612059</c:v>
                </c:pt>
                <c:pt idx="91">
                  <c:v>450.24280037177112</c:v>
                </c:pt>
                <c:pt idx="92">
                  <c:v>455.29437601742165</c:v>
                </c:pt>
                <c:pt idx="93">
                  <c:v>460.34595166307219</c:v>
                </c:pt>
                <c:pt idx="94">
                  <c:v>465.39752730872272</c:v>
                </c:pt>
                <c:pt idx="95">
                  <c:v>470.44910295437325</c:v>
                </c:pt>
                <c:pt idx="96">
                  <c:v>475.50067860002378</c:v>
                </c:pt>
                <c:pt idx="97">
                  <c:v>480.55225424567431</c:v>
                </c:pt>
                <c:pt idx="98">
                  <c:v>485.60382989132484</c:v>
                </c:pt>
                <c:pt idx="99">
                  <c:v>490.65540553697537</c:v>
                </c:pt>
              </c:numCache>
            </c:numRef>
          </c:xVal>
          <c:yVal>
            <c:numRef>
              <c:f>SimDataScen!$U$16:$U$115</c:f>
              <c:numCache>
                <c:formatCode>0.000</c:formatCode>
                <c:ptCount val="100"/>
                <c:pt idx="0">
                  <c:v>1.3987118354324331E-4</c:v>
                </c:pt>
                <c:pt idx="1">
                  <c:v>1.7356583487049192E-4</c:v>
                </c:pt>
                <c:pt idx="2">
                  <c:v>2.1260720206553449E-4</c:v>
                </c:pt>
                <c:pt idx="3">
                  <c:v>2.5726001845430806E-4</c:v>
                </c:pt>
                <c:pt idx="4">
                  <c:v>3.077446171375625E-4</c:v>
                </c:pt>
                <c:pt idx="5">
                  <c:v>3.6428162959745766E-4</c:v>
                </c:pt>
                <c:pt idx="6">
                  <c:v>4.2715174058966594E-4</c:v>
                </c:pt>
                <c:pt idx="7">
                  <c:v>4.9675458228217969E-4</c:v>
                </c:pt>
                <c:pt idx="8">
                  <c:v>5.7364576326197003E-4</c:v>
                </c:pt>
                <c:pt idx="9">
                  <c:v>6.5853173118708122E-4</c:v>
                </c:pt>
                <c:pt idx="10">
                  <c:v>7.5220979313760691E-4</c:v>
                </c:pt>
                <c:pt idx="11">
                  <c:v>8.5545410466106634E-4</c:v>
                </c:pt>
                <c:pt idx="12">
                  <c:v>9.6886452720343916E-4</c:v>
                </c:pt>
                <c:pt idx="13">
                  <c:v>1.0927092203059559E-3</c:v>
                </c:pt>
                <c:pt idx="14">
                  <c:v>1.2267988448203062E-3</c:v>
                </c:pt>
                <c:pt idx="15">
                  <c:v>1.3704269933231155E-3</c:v>
                </c:pt>
                <c:pt idx="16">
                  <c:v>1.5223975377575594E-3</c:v>
                </c:pt>
                <c:pt idx="17">
                  <c:v>1.6811380973335819E-3</c:v>
                </c:pt>
                <c:pt idx="18">
                  <c:v>1.8448757665403179E-3</c:v>
                </c:pt>
                <c:pt idx="19">
                  <c:v>2.0118336770474773E-3</c:v>
                </c:pt>
                <c:pt idx="20">
                  <c:v>2.1804006715609894E-3</c:v>
                </c:pt>
                <c:pt idx="21">
                  <c:v>2.3492337479409479E-3</c:v>
                </c:pt>
                <c:pt idx="22">
                  <c:v>2.5172721204382228E-3</c:v>
                </c:pt>
                <c:pt idx="23">
                  <c:v>2.6836671951658152E-3</c:v>
                </c:pt>
                <c:pt idx="24">
                  <c:v>2.8476570241697322E-3</c:v>
                </c:pt>
                <c:pt idx="25">
                  <c:v>3.008429776438518E-3</c:v>
                </c:pt>
                <c:pt idx="26">
                  <c:v>3.1650236280971679E-3</c:v>
                </c:pt>
                <c:pt idx="27">
                  <c:v>3.3162989820807727E-3</c:v>
                </c:pt>
                <c:pt idx="28">
                  <c:v>3.4609958911262953E-3</c:v>
                </c:pt>
                <c:pt idx="29">
                  <c:v>3.5978614783378823E-3</c:v>
                </c:pt>
                <c:pt idx="30">
                  <c:v>3.7258078264378858E-3</c:v>
                </c:pt>
                <c:pt idx="31">
                  <c:v>3.8440488248337981E-3</c:v>
                </c:pt>
                <c:pt idx="32">
                  <c:v>3.9521699709027056E-3</c:v>
                </c:pt>
                <c:pt idx="33">
                  <c:v>4.0501070786547206E-3</c:v>
                </c:pt>
                <c:pt idx="34">
                  <c:v>4.1380403525876639E-3</c:v>
                </c:pt>
                <c:pt idx="35">
                  <c:v>4.216237067990727E-3</c:v>
                </c:pt>
                <c:pt idx="36">
                  <c:v>4.2848877616571161E-3</c:v>
                </c:pt>
                <c:pt idx="37">
                  <c:v>4.3439726127009332E-3</c:v>
                </c:pt>
                <c:pt idx="38">
                  <c:v>4.3931716285195606E-3</c:v>
                </c:pt>
                <c:pt idx="39">
                  <c:v>4.4318075332172528E-3</c:v>
                </c:pt>
                <c:pt idx="40">
                  <c:v>4.4587988410420927E-3</c:v>
                </c:pt>
                <c:pt idx="41">
                  <c:v>4.4726110420827215E-3</c:v>
                </c:pt>
                <c:pt idx="42">
                  <c:v>4.4712226612771151E-3</c:v>
                </c:pt>
                <c:pt idx="43">
                  <c:v>4.4521550086492612E-3</c:v>
                </c:pt>
                <c:pt idx="44">
                  <c:v>4.4126295944895673E-3</c:v>
                </c:pt>
                <c:pt idx="45">
                  <c:v>4.3499004864159703E-3</c:v>
                </c:pt>
                <c:pt idx="46">
                  <c:v>4.2617590479867677E-3</c:v>
                </c:pt>
                <c:pt idx="47">
                  <c:v>4.1471403127265223E-3</c:v>
                </c:pt>
                <c:pt idx="48">
                  <c:v>4.0066994262441067E-3</c:v>
                </c:pt>
                <c:pt idx="49">
                  <c:v>3.8431992452802035E-3</c:v>
                </c:pt>
                <c:pt idx="50">
                  <c:v>3.6615717123708418E-3</c:v>
                </c:pt>
                <c:pt idx="51">
                  <c:v>3.468583939489523E-3</c:v>
                </c:pt>
                <c:pt idx="52">
                  <c:v>3.2721358387313129E-3</c:v>
                </c:pt>
                <c:pt idx="53">
                  <c:v>3.0803104144533676E-3</c:v>
                </c:pt>
                <c:pt idx="54">
                  <c:v>2.9003618205292372E-3</c:v>
                </c:pt>
                <c:pt idx="55">
                  <c:v>2.7378416557623463E-3</c:v>
                </c:pt>
                <c:pt idx="56">
                  <c:v>2.5960281195714007E-3</c:v>
                </c:pt>
                <c:pt idx="57">
                  <c:v>2.4757482784058369E-3</c:v>
                </c:pt>
                <c:pt idx="58">
                  <c:v>2.3755933858978814E-3</c:v>
                </c:pt>
                <c:pt idx="59">
                  <c:v>2.2924455452438988E-3</c:v>
                </c:pt>
                <c:pt idx="60">
                  <c:v>2.22218022960831E-3</c:v>
                </c:pt>
                <c:pt idx="61">
                  <c:v>2.1603925966841059E-3</c:v>
                </c:pt>
                <c:pt idx="62">
                  <c:v>2.1030146825084355E-3</c:v>
                </c:pt>
                <c:pt idx="63">
                  <c:v>2.0467355061044349E-3</c:v>
                </c:pt>
                <c:pt idx="64">
                  <c:v>1.989192509490137E-3</c:v>
                </c:pt>
                <c:pt idx="65">
                  <c:v>1.9289560456931855E-3</c:v>
                </c:pt>
                <c:pt idx="66">
                  <c:v>1.8653673498854465E-3</c:v>
                </c:pt>
                <c:pt idx="67">
                  <c:v>1.7983081403567694E-3</c:v>
                </c:pt>
                <c:pt idx="68">
                  <c:v>1.7279758762253265E-3</c:v>
                </c:pt>
                <c:pt idx="69">
                  <c:v>1.6547170651586578E-3</c:v>
                </c:pt>
                <c:pt idx="70">
                  <c:v>1.5789399287619334E-3</c:v>
                </c:pt>
                <c:pt idx="71">
                  <c:v>1.5010968793177837E-3</c:v>
                </c:pt>
                <c:pt idx="72">
                  <c:v>1.4217054179385632E-3</c:v>
                </c:pt>
                <c:pt idx="73">
                  <c:v>1.3413687347365018E-3</c:v>
                </c:pt>
                <c:pt idx="74">
                  <c:v>1.2607651897935228E-3</c:v>
                </c:pt>
                <c:pt idx="75">
                  <c:v>1.1805948049020004E-3</c:v>
                </c:pt>
                <c:pt idx="76">
                  <c:v>1.1014932987957202E-3</c:v>
                </c:pt>
                <c:pt idx="77">
                  <c:v>1.0239416312246934E-3</c:v>
                </c:pt>
                <c:pt idx="78">
                  <c:v>9.4820513151040221E-4</c:v>
                </c:pt>
                <c:pt idx="79">
                  <c:v>8.7432895825736328E-4</c:v>
                </c:pt>
                <c:pt idx="80">
                  <c:v>8.0219865240821627E-4</c:v>
                </c:pt>
                <c:pt idx="81">
                  <c:v>7.316525046213644E-4</c:v>
                </c:pt>
                <c:pt idx="82">
                  <c:v>6.6261432361017203E-4</c:v>
                </c:pt>
                <c:pt idx="83">
                  <c:v>5.9520737731967198E-4</c:v>
                </c:pt>
                <c:pt idx="84">
                  <c:v>5.2981535432143991E-4</c:v>
                </c:pt>
                <c:pt idx="85">
                  <c:v>4.6707208329658617E-4</c:v>
                </c:pt>
                <c:pt idx="86">
                  <c:v>4.077826982226528E-4</c:v>
                </c:pt>
                <c:pt idx="87">
                  <c:v>3.5279781618751966E-4</c:v>
                </c:pt>
                <c:pt idx="88">
                  <c:v>3.0287328071551951E-4</c:v>
                </c:pt>
                <c:pt idx="89">
                  <c:v>2.5854856905853553E-4</c:v>
                </c:pt>
                <c:pt idx="90">
                  <c:v>2.2006832494839815E-4</c:v>
                </c:pt>
                <c:pt idx="91">
                  <c:v>1.8735774358083027E-4</c:v>
                </c:pt>
                <c:pt idx="92">
                  <c:v>1.6004870568228988E-4</c:v>
                </c:pt>
                <c:pt idx="93">
                  <c:v>1.3754361363618164E-4</c:v>
                </c:pt>
                <c:pt idx="94">
                  <c:v>1.1909960101891794E-4</c:v>
                </c:pt>
                <c:pt idx="95">
                  <c:v>1.0391664754948128E-4</c:v>
                </c:pt>
                <c:pt idx="96">
                  <c:v>9.1217131585118064E-5</c:v>
                </c:pt>
                <c:pt idx="97">
                  <c:v>8.0309188919214887E-5</c:v>
                </c:pt>
                <c:pt idx="98">
                  <c:v>7.0630289934918677E-5</c:v>
                </c:pt>
                <c:pt idx="99">
                  <c:v>6.1770145446702533E-5</c:v>
                </c:pt>
              </c:numCache>
            </c:numRef>
          </c:yVal>
        </c:ser>
        <c:ser>
          <c:idx val="5"/>
          <c:order val="5"/>
          <c:tx>
            <c:strRef>
              <c:f>SimDataScen!$T$7</c:f>
              <c:strCache>
                <c:ptCount val="1"/>
                <c:pt idx="0">
                  <c:v>Profit: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SimDataScen!$U$14</c:f>
                <c:numCache>
                  <c:formatCode>General</c:formatCode>
                  <c:ptCount val="1"/>
                  <c:pt idx="0">
                    <c:v>4.4422150873727126E-3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SimDataScen!$T$14</c:f>
              <c:numCache>
                <c:formatCode>0.000</c:formatCode>
                <c:ptCount val="1"/>
                <c:pt idx="0">
                  <c:v>209.33428135580965</c:v>
                </c:pt>
              </c:numCache>
            </c:numRef>
          </c:xVal>
          <c:yVal>
            <c:numRef>
              <c:f>SimDataScen!$U$14</c:f>
              <c:numCache>
                <c:formatCode>0.000</c:formatCode>
                <c:ptCount val="1"/>
                <c:pt idx="0">
                  <c:v>4.4422150873727126E-3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SimDataScen!$T$7</c:f>
              <c:strCache>
                <c:ptCount val="1"/>
                <c:pt idx="0">
                  <c:v>Profit: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SimDataScen!$U$15</c:f>
                <c:numCache>
                  <c:formatCode>General</c:formatCode>
                  <c:ptCount val="1"/>
                  <c:pt idx="0">
                    <c:v>7.2576341772676814E-4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SimDataScen!$T$15</c:f>
              <c:numCache>
                <c:formatCode>0.000</c:formatCode>
                <c:ptCount val="1"/>
                <c:pt idx="0">
                  <c:v>400.15367751622199</c:v>
                </c:pt>
              </c:numCache>
            </c:numRef>
          </c:xVal>
          <c:yVal>
            <c:numRef>
              <c:f>SimDataScen!$U$15</c:f>
              <c:numCache>
                <c:formatCode>0.000</c:formatCode>
                <c:ptCount val="1"/>
                <c:pt idx="0">
                  <c:v>7.2576341772676814E-4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SimDataScen!$T$7</c:f>
              <c:strCache>
                <c:ptCount val="1"/>
                <c:pt idx="0">
                  <c:v>Profit: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SimDataScen!$U$13</c:f>
                <c:numCache>
                  <c:formatCode>General</c:formatCode>
                  <c:ptCount val="1"/>
                  <c:pt idx="0">
                    <c:v>1.031492927118578E-3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SimDataScen!$T$13</c:f>
              <c:numCache>
                <c:formatCode>0.000</c:formatCode>
                <c:ptCount val="1"/>
                <c:pt idx="0">
                  <c:v>53.77605119868268</c:v>
                </c:pt>
              </c:numCache>
            </c:numRef>
          </c:xVal>
          <c:yVal>
            <c:numRef>
              <c:f>SimDataScen!$U$13</c:f>
              <c:numCache>
                <c:formatCode>0.000</c:formatCode>
                <c:ptCount val="1"/>
                <c:pt idx="0">
                  <c:v>1.031492927118578E-3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SimDataScen!$V$7</c:f>
              <c:strCache>
                <c:ptCount val="1"/>
                <c:pt idx="0">
                  <c:v>Profit: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SimDataScen!$V$16:$V$115</c:f>
              <c:numCache>
                <c:formatCode>0.000</c:formatCode>
                <c:ptCount val="100"/>
                <c:pt idx="0">
                  <c:v>-82.481529145137785</c:v>
                </c:pt>
                <c:pt idx="1">
                  <c:v>-77.591471528097955</c:v>
                </c:pt>
                <c:pt idx="2">
                  <c:v>-72.701413911058125</c:v>
                </c:pt>
                <c:pt idx="3">
                  <c:v>-67.811356294018296</c:v>
                </c:pt>
                <c:pt idx="4">
                  <c:v>-62.921298676978459</c:v>
                </c:pt>
                <c:pt idx="5">
                  <c:v>-58.031241059938623</c:v>
                </c:pt>
                <c:pt idx="6">
                  <c:v>-53.141183442898786</c:v>
                </c:pt>
                <c:pt idx="7">
                  <c:v>-48.251125825858949</c:v>
                </c:pt>
                <c:pt idx="8">
                  <c:v>-43.361068208819113</c:v>
                </c:pt>
                <c:pt idx="9">
                  <c:v>-38.471010591779276</c:v>
                </c:pt>
                <c:pt idx="10">
                  <c:v>-33.580952974739439</c:v>
                </c:pt>
                <c:pt idx="11">
                  <c:v>-28.690895357699603</c:v>
                </c:pt>
                <c:pt idx="12">
                  <c:v>-23.800837740659766</c:v>
                </c:pt>
                <c:pt idx="13">
                  <c:v>-18.910780123619929</c:v>
                </c:pt>
                <c:pt idx="14">
                  <c:v>-14.020722506580094</c:v>
                </c:pt>
                <c:pt idx="15">
                  <c:v>-9.1306648895402596</c:v>
                </c:pt>
                <c:pt idx="16">
                  <c:v>-4.2406072725004247</c:v>
                </c:pt>
                <c:pt idx="17">
                  <c:v>0.6494503445394102</c:v>
                </c:pt>
                <c:pt idx="18">
                  <c:v>5.5395079615792451</c:v>
                </c:pt>
                <c:pt idx="19">
                  <c:v>10.42956557861908</c:v>
                </c:pt>
                <c:pt idx="20">
                  <c:v>15.319623195658915</c:v>
                </c:pt>
                <c:pt idx="21">
                  <c:v>20.20968081269875</c:v>
                </c:pt>
                <c:pt idx="22">
                  <c:v>25.099738429738586</c:v>
                </c:pt>
                <c:pt idx="23">
                  <c:v>29.989796046778423</c:v>
                </c:pt>
                <c:pt idx="24">
                  <c:v>34.87985366381826</c:v>
                </c:pt>
                <c:pt idx="25">
                  <c:v>39.769911280858096</c:v>
                </c:pt>
                <c:pt idx="26">
                  <c:v>44.659968897897933</c:v>
                </c:pt>
                <c:pt idx="27">
                  <c:v>49.55002651493777</c:v>
                </c:pt>
                <c:pt idx="28">
                  <c:v>54.440084131977606</c:v>
                </c:pt>
                <c:pt idx="29">
                  <c:v>59.330141749017443</c:v>
                </c:pt>
                <c:pt idx="30">
                  <c:v>64.220199366057273</c:v>
                </c:pt>
                <c:pt idx="31">
                  <c:v>69.110256983097102</c:v>
                </c:pt>
                <c:pt idx="32">
                  <c:v>74.000314600136932</c:v>
                </c:pt>
                <c:pt idx="33">
                  <c:v>78.890372217176761</c:v>
                </c:pt>
                <c:pt idx="34">
                  <c:v>83.780429834216591</c:v>
                </c:pt>
                <c:pt idx="35">
                  <c:v>88.67048745125642</c:v>
                </c:pt>
                <c:pt idx="36">
                  <c:v>93.56054506829625</c:v>
                </c:pt>
                <c:pt idx="37">
                  <c:v>98.450602685336079</c:v>
                </c:pt>
                <c:pt idx="38">
                  <c:v>103.34066030237591</c:v>
                </c:pt>
                <c:pt idx="39">
                  <c:v>108.23071791941574</c:v>
                </c:pt>
                <c:pt idx="40">
                  <c:v>113.12077553645557</c:v>
                </c:pt>
                <c:pt idx="41">
                  <c:v>118.0108331534954</c:v>
                </c:pt>
                <c:pt idx="42">
                  <c:v>122.90089077053523</c:v>
                </c:pt>
                <c:pt idx="43">
                  <c:v>127.79094838757506</c:v>
                </c:pt>
                <c:pt idx="44">
                  <c:v>132.68100600461489</c:v>
                </c:pt>
                <c:pt idx="45">
                  <c:v>137.57106362165473</c:v>
                </c:pt>
                <c:pt idx="46">
                  <c:v>142.46112123869457</c:v>
                </c:pt>
                <c:pt idx="47">
                  <c:v>147.35117885573442</c:v>
                </c:pt>
                <c:pt idx="48">
                  <c:v>152.24123647277426</c:v>
                </c:pt>
                <c:pt idx="49">
                  <c:v>157.13129408981411</c:v>
                </c:pt>
                <c:pt idx="50">
                  <c:v>162.02135170685395</c:v>
                </c:pt>
                <c:pt idx="51">
                  <c:v>166.91140932389379</c:v>
                </c:pt>
                <c:pt idx="52">
                  <c:v>171.80146694093364</c:v>
                </c:pt>
                <c:pt idx="53">
                  <c:v>176.69152455797348</c:v>
                </c:pt>
                <c:pt idx="54">
                  <c:v>181.58158217501332</c:v>
                </c:pt>
                <c:pt idx="55">
                  <c:v>186.47163979205317</c:v>
                </c:pt>
                <c:pt idx="56">
                  <c:v>191.36169740909301</c:v>
                </c:pt>
                <c:pt idx="57">
                  <c:v>196.25175502613286</c:v>
                </c:pt>
                <c:pt idx="58">
                  <c:v>201.1418126431727</c:v>
                </c:pt>
                <c:pt idx="59">
                  <c:v>206.03187026021254</c:v>
                </c:pt>
                <c:pt idx="60">
                  <c:v>210.92192787725239</c:v>
                </c:pt>
                <c:pt idx="61">
                  <c:v>215.81198549429223</c:v>
                </c:pt>
                <c:pt idx="62">
                  <c:v>220.70204311133207</c:v>
                </c:pt>
                <c:pt idx="63">
                  <c:v>225.59210072837192</c:v>
                </c:pt>
                <c:pt idx="64">
                  <c:v>230.48215834541176</c:v>
                </c:pt>
                <c:pt idx="65">
                  <c:v>235.37221596245161</c:v>
                </c:pt>
                <c:pt idx="66">
                  <c:v>240.26227357949145</c:v>
                </c:pt>
                <c:pt idx="67">
                  <c:v>245.15233119653129</c:v>
                </c:pt>
                <c:pt idx="68">
                  <c:v>250.04238881357114</c:v>
                </c:pt>
                <c:pt idx="69">
                  <c:v>254.93244643061098</c:v>
                </c:pt>
                <c:pt idx="70">
                  <c:v>259.8225040476508</c:v>
                </c:pt>
                <c:pt idx="71">
                  <c:v>264.71256166469061</c:v>
                </c:pt>
                <c:pt idx="72">
                  <c:v>269.60261928173043</c:v>
                </c:pt>
                <c:pt idx="73">
                  <c:v>274.49267689877024</c:v>
                </c:pt>
                <c:pt idx="74">
                  <c:v>279.38273451581006</c:v>
                </c:pt>
                <c:pt idx="75">
                  <c:v>284.27279213284987</c:v>
                </c:pt>
                <c:pt idx="76">
                  <c:v>289.16284974988969</c:v>
                </c:pt>
                <c:pt idx="77">
                  <c:v>294.0529073669295</c:v>
                </c:pt>
                <c:pt idx="78">
                  <c:v>298.94296498396932</c:v>
                </c:pt>
                <c:pt idx="79">
                  <c:v>303.83302260100913</c:v>
                </c:pt>
                <c:pt idx="80">
                  <c:v>308.72308021804895</c:v>
                </c:pt>
                <c:pt idx="81">
                  <c:v>313.61313783508876</c:v>
                </c:pt>
                <c:pt idx="82">
                  <c:v>318.50319545212858</c:v>
                </c:pt>
                <c:pt idx="83">
                  <c:v>323.3932530691684</c:v>
                </c:pt>
                <c:pt idx="84">
                  <c:v>328.28331068620821</c:v>
                </c:pt>
                <c:pt idx="85">
                  <c:v>333.17336830324803</c:v>
                </c:pt>
                <c:pt idx="86">
                  <c:v>338.06342592028784</c:v>
                </c:pt>
                <c:pt idx="87">
                  <c:v>342.95348353732766</c:v>
                </c:pt>
                <c:pt idx="88">
                  <c:v>347.84354115436747</c:v>
                </c:pt>
                <c:pt idx="89">
                  <c:v>352.73359877140729</c:v>
                </c:pt>
                <c:pt idx="90">
                  <c:v>357.6236563884471</c:v>
                </c:pt>
                <c:pt idx="91">
                  <c:v>362.51371400548692</c:v>
                </c:pt>
                <c:pt idx="92">
                  <c:v>367.40377162252673</c:v>
                </c:pt>
                <c:pt idx="93">
                  <c:v>372.29382923956655</c:v>
                </c:pt>
                <c:pt idx="94">
                  <c:v>377.18388685660636</c:v>
                </c:pt>
                <c:pt idx="95">
                  <c:v>382.07394447364618</c:v>
                </c:pt>
                <c:pt idx="96">
                  <c:v>386.96400209068599</c:v>
                </c:pt>
                <c:pt idx="97">
                  <c:v>391.85405970772581</c:v>
                </c:pt>
                <c:pt idx="98">
                  <c:v>396.74411732476563</c:v>
                </c:pt>
                <c:pt idx="99">
                  <c:v>401.63417494180544</c:v>
                </c:pt>
              </c:numCache>
            </c:numRef>
          </c:xVal>
          <c:yVal>
            <c:numRef>
              <c:f>SimDataScen!$W$16:$W$115</c:f>
              <c:numCache>
                <c:formatCode>0.000</c:formatCode>
                <c:ptCount val="100"/>
                <c:pt idx="0">
                  <c:v>1.4347460256092684E-4</c:v>
                </c:pt>
                <c:pt idx="1">
                  <c:v>1.7384374759992641E-4</c:v>
                </c:pt>
                <c:pt idx="2">
                  <c:v>2.085804850558179E-4</c:v>
                </c:pt>
                <c:pt idx="3">
                  <c:v>2.4836046527004221E-4</c:v>
                </c:pt>
                <c:pt idx="4">
                  <c:v>2.9402644696755354E-4</c:v>
                </c:pt>
                <c:pt idx="5">
                  <c:v>3.4656700985877394E-4</c:v>
                </c:pt>
                <c:pt idx="6">
                  <c:v>4.070715914794866E-4</c:v>
                </c:pt>
                <c:pt idx="7">
                  <c:v>4.7666289897457673E-4</c:v>
                </c:pt>
                <c:pt idx="8">
                  <c:v>5.5640830177039046E-4</c:v>
                </c:pt>
                <c:pt idx="9">
                  <c:v>6.4721309765132246E-4</c:v>
                </c:pt>
                <c:pt idx="10">
                  <c:v>7.4970203525184971E-4</c:v>
                </c:pt>
                <c:pt idx="11">
                  <c:v>8.6410163383050754E-4</c:v>
                </c:pt>
                <c:pt idx="12">
                  <c:v>9.9014325662621808E-4</c:v>
                </c:pt>
                <c:pt idx="13">
                  <c:v>1.1270122471818403E-3</c:v>
                </c:pt>
                <c:pt idx="14">
                  <c:v>1.2733676041718487E-3</c:v>
                </c:pt>
                <c:pt idx="15">
                  <c:v>1.4274467142405816E-3</c:v>
                </c:pt>
                <c:pt idx="16">
                  <c:v>1.5872508615949329E-3</c:v>
                </c:pt>
                <c:pt idx="17">
                  <c:v>1.7507839996917778E-3</c:v>
                </c:pt>
                <c:pt idx="18">
                  <c:v>1.9162971778257977E-3</c:v>
                </c:pt>
                <c:pt idx="19">
                  <c:v>2.0824820350918948E-3</c:v>
                </c:pt>
                <c:pt idx="20">
                  <c:v>2.2485638495900345E-3</c:v>
                </c:pt>
                <c:pt idx="21">
                  <c:v>2.4142672461236339E-3</c:v>
                </c:pt>
                <c:pt idx="22">
                  <c:v>2.5796596892114368E-3</c:v>
                </c:pt>
                <c:pt idx="23">
                  <c:v>2.7449098234373871E-3</c:v>
                </c:pt>
                <c:pt idx="24">
                  <c:v>2.9100202442426393E-3</c:v>
                </c:pt>
                <c:pt idx="25">
                  <c:v>3.0746013438085582E-3</c:v>
                </c:pt>
                <c:pt idx="26">
                  <c:v>3.2377431278447642E-3</c:v>
                </c:pt>
                <c:pt idx="27">
                  <c:v>3.3980182536208344E-3</c:v>
                </c:pt>
                <c:pt idx="28">
                  <c:v>3.553617739593627E-3</c:v>
                </c:pt>
                <c:pt idx="29">
                  <c:v>3.7025879899923431E-3</c:v>
                </c:pt>
                <c:pt idx="30">
                  <c:v>3.8431114910623277E-3</c:v>
                </c:pt>
                <c:pt idx="31">
                  <c:v>3.9737606378671634E-3</c:v>
                </c:pt>
                <c:pt idx="32">
                  <c:v>4.0936592201041393E-3</c:v>
                </c:pt>
                <c:pt idx="33">
                  <c:v>4.2025093169428835E-3</c:v>
                </c:pt>
                <c:pt idx="34">
                  <c:v>4.3004770702101489E-3</c:v>
                </c:pt>
                <c:pt idx="35">
                  <c:v>4.3879682412735557E-3</c:v>
                </c:pt>
                <c:pt idx="36">
                  <c:v>4.4653512116160166E-3</c:v>
                </c:pt>
                <c:pt idx="37">
                  <c:v>4.5326923561922567E-3</c:v>
                </c:pt>
                <c:pt idx="38">
                  <c:v>4.5895556281819547E-3</c:v>
                </c:pt>
                <c:pt idx="39">
                  <c:v>4.6348926200617284E-3</c:v>
                </c:pt>
                <c:pt idx="40">
                  <c:v>4.6670242636642472E-3</c:v>
                </c:pt>
                <c:pt idx="41">
                  <c:v>4.6837021336135027E-3</c:v>
                </c:pt>
                <c:pt idx="42">
                  <c:v>4.6822398482518476E-3</c:v>
                </c:pt>
                <c:pt idx="43">
                  <c:v>4.6597173830409148E-3</c:v>
                </c:pt>
                <c:pt idx="44">
                  <c:v>4.6132706948423651E-3</c:v>
                </c:pt>
                <c:pt idx="45">
                  <c:v>4.5404737448372203E-3</c:v>
                </c:pt>
                <c:pt idx="46">
                  <c:v>4.4397951314887893E-3</c:v>
                </c:pt>
                <c:pt idx="47">
                  <c:v>4.3110734126864591E-3</c:v>
                </c:pt>
                <c:pt idx="48">
                  <c:v>4.1559191086882295E-3</c:v>
                </c:pt>
                <c:pt idx="49">
                  <c:v>3.9779350794640709E-3</c:v>
                </c:pt>
                <c:pt idx="50">
                  <c:v>3.7826626660854459E-3</c:v>
                </c:pt>
                <c:pt idx="51">
                  <c:v>3.577209570258671E-3</c:v>
                </c:pt>
                <c:pt idx="52">
                  <c:v>3.3695854050623609E-3</c:v>
                </c:pt>
                <c:pt idx="53">
                  <c:v>3.1678421399598433E-3</c:v>
                </c:pt>
                <c:pt idx="54">
                  <c:v>2.979167822914948E-3</c:v>
                </c:pt>
                <c:pt idx="55">
                  <c:v>2.8090975795491795E-3</c:v>
                </c:pt>
                <c:pt idx="56">
                  <c:v>2.6609816218382838E-3</c:v>
                </c:pt>
                <c:pt idx="57">
                  <c:v>2.5357934668971622E-3</c:v>
                </c:pt>
                <c:pt idx="58">
                  <c:v>2.4322890953633017E-3</c:v>
                </c:pt>
                <c:pt idx="59">
                  <c:v>2.3474585556522488E-3</c:v>
                </c:pt>
                <c:pt idx="60">
                  <c:v>2.2771615865728539E-3</c:v>
                </c:pt>
                <c:pt idx="61">
                  <c:v>2.2168171142209403E-3</c:v>
                </c:pt>
                <c:pt idx="62">
                  <c:v>2.1620238731147111E-3</c:v>
                </c:pt>
                <c:pt idx="63">
                  <c:v>2.1090203911324321E-3</c:v>
                </c:pt>
                <c:pt idx="64">
                  <c:v>2.0549379312065387E-3</c:v>
                </c:pt>
                <c:pt idx="65">
                  <c:v>1.9978491041898728E-3</c:v>
                </c:pt>
                <c:pt idx="66">
                  <c:v>1.9366573389429332E-3</c:v>
                </c:pt>
                <c:pt idx="67">
                  <c:v>1.870899221882604E-3</c:v>
                </c:pt>
                <c:pt idx="68">
                  <c:v>1.8005370012119152E-3</c:v>
                </c:pt>
                <c:pt idx="69">
                  <c:v>1.7258015797807611E-3</c:v>
                </c:pt>
                <c:pt idx="70">
                  <c:v>1.6471129809047214E-3</c:v>
                </c:pt>
                <c:pt idx="71">
                  <c:v>1.5650672799278182E-3</c:v>
                </c:pt>
                <c:pt idx="72">
                  <c:v>1.4804502880943311E-3</c:v>
                </c:pt>
                <c:pt idx="73">
                  <c:v>1.3942295893847737E-3</c:v>
                </c:pt>
                <c:pt idx="74">
                  <c:v>1.3074906329654746E-3</c:v>
                </c:pt>
                <c:pt idx="75">
                  <c:v>1.2213127372887899E-3</c:v>
                </c:pt>
                <c:pt idx="76">
                  <c:v>1.1366136002149058E-3</c:v>
                </c:pt>
                <c:pt idx="77">
                  <c:v>1.0540119476307416E-3</c:v>
                </c:pt>
                <c:pt idx="78">
                  <c:v>9.7375838992198654E-4</c:v>
                </c:pt>
                <c:pt idx="79">
                  <c:v>8.9576442420617459E-4</c:v>
                </c:pt>
                <c:pt idx="80">
                  <c:v>8.197272075158177E-4</c:v>
                </c:pt>
                <c:pt idx="81">
                  <c:v>7.4531589581594321E-4</c:v>
                </c:pt>
                <c:pt idx="82">
                  <c:v>6.7236554137366049E-4</c:v>
                </c:pt>
                <c:pt idx="83">
                  <c:v>6.0102293253882599E-4</c:v>
                </c:pt>
                <c:pt idx="84">
                  <c:v>5.3180454211112062E-4</c:v>
                </c:pt>
                <c:pt idx="85">
                  <c:v>4.6555336903178544E-4</c:v>
                </c:pt>
                <c:pt idx="86">
                  <c:v>4.0330964636475233E-4</c:v>
                </c:pt>
                <c:pt idx="87">
                  <c:v>3.4613159662499324E-4</c:v>
                </c:pt>
                <c:pt idx="88">
                  <c:v>2.9491140991380995E-4</c:v>
                </c:pt>
                <c:pt idx="89">
                  <c:v>2.5022758545208362E-4</c:v>
                </c:pt>
                <c:pt idx="90">
                  <c:v>2.1226085452623824E-4</c:v>
                </c:pt>
                <c:pt idx="91">
                  <c:v>1.8078257606977139E-4</c:v>
                </c:pt>
                <c:pt idx="92">
                  <c:v>1.5520750525680331E-4</c:v>
                </c:pt>
                <c:pt idx="93">
                  <c:v>1.3469135951534264E-4</c:v>
                </c:pt>
                <c:pt idx="94">
                  <c:v>1.1824927606952304E-4</c:v>
                </c:pt>
                <c:pt idx="95">
                  <c:v>1.0487320929567962E-4</c:v>
                </c:pt>
                <c:pt idx="96">
                  <c:v>9.3632107228786222E-5</c:v>
                </c:pt>
                <c:pt idx="97">
                  <c:v>8.3745564467556713E-5</c:v>
                </c:pt>
                <c:pt idx="98">
                  <c:v>7.4627544570567462E-5</c:v>
                </c:pt>
                <c:pt idx="99">
                  <c:v>6.5900890169337293E-5</c:v>
                </c:pt>
              </c:numCache>
            </c:numRef>
          </c:yVal>
        </c:ser>
        <c:ser>
          <c:idx val="9"/>
          <c:order val="9"/>
          <c:tx>
            <c:strRef>
              <c:f>SimDataScen!$V$7</c:f>
              <c:strCache>
                <c:ptCount val="1"/>
                <c:pt idx="0">
                  <c:v>Profit: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SimDataScen!$W$14</c:f>
                <c:numCache>
                  <c:formatCode>General</c:formatCode>
                  <c:ptCount val="1"/>
                  <c:pt idx="0">
                    <c:v>4.6477503744546556E-3</c:v>
                  </c:pt>
                </c:numCache>
              </c:numRef>
            </c:minus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SimDataScen!$V$14</c:f>
              <c:numCache>
                <c:formatCode>0.000</c:formatCode>
                <c:ptCount val="1"/>
                <c:pt idx="0">
                  <c:v>129.33657373948637</c:v>
                </c:pt>
              </c:numCache>
            </c:numRef>
          </c:xVal>
          <c:yVal>
            <c:numRef>
              <c:f>SimDataScen!$W$14</c:f>
              <c:numCache>
                <c:formatCode>0.000</c:formatCode>
                <c:ptCount val="1"/>
                <c:pt idx="0">
                  <c:v>4.6477503744546556E-3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SimDataScen!$V$7</c:f>
              <c:strCache>
                <c:ptCount val="1"/>
                <c:pt idx="0">
                  <c:v>Profit: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SimDataScen!$W$15</c:f>
                <c:numCache>
                  <c:formatCode>General</c:formatCode>
                  <c:ptCount val="1"/>
                  <c:pt idx="0">
                    <c:v>8.1753066400902638E-4</c:v>
                  </c:pt>
                </c:numCache>
              </c:numRef>
            </c:minus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SimDataScen!$V$15</c:f>
              <c:numCache>
                <c:formatCode>0.000</c:formatCode>
                <c:ptCount val="1"/>
                <c:pt idx="0">
                  <c:v>308.8660041914568</c:v>
                </c:pt>
              </c:numCache>
            </c:numRef>
          </c:xVal>
          <c:yVal>
            <c:numRef>
              <c:f>SimDataScen!$W$15</c:f>
              <c:numCache>
                <c:formatCode>0.000</c:formatCode>
                <c:ptCount val="1"/>
                <c:pt idx="0">
                  <c:v>8.1753066400902638E-4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SimDataScen!$V$7</c:f>
              <c:strCache>
                <c:ptCount val="1"/>
                <c:pt idx="0">
                  <c:v>Profit: 3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SimDataScen!$W$13</c:f>
                <c:numCache>
                  <c:formatCode>General</c:formatCode>
                  <c:ptCount val="1"/>
                  <c:pt idx="0">
                    <c:v>1.1506078108212436E-3</c:v>
                  </c:pt>
                </c:numCache>
              </c:numRef>
            </c:minus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SimDataScen!$V$13</c:f>
              <c:numCache>
                <c:formatCode>0.000</c:formatCode>
                <c:ptCount val="1"/>
                <c:pt idx="0">
                  <c:v>-18.10195533270052</c:v>
                </c:pt>
              </c:numCache>
            </c:numRef>
          </c:xVal>
          <c:yVal>
            <c:numRef>
              <c:f>SimDataScen!$W$13</c:f>
              <c:numCache>
                <c:formatCode>0.000</c:formatCode>
                <c:ptCount val="1"/>
                <c:pt idx="0">
                  <c:v>1.1506078108212436E-3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SimDataScen!$X$7</c:f>
              <c:strCache>
                <c:ptCount val="1"/>
                <c:pt idx="0">
                  <c:v>Profit: 4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SimDataScen!$X$16:$X$115</c:f>
              <c:numCache>
                <c:formatCode>0.000</c:formatCode>
                <c:ptCount val="100"/>
                <c:pt idx="0">
                  <c:v>-155.51247490784982</c:v>
                </c:pt>
                <c:pt idx="1">
                  <c:v>-150.78393531942066</c:v>
                </c:pt>
                <c:pt idx="2">
                  <c:v>-146.05539573099151</c:v>
                </c:pt>
                <c:pt idx="3">
                  <c:v>-141.32685614256235</c:v>
                </c:pt>
                <c:pt idx="4">
                  <c:v>-136.59831655413319</c:v>
                </c:pt>
                <c:pt idx="5">
                  <c:v>-131.86977696570403</c:v>
                </c:pt>
                <c:pt idx="6">
                  <c:v>-127.14123737727486</c:v>
                </c:pt>
                <c:pt idx="7">
                  <c:v>-122.41269778884569</c:v>
                </c:pt>
                <c:pt idx="8">
                  <c:v>-117.68415820041652</c:v>
                </c:pt>
                <c:pt idx="9">
                  <c:v>-112.95561861198735</c:v>
                </c:pt>
                <c:pt idx="10">
                  <c:v>-108.22707902355818</c:v>
                </c:pt>
                <c:pt idx="11">
                  <c:v>-103.498539435129</c:v>
                </c:pt>
                <c:pt idx="12">
                  <c:v>-98.769999846699832</c:v>
                </c:pt>
                <c:pt idx="13">
                  <c:v>-94.041460258270661</c:v>
                </c:pt>
                <c:pt idx="14">
                  <c:v>-89.312920669841489</c:v>
                </c:pt>
                <c:pt idx="15">
                  <c:v>-84.584381081412317</c:v>
                </c:pt>
                <c:pt idx="16">
                  <c:v>-79.855841492983146</c:v>
                </c:pt>
                <c:pt idx="17">
                  <c:v>-75.127301904553974</c:v>
                </c:pt>
                <c:pt idx="18">
                  <c:v>-70.398762316124802</c:v>
                </c:pt>
                <c:pt idx="19">
                  <c:v>-65.670222727695631</c:v>
                </c:pt>
                <c:pt idx="20">
                  <c:v>-60.941683139266466</c:v>
                </c:pt>
                <c:pt idx="21">
                  <c:v>-56.213143550837302</c:v>
                </c:pt>
                <c:pt idx="22">
                  <c:v>-51.484603962408137</c:v>
                </c:pt>
                <c:pt idx="23">
                  <c:v>-46.756064373978973</c:v>
                </c:pt>
                <c:pt idx="24">
                  <c:v>-42.027524785549808</c:v>
                </c:pt>
                <c:pt idx="25">
                  <c:v>-37.298985197120643</c:v>
                </c:pt>
                <c:pt idx="26">
                  <c:v>-32.570445608691479</c:v>
                </c:pt>
                <c:pt idx="27">
                  <c:v>-27.841906020262314</c:v>
                </c:pt>
                <c:pt idx="28">
                  <c:v>-23.11336643183315</c:v>
                </c:pt>
                <c:pt idx="29">
                  <c:v>-18.384826843403985</c:v>
                </c:pt>
                <c:pt idx="30">
                  <c:v>-13.656287254974821</c:v>
                </c:pt>
                <c:pt idx="31">
                  <c:v>-8.9277476665456561</c:v>
                </c:pt>
                <c:pt idx="32">
                  <c:v>-4.1992080781164907</c:v>
                </c:pt>
                <c:pt idx="33">
                  <c:v>0.52933151031267478</c:v>
                </c:pt>
                <c:pt idx="34">
                  <c:v>5.2578710987418402</c:v>
                </c:pt>
                <c:pt idx="35">
                  <c:v>9.9864106871710057</c:v>
                </c:pt>
                <c:pt idx="36">
                  <c:v>14.71495027560017</c:v>
                </c:pt>
                <c:pt idx="37">
                  <c:v>19.443489864029335</c:v>
                </c:pt>
                <c:pt idx="38">
                  <c:v>24.172029452458499</c:v>
                </c:pt>
                <c:pt idx="39">
                  <c:v>28.900569040887664</c:v>
                </c:pt>
                <c:pt idx="40">
                  <c:v>33.629108629316832</c:v>
                </c:pt>
                <c:pt idx="41">
                  <c:v>38.357648217745997</c:v>
                </c:pt>
                <c:pt idx="42">
                  <c:v>43.086187806175161</c:v>
                </c:pt>
                <c:pt idx="43">
                  <c:v>47.814727394604326</c:v>
                </c:pt>
                <c:pt idx="44">
                  <c:v>52.54326698303349</c:v>
                </c:pt>
                <c:pt idx="45">
                  <c:v>57.271806571462655</c:v>
                </c:pt>
                <c:pt idx="46">
                  <c:v>62.000346159891819</c:v>
                </c:pt>
                <c:pt idx="47">
                  <c:v>66.728885748320991</c:v>
                </c:pt>
                <c:pt idx="48">
                  <c:v>71.457425336750163</c:v>
                </c:pt>
                <c:pt idx="49">
                  <c:v>76.185964925179334</c:v>
                </c:pt>
                <c:pt idx="50">
                  <c:v>80.914504513608506</c:v>
                </c:pt>
                <c:pt idx="51">
                  <c:v>85.643044102037678</c:v>
                </c:pt>
                <c:pt idx="52">
                  <c:v>90.371583690466849</c:v>
                </c:pt>
                <c:pt idx="53">
                  <c:v>95.100123278896021</c:v>
                </c:pt>
                <c:pt idx="54">
                  <c:v>99.828662867325193</c:v>
                </c:pt>
                <c:pt idx="55">
                  <c:v>104.55720245575436</c:v>
                </c:pt>
                <c:pt idx="56">
                  <c:v>109.28574204418354</c:v>
                </c:pt>
                <c:pt idx="57">
                  <c:v>114.01428163261271</c:v>
                </c:pt>
                <c:pt idx="58">
                  <c:v>118.74282122104188</c:v>
                </c:pt>
                <c:pt idx="59">
                  <c:v>123.47136080947105</c:v>
                </c:pt>
                <c:pt idx="60">
                  <c:v>128.19990039790022</c:v>
                </c:pt>
                <c:pt idx="61">
                  <c:v>132.92843998632938</c:v>
                </c:pt>
                <c:pt idx="62">
                  <c:v>137.65697957475854</c:v>
                </c:pt>
                <c:pt idx="63">
                  <c:v>142.38551916318769</c:v>
                </c:pt>
                <c:pt idx="64">
                  <c:v>147.11405875161685</c:v>
                </c:pt>
                <c:pt idx="65">
                  <c:v>151.84259834004601</c:v>
                </c:pt>
                <c:pt idx="66">
                  <c:v>156.57113792847517</c:v>
                </c:pt>
                <c:pt idx="67">
                  <c:v>161.29967751690432</c:v>
                </c:pt>
                <c:pt idx="68">
                  <c:v>166.02821710533348</c:v>
                </c:pt>
                <c:pt idx="69">
                  <c:v>170.75675669376264</c:v>
                </c:pt>
                <c:pt idx="70">
                  <c:v>175.4852962821918</c:v>
                </c:pt>
                <c:pt idx="71">
                  <c:v>180.21383587062095</c:v>
                </c:pt>
                <c:pt idx="72">
                  <c:v>184.94237545905011</c:v>
                </c:pt>
                <c:pt idx="73">
                  <c:v>189.67091504747927</c:v>
                </c:pt>
                <c:pt idx="74">
                  <c:v>194.39945463590843</c:v>
                </c:pt>
                <c:pt idx="75">
                  <c:v>199.12799422433758</c:v>
                </c:pt>
                <c:pt idx="76">
                  <c:v>203.85653381276674</c:v>
                </c:pt>
                <c:pt idx="77">
                  <c:v>208.5850734011959</c:v>
                </c:pt>
                <c:pt idx="78">
                  <c:v>213.31361298962506</c:v>
                </c:pt>
                <c:pt idx="79">
                  <c:v>218.04215257805421</c:v>
                </c:pt>
                <c:pt idx="80">
                  <c:v>222.77069216648337</c:v>
                </c:pt>
                <c:pt idx="81">
                  <c:v>227.49923175491253</c:v>
                </c:pt>
                <c:pt idx="82">
                  <c:v>232.22777134334169</c:v>
                </c:pt>
                <c:pt idx="83">
                  <c:v>236.95631093177084</c:v>
                </c:pt>
                <c:pt idx="84">
                  <c:v>241.6848505202</c:v>
                </c:pt>
                <c:pt idx="85">
                  <c:v>246.41339010862916</c:v>
                </c:pt>
                <c:pt idx="86">
                  <c:v>251.14192969705832</c:v>
                </c:pt>
                <c:pt idx="87">
                  <c:v>255.87046928548747</c:v>
                </c:pt>
                <c:pt idx="88">
                  <c:v>260.59900887391666</c:v>
                </c:pt>
                <c:pt idx="89">
                  <c:v>265.32754846234582</c:v>
                </c:pt>
                <c:pt idx="90">
                  <c:v>270.05608805077497</c:v>
                </c:pt>
                <c:pt idx="91">
                  <c:v>274.78462763920413</c:v>
                </c:pt>
                <c:pt idx="92">
                  <c:v>279.51316722763329</c:v>
                </c:pt>
                <c:pt idx="93">
                  <c:v>284.24170681606245</c:v>
                </c:pt>
                <c:pt idx="94">
                  <c:v>288.9702464044916</c:v>
                </c:pt>
                <c:pt idx="95">
                  <c:v>293.69878599292076</c:v>
                </c:pt>
                <c:pt idx="96">
                  <c:v>298.42732558134992</c:v>
                </c:pt>
                <c:pt idx="97">
                  <c:v>303.15586516977908</c:v>
                </c:pt>
                <c:pt idx="98">
                  <c:v>307.88440475820823</c:v>
                </c:pt>
                <c:pt idx="99">
                  <c:v>312.61294434663739</c:v>
                </c:pt>
              </c:numCache>
            </c:numRef>
          </c:xVal>
          <c:yVal>
            <c:numRef>
              <c:f>SimDataScen!$Y$16:$Y$115</c:f>
              <c:numCache>
                <c:formatCode>0.000</c:formatCode>
                <c:ptCount val="100"/>
                <c:pt idx="0">
                  <c:v>1.5349833455690877E-4</c:v>
                </c:pt>
                <c:pt idx="1">
                  <c:v>1.8020054596081222E-4</c:v>
                </c:pt>
                <c:pt idx="2">
                  <c:v>2.1046376742161021E-4</c:v>
                </c:pt>
                <c:pt idx="3">
                  <c:v>2.4547694389239361E-4</c:v>
                </c:pt>
                <c:pt idx="4">
                  <c:v>2.8676402163679631E-4</c:v>
                </c:pt>
                <c:pt idx="5">
                  <c:v>3.3609703346010859E-4</c:v>
                </c:pt>
                <c:pt idx="6">
                  <c:v>3.9535944225628543E-4</c:v>
                </c:pt>
                <c:pt idx="7">
                  <c:v>4.6636928212238422E-4</c:v>
                </c:pt>
                <c:pt idx="8">
                  <c:v>5.5067543693901083E-4</c:v>
                </c:pt>
                <c:pt idx="9">
                  <c:v>6.4934516660550539E-4</c:v>
                </c:pt>
                <c:pt idx="10">
                  <c:v>7.6276776582034965E-4</c:v>
                </c:pt>
                <c:pt idx="11">
                  <c:v>8.9050683337525997E-4</c:v>
                </c:pt>
                <c:pt idx="12">
                  <c:v>1.0312382122545892E-3</c:v>
                </c:pt>
                <c:pt idx="13">
                  <c:v>1.1828070005737398E-3</c:v>
                </c:pt>
                <c:pt idx="14">
                  <c:v>1.3424211718076281E-3</c:v>
                </c:pt>
                <c:pt idx="15">
                  <c:v>1.5069715335763057E-3</c:v>
                </c:pt>
                <c:pt idx="16">
                  <c:v>1.673434002402006E-3</c:v>
                </c:pt>
                <c:pt idx="17">
                  <c:v>1.8392810979660163E-3</c:v>
                </c:pt>
                <c:pt idx="18">
                  <c:v>2.0028165706315257E-3</c:v>
                </c:pt>
                <c:pt idx="19">
                  <c:v>2.1633573487706654E-3</c:v>
                </c:pt>
                <c:pt idx="20">
                  <c:v>2.3212197145778359E-3</c:v>
                </c:pt>
                <c:pt idx="21">
                  <c:v>2.4775125490927273E-3</c:v>
                </c:pt>
                <c:pt idx="22">
                  <c:v>2.6337853549250616E-3</c:v>
                </c:pt>
                <c:pt idx="23">
                  <c:v>2.7916089836769625E-3</c:v>
                </c:pt>
                <c:pt idx="24">
                  <c:v>2.9521749744333306E-3</c:v>
                </c:pt>
                <c:pt idx="25">
                  <c:v>3.1159859275081449E-3</c:v>
                </c:pt>
                <c:pt idx="26">
                  <c:v>3.2826820570099756E-3</c:v>
                </c:pt>
                <c:pt idx="27">
                  <c:v>3.4510182927350828E-3</c:v>
                </c:pt>
                <c:pt idx="28">
                  <c:v>3.6189803564460167E-3</c:v>
                </c:pt>
                <c:pt idx="29">
                  <c:v>3.7840107146425283E-3</c:v>
                </c:pt>
                <c:pt idx="30">
                  <c:v>3.9433052319542009E-3</c:v>
                </c:pt>
                <c:pt idx="31">
                  <c:v>4.094135599503509E-3</c:v>
                </c:pt>
                <c:pt idx="32">
                  <c:v>4.2341489750717665E-3</c:v>
                </c:pt>
                <c:pt idx="33">
                  <c:v>4.361595336927611E-3</c:v>
                </c:pt>
                <c:pt idx="34">
                  <c:v>4.475438030589282E-3</c:v>
                </c:pt>
                <c:pt idx="35">
                  <c:v>4.5753176041057721E-3</c:v>
                </c:pt>
                <c:pt idx="36">
                  <c:v>4.6613646280176902E-3</c:v>
                </c:pt>
                <c:pt idx="37">
                  <c:v>4.7338905761262571E-3</c:v>
                </c:pt>
                <c:pt idx="38">
                  <c:v>4.7930190654499457E-3</c:v>
                </c:pt>
                <c:pt idx="39">
                  <c:v>4.8383423708208669E-3</c:v>
                </c:pt>
                <c:pt idx="40">
                  <c:v>4.8686911094403228E-3</c:v>
                </c:pt>
                <c:pt idx="41">
                  <c:v>4.882084722159832E-3</c:v>
                </c:pt>
                <c:pt idx="42">
                  <c:v>4.8758908770045297E-3</c:v>
                </c:pt>
                <c:pt idx="43">
                  <c:v>4.8471740041103276E-3</c:v>
                </c:pt>
                <c:pt idx="44">
                  <c:v>4.7931707083883751E-3</c:v>
                </c:pt>
                <c:pt idx="45">
                  <c:v>4.7118045536980622E-3</c:v>
                </c:pt>
                <c:pt idx="46">
                  <c:v>4.6021500071118347E-3</c:v>
                </c:pt>
                <c:pt idx="47">
                  <c:v>4.46477256723037E-3</c:v>
                </c:pt>
                <c:pt idx="48">
                  <c:v>4.3019006131491521E-3</c:v>
                </c:pt>
                <c:pt idx="49">
                  <c:v>4.1174138772833479E-3</c:v>
                </c:pt>
                <c:pt idx="50">
                  <c:v>3.9166560583847217E-3</c:v>
                </c:pt>
                <c:pt idx="51">
                  <c:v>3.7060928352596182E-3</c:v>
                </c:pt>
                <c:pt idx="52">
                  <c:v>3.4928444382603752E-3</c:v>
                </c:pt>
                <c:pt idx="53">
                  <c:v>3.2841292076000177E-3</c:v>
                </c:pt>
                <c:pt idx="54">
                  <c:v>3.0866648524483292E-3</c:v>
                </c:pt>
                <c:pt idx="55">
                  <c:v>2.9060868755109172E-3</c:v>
                </c:pt>
                <c:pt idx="56">
                  <c:v>2.7464539823305861E-3</c:v>
                </c:pt>
                <c:pt idx="57">
                  <c:v>2.6099113500620439E-3</c:v>
                </c:pt>
                <c:pt idx="58">
                  <c:v>2.4965688921404533E-3</c:v>
                </c:pt>
                <c:pt idx="59">
                  <c:v>2.4046220143902402E-3</c:v>
                </c:pt>
                <c:pt idx="60">
                  <c:v>2.3307013561249578E-3</c:v>
                </c:pt>
                <c:pt idx="61">
                  <c:v>2.2703949785760355E-3</c:v>
                </c:pt>
                <c:pt idx="62">
                  <c:v>2.2188529040834222E-3</c:v>
                </c:pt>
                <c:pt idx="63">
                  <c:v>2.1713699269930329E-3</c:v>
                </c:pt>
                <c:pt idx="64">
                  <c:v>2.1238534087388932E-3</c:v>
                </c:pt>
                <c:pt idx="65">
                  <c:v>2.0731162566707149E-3</c:v>
                </c:pt>
                <c:pt idx="66">
                  <c:v>2.0169819076684041E-3</c:v>
                </c:pt>
                <c:pt idx="67">
                  <c:v>1.9542334016738982E-3</c:v>
                </c:pt>
                <c:pt idx="68">
                  <c:v>1.8844680542005783E-3</c:v>
                </c:pt>
                <c:pt idx="69">
                  <c:v>1.8079240378629687E-3</c:v>
                </c:pt>
                <c:pt idx="70">
                  <c:v>1.7253262219425107E-3</c:v>
                </c:pt>
                <c:pt idx="71">
                  <c:v>1.6377664007358108E-3</c:v>
                </c:pt>
                <c:pt idx="72">
                  <c:v>1.5466032404764937E-3</c:v>
                </c:pt>
                <c:pt idx="73">
                  <c:v>1.4533535777172312E-3</c:v>
                </c:pt>
                <c:pt idx="74">
                  <c:v>1.3595544068557769E-3</c:v>
                </c:pt>
                <c:pt idx="75">
                  <c:v>1.2665985636636649E-3</c:v>
                </c:pt>
                <c:pt idx="76">
                  <c:v>1.1755735488750228E-3</c:v>
                </c:pt>
                <c:pt idx="77">
                  <c:v>1.0871479202338274E-3</c:v>
                </c:pt>
                <c:pt idx="78">
                  <c:v>1.0015449191149786E-3</c:v>
                </c:pt>
                <c:pt idx="79">
                  <c:v>9.1861977423995445E-4</c:v>
                </c:pt>
                <c:pt idx="80">
                  <c:v>8.3802508586497762E-4</c:v>
                </c:pt>
                <c:pt idx="81">
                  <c:v>7.5942082661852517E-4</c:v>
                </c:pt>
                <c:pt idx="82">
                  <c:v>6.826721744272753E-4</c:v>
                </c:pt>
                <c:pt idx="83">
                  <c:v>6.0798340937011581E-4</c:v>
                </c:pt>
                <c:pt idx="84">
                  <c:v>5.3593614246397539E-4</c:v>
                </c:pt>
                <c:pt idx="85">
                  <c:v>4.6742723932512403E-4</c:v>
                </c:pt>
                <c:pt idx="86">
                  <c:v>4.0352707448814822E-4</c:v>
                </c:pt>
                <c:pt idx="87">
                  <c:v>3.4529554619033116E-4</c:v>
                </c:pt>
                <c:pt idx="88">
                  <c:v>2.9359868635924163E-4</c:v>
                </c:pt>
                <c:pt idx="89">
                  <c:v>2.4896343116843038E-4</c:v>
                </c:pt>
                <c:pt idx="90">
                  <c:v>2.1149537736301697E-4</c:v>
                </c:pt>
                <c:pt idx="91">
                  <c:v>1.8086840673178182E-4</c:v>
                </c:pt>
                <c:pt idx="92">
                  <c:v>1.5638000949292613E-4</c:v>
                </c:pt>
                <c:pt idx="93">
                  <c:v>1.3705502477230597E-4</c:v>
                </c:pt>
                <c:pt idx="94">
                  <c:v>1.2177487471413914E-4</c:v>
                </c:pt>
                <c:pt idx="95">
                  <c:v>1.0940915602058546E-4</c:v>
                </c:pt>
                <c:pt idx="96">
                  <c:v>9.8930391666774429E-5</c:v>
                </c:pt>
                <c:pt idx="97">
                  <c:v>8.9498951754931285E-5</c:v>
                </c:pt>
                <c:pt idx="98">
                  <c:v>8.0511825827717369E-5</c:v>
                </c:pt>
                <c:pt idx="99">
                  <c:v>7.1614844402592671E-5</c:v>
                </c:pt>
              </c:numCache>
            </c:numRef>
          </c:yVal>
        </c:ser>
        <c:ser>
          <c:idx val="13"/>
          <c:order val="13"/>
          <c:tx>
            <c:strRef>
              <c:f>SimDataScen!$X$7</c:f>
              <c:strCache>
                <c:ptCount val="1"/>
                <c:pt idx="0">
                  <c:v>Profit: 4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SimDataScen!$Y$14</c:f>
                <c:numCache>
                  <c:formatCode>General</c:formatCode>
                  <c:ptCount val="1"/>
                  <c:pt idx="0">
                    <c:v>4.8326475018828988E-3</c:v>
                  </c:pt>
                </c:numCache>
              </c:numRef>
            </c:minus>
            <c:spPr>
              <a:ln w="381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SimDataScen!$X$14</c:f>
              <c:numCache>
                <c:formatCode>0.000</c:formatCode>
                <c:ptCount val="1"/>
                <c:pt idx="0">
                  <c:v>49.338866123163029</c:v>
                </c:pt>
              </c:numCache>
            </c:numRef>
          </c:xVal>
          <c:yVal>
            <c:numRef>
              <c:f>SimDataScen!$Y$14</c:f>
              <c:numCache>
                <c:formatCode>0.000</c:formatCode>
                <c:ptCount val="1"/>
                <c:pt idx="0">
                  <c:v>4.8326475018828988E-3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SimDataScen!$X$7</c:f>
              <c:strCache>
                <c:ptCount val="1"/>
                <c:pt idx="0">
                  <c:v>Profit: 4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SimDataScen!$Y$15</c:f>
                <c:numCache>
                  <c:formatCode>General</c:formatCode>
                  <c:ptCount val="1"/>
                  <c:pt idx="0">
                    <c:v>8.8579552854595525E-4</c:v>
                  </c:pt>
                </c:numCache>
              </c:numRef>
            </c:minus>
            <c:spPr>
              <a:ln w="381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SimDataScen!$X$15</c:f>
              <c:numCache>
                <c:formatCode>0.000</c:formatCode>
                <c:ptCount val="1"/>
                <c:pt idx="0">
                  <c:v>219.95277958569383</c:v>
                </c:pt>
              </c:numCache>
            </c:numRef>
          </c:xVal>
          <c:yVal>
            <c:numRef>
              <c:f>SimDataScen!$Y$15</c:f>
              <c:numCache>
                <c:formatCode>0.000</c:formatCode>
                <c:ptCount val="1"/>
                <c:pt idx="0">
                  <c:v>8.8579552854595525E-4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SimDataScen!$X$7</c:f>
              <c:strCache>
                <c:ptCount val="1"/>
                <c:pt idx="0">
                  <c:v>Profit: 4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SimDataScen!$Y$13</c:f>
                <c:numCache>
                  <c:formatCode>General</c:formatCode>
                  <c:ptCount val="1"/>
                  <c:pt idx="0">
                    <c:v>1.3195018387693767E-3</c:v>
                  </c:pt>
                </c:numCache>
              </c:numRef>
            </c:minus>
            <c:spPr>
              <a:ln w="381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SimDataScen!$X$13</c:f>
              <c:numCache>
                <c:formatCode>0.000</c:formatCode>
                <c:ptCount val="1"/>
                <c:pt idx="0">
                  <c:v>-89.980876043312691</c:v>
                </c:pt>
              </c:numCache>
            </c:numRef>
          </c:xVal>
          <c:yVal>
            <c:numRef>
              <c:f>SimDataScen!$Y$13</c:f>
              <c:numCache>
                <c:formatCode>0.000</c:formatCode>
                <c:ptCount val="1"/>
                <c:pt idx="0">
                  <c:v>1.3195018387693767E-3</c:v>
                </c:pt>
              </c:numCache>
            </c:numRef>
          </c:yVal>
          <c:smooth val="1"/>
        </c:ser>
        <c:axId val="162687232"/>
        <c:axId val="162701312"/>
      </c:scatterChart>
      <c:valAx>
        <c:axId val="162687232"/>
        <c:scaling>
          <c:orientation val="minMax"/>
          <c:max val="600"/>
          <c:min val="-15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701312"/>
        <c:crosses val="autoZero"/>
        <c:crossBetween val="midCat"/>
      </c:valAx>
      <c:valAx>
        <c:axId val="162701312"/>
        <c:scaling>
          <c:orientation val="minMax"/>
          <c:min val="0"/>
        </c:scaling>
        <c:delete val="1"/>
        <c:axPos val="l"/>
        <c:numFmt formatCode="0.000" sourceLinked="1"/>
        <c:tickLblPos val="none"/>
        <c:crossAx val="16268723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8985589720055071"/>
          <c:y val="0.89171269892288263"/>
          <c:w val="0.6222010096374484"/>
          <c:h val="8.419604882533655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83906770255271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812430632630414E-2"/>
          <c:y val="0.11092985318107668"/>
          <c:w val="0.81021087680355164"/>
          <c:h val="0.82381729200652531"/>
        </c:manualLayout>
      </c:layout>
      <c:scatterChart>
        <c:scatterStyle val="smoothMarker"/>
        <c:ser>
          <c:idx val="0"/>
          <c:order val="0"/>
          <c:tx>
            <c:strRef>
              <c:f>'Iter No Test'!$A$36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'Iter No Test'!$A$37:$A$61</c:f>
              <c:numCache>
                <c:formatCode>General</c:formatCode>
                <c:ptCount val="25"/>
                <c:pt idx="0">
                  <c:v>68.34753390582091</c:v>
                </c:pt>
                <c:pt idx="1">
                  <c:v>93.491178791757349</c:v>
                </c:pt>
                <c:pt idx="2">
                  <c:v>110.17333921780923</c:v>
                </c:pt>
                <c:pt idx="3">
                  <c:v>111.00015379127072</c:v>
                </c:pt>
                <c:pt idx="4">
                  <c:v>112.03162448334538</c:v>
                </c:pt>
                <c:pt idx="5">
                  <c:v>122.06748843480412</c:v>
                </c:pt>
                <c:pt idx="6">
                  <c:v>132.47702966628762</c:v>
                </c:pt>
                <c:pt idx="7">
                  <c:v>136.07386689336892</c:v>
                </c:pt>
                <c:pt idx="8">
                  <c:v>152.92226771653762</c:v>
                </c:pt>
                <c:pt idx="9">
                  <c:v>198.58925154368984</c:v>
                </c:pt>
                <c:pt idx="10">
                  <c:v>212.20155950903975</c:v>
                </c:pt>
                <c:pt idx="11">
                  <c:v>219.08901562718751</c:v>
                </c:pt>
                <c:pt idx="12">
                  <c:v>226.36911471230513</c:v>
                </c:pt>
                <c:pt idx="13">
                  <c:v>227.71440979591875</c:v>
                </c:pt>
                <c:pt idx="14">
                  <c:v>232.99346918094071</c:v>
                </c:pt>
                <c:pt idx="15">
                  <c:v>247.33182754826166</c:v>
                </c:pt>
                <c:pt idx="16">
                  <c:v>251.43048596241348</c:v>
                </c:pt>
                <c:pt idx="17">
                  <c:v>260.38160810182649</c:v>
                </c:pt>
                <c:pt idx="18">
                  <c:v>278.68885734179139</c:v>
                </c:pt>
                <c:pt idx="19">
                  <c:v>306.37960749238766</c:v>
                </c:pt>
                <c:pt idx="20">
                  <c:v>312.15095742895971</c:v>
                </c:pt>
                <c:pt idx="21">
                  <c:v>315.59744743698502</c:v>
                </c:pt>
                <c:pt idx="22">
                  <c:v>323.97630561378082</c:v>
                </c:pt>
                <c:pt idx="23">
                  <c:v>325.07022443836911</c:v>
                </c:pt>
                <c:pt idx="24">
                  <c:v>373.05881945473652</c:v>
                </c:pt>
              </c:numCache>
            </c:numRef>
          </c:xVal>
          <c:yVal>
            <c:numRef>
              <c:f>'Iter No Test'!$B$37:$B$61</c:f>
              <c:numCache>
                <c:formatCode>General</c:formatCode>
                <c:ptCount val="2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0.20833333333333331</c:v>
                </c:pt>
                <c:pt idx="6">
                  <c:v>0.24999999999999997</c:v>
                </c:pt>
                <c:pt idx="7">
                  <c:v>0.29166666666666663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0.45833333333333337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0.58333333333333326</c:v>
                </c:pt>
                <c:pt idx="15">
                  <c:v>0.62499999999999989</c:v>
                </c:pt>
                <c:pt idx="16">
                  <c:v>0.66666666666666652</c:v>
                </c:pt>
                <c:pt idx="17">
                  <c:v>0.70833333333333315</c:v>
                </c:pt>
                <c:pt idx="18">
                  <c:v>0.74999999999999978</c:v>
                </c:pt>
                <c:pt idx="19">
                  <c:v>0.79166666666666641</c:v>
                </c:pt>
                <c:pt idx="20">
                  <c:v>0.83333333333333304</c:v>
                </c:pt>
                <c:pt idx="21">
                  <c:v>0.87499999999999967</c:v>
                </c:pt>
                <c:pt idx="22">
                  <c:v>0.9166666666666663</c:v>
                </c:pt>
                <c:pt idx="23">
                  <c:v>0.95833333333333293</c:v>
                </c:pt>
                <c:pt idx="24">
                  <c:v>0.99999999999999956</c:v>
                </c:pt>
              </c:numCache>
            </c:numRef>
          </c:yVal>
          <c:smooth val="1"/>
        </c:ser>
        <c:axId val="162204672"/>
        <c:axId val="162210560"/>
      </c:scatterChart>
      <c:valAx>
        <c:axId val="162204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210560"/>
        <c:crosses val="autoZero"/>
        <c:crossBetween val="midCat"/>
      </c:valAx>
      <c:valAx>
        <c:axId val="16221056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7553017944535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2046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455049944506105"/>
          <c:y val="0.50570962479608483"/>
          <c:w val="9.1009988901220862E-2"/>
          <c:h val="3.425774877650897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83906770255271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812430632630414E-2"/>
          <c:y val="0.11092985318107668"/>
          <c:w val="0.81021087680355164"/>
          <c:h val="0.82381729200652531"/>
        </c:manualLayout>
      </c:layout>
      <c:scatterChart>
        <c:scatterStyle val="smoothMarker"/>
        <c:ser>
          <c:idx val="0"/>
          <c:order val="0"/>
          <c:tx>
            <c:strRef>
              <c:f>'Iter No Test'!$D$60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'Iter No Test'!$D$61:$D$110</c:f>
              <c:numCache>
                <c:formatCode>General</c:formatCode>
                <c:ptCount val="50"/>
                <c:pt idx="0">
                  <c:v>51.647198717800222</c:v>
                </c:pt>
                <c:pt idx="1">
                  <c:v>52.641351137047593</c:v>
                </c:pt>
                <c:pt idx="2">
                  <c:v>96.882561002361427</c:v>
                </c:pt>
                <c:pt idx="3">
                  <c:v>101.53168997338604</c:v>
                </c:pt>
                <c:pt idx="4">
                  <c:v>101.68224089231938</c:v>
                </c:pt>
                <c:pt idx="5">
                  <c:v>102.37532002549416</c:v>
                </c:pt>
                <c:pt idx="6">
                  <c:v>103.37013485176887</c:v>
                </c:pt>
                <c:pt idx="7">
                  <c:v>112.79443145993403</c:v>
                </c:pt>
                <c:pt idx="8">
                  <c:v>114.82770462912644</c:v>
                </c:pt>
                <c:pt idx="9">
                  <c:v>123.22894774025703</c:v>
                </c:pt>
                <c:pt idx="10">
                  <c:v>150.85022653564437</c:v>
                </c:pt>
                <c:pt idx="11">
                  <c:v>160.83305958206461</c:v>
                </c:pt>
                <c:pt idx="12">
                  <c:v>162.95629055781455</c:v>
                </c:pt>
                <c:pt idx="13">
                  <c:v>164.78423816689894</c:v>
                </c:pt>
                <c:pt idx="14">
                  <c:v>167.27397331408102</c:v>
                </c:pt>
                <c:pt idx="15">
                  <c:v>167.76788666345902</c:v>
                </c:pt>
                <c:pt idx="16">
                  <c:v>168.96065628486235</c:v>
                </c:pt>
                <c:pt idx="17">
                  <c:v>183.11531613479661</c:v>
                </c:pt>
                <c:pt idx="18">
                  <c:v>185.77615349662062</c:v>
                </c:pt>
                <c:pt idx="19">
                  <c:v>188.428468228306</c:v>
                </c:pt>
                <c:pt idx="20">
                  <c:v>188.87954764685244</c:v>
                </c:pt>
                <c:pt idx="21">
                  <c:v>192.80113864861875</c:v>
                </c:pt>
                <c:pt idx="22">
                  <c:v>193.64798972445379</c:v>
                </c:pt>
                <c:pt idx="23">
                  <c:v>204.65723902970484</c:v>
                </c:pt>
                <c:pt idx="24">
                  <c:v>214.83977303936805</c:v>
                </c:pt>
                <c:pt idx="25">
                  <c:v>221.49700844302913</c:v>
                </c:pt>
                <c:pt idx="26">
                  <c:v>224.92903541198356</c:v>
                </c:pt>
                <c:pt idx="27">
                  <c:v>226.20301697928664</c:v>
                </c:pt>
                <c:pt idx="28">
                  <c:v>232.29197395022123</c:v>
                </c:pt>
                <c:pt idx="29">
                  <c:v>232.32353057857708</c:v>
                </c:pt>
                <c:pt idx="30">
                  <c:v>243.55430998530611</c:v>
                </c:pt>
                <c:pt idx="31">
                  <c:v>246.87477734988042</c:v>
                </c:pt>
                <c:pt idx="32">
                  <c:v>253.05411364533231</c:v>
                </c:pt>
                <c:pt idx="33">
                  <c:v>253.88966764475484</c:v>
                </c:pt>
                <c:pt idx="34">
                  <c:v>256.66488026866409</c:v>
                </c:pt>
                <c:pt idx="35">
                  <c:v>260.56699233997813</c:v>
                </c:pt>
                <c:pt idx="36">
                  <c:v>261.34907928146094</c:v>
                </c:pt>
                <c:pt idx="37">
                  <c:v>268.98449175300982</c:v>
                </c:pt>
                <c:pt idx="38">
                  <c:v>271.34006343073736</c:v>
                </c:pt>
                <c:pt idx="39">
                  <c:v>281.33518186106699</c:v>
                </c:pt>
                <c:pt idx="40">
                  <c:v>282.05398106316602</c:v>
                </c:pt>
                <c:pt idx="41">
                  <c:v>290.10028974877292</c:v>
                </c:pt>
                <c:pt idx="42">
                  <c:v>316.20083556103071</c:v>
                </c:pt>
                <c:pt idx="43">
                  <c:v>319.39620692790584</c:v>
                </c:pt>
                <c:pt idx="44">
                  <c:v>321.4189349046535</c:v>
                </c:pt>
                <c:pt idx="45">
                  <c:v>323.6222434110191</c:v>
                </c:pt>
                <c:pt idx="46">
                  <c:v>333.25618861141788</c:v>
                </c:pt>
                <c:pt idx="47">
                  <c:v>339.74908049361267</c:v>
                </c:pt>
                <c:pt idx="48">
                  <c:v>376.12154213259913</c:v>
                </c:pt>
                <c:pt idx="49">
                  <c:v>423.35009834277878</c:v>
                </c:pt>
              </c:numCache>
            </c:numRef>
          </c:xVal>
          <c:yVal>
            <c:numRef>
              <c:f>'Iter No Test'!$E$61:$E$110</c:f>
              <c:numCache>
                <c:formatCode>General</c:formatCode>
                <c:ptCount val="50"/>
                <c:pt idx="0">
                  <c:v>0</c:v>
                </c:pt>
                <c:pt idx="1">
                  <c:v>2.0408163265306121E-2</c:v>
                </c:pt>
                <c:pt idx="2">
                  <c:v>4.0816326530612242E-2</c:v>
                </c:pt>
                <c:pt idx="3">
                  <c:v>6.1224489795918366E-2</c:v>
                </c:pt>
                <c:pt idx="4">
                  <c:v>8.1632653061224483E-2</c:v>
                </c:pt>
                <c:pt idx="5">
                  <c:v>0.1020408163265306</c:v>
                </c:pt>
                <c:pt idx="6">
                  <c:v>0.12244897959183672</c:v>
                </c:pt>
                <c:pt idx="7">
                  <c:v>0.14285714285714285</c:v>
                </c:pt>
                <c:pt idx="8">
                  <c:v>0.16326530612244897</c:v>
                </c:pt>
                <c:pt idx="9">
                  <c:v>0.18367346938775508</c:v>
                </c:pt>
                <c:pt idx="10">
                  <c:v>0.2040816326530612</c:v>
                </c:pt>
                <c:pt idx="11">
                  <c:v>0.22448979591836732</c:v>
                </c:pt>
                <c:pt idx="12">
                  <c:v>0.24489795918367344</c:v>
                </c:pt>
                <c:pt idx="13">
                  <c:v>0.26530612244897955</c:v>
                </c:pt>
                <c:pt idx="14">
                  <c:v>0.2857142857142857</c:v>
                </c:pt>
                <c:pt idx="15">
                  <c:v>0.30612244897959184</c:v>
                </c:pt>
                <c:pt idx="16">
                  <c:v>0.32653061224489799</c:v>
                </c:pt>
                <c:pt idx="17">
                  <c:v>0.34693877551020413</c:v>
                </c:pt>
                <c:pt idx="18">
                  <c:v>0.36734693877551028</c:v>
                </c:pt>
                <c:pt idx="19">
                  <c:v>0.38775510204081642</c:v>
                </c:pt>
                <c:pt idx="20">
                  <c:v>0.40816326530612257</c:v>
                </c:pt>
                <c:pt idx="21">
                  <c:v>0.42857142857142871</c:v>
                </c:pt>
                <c:pt idx="22">
                  <c:v>0.44897959183673486</c:v>
                </c:pt>
                <c:pt idx="23">
                  <c:v>0.469387755102041</c:v>
                </c:pt>
                <c:pt idx="24">
                  <c:v>0.48979591836734715</c:v>
                </c:pt>
                <c:pt idx="25">
                  <c:v>0.51020408163265329</c:v>
                </c:pt>
                <c:pt idx="26">
                  <c:v>0.53061224489795944</c:v>
                </c:pt>
                <c:pt idx="27">
                  <c:v>0.55102040816326558</c:v>
                </c:pt>
                <c:pt idx="28">
                  <c:v>0.57142857142857173</c:v>
                </c:pt>
                <c:pt idx="29">
                  <c:v>0.59183673469387788</c:v>
                </c:pt>
                <c:pt idx="30">
                  <c:v>0.61224489795918402</c:v>
                </c:pt>
                <c:pt idx="31">
                  <c:v>0.63265306122449017</c:v>
                </c:pt>
                <c:pt idx="32">
                  <c:v>0.65306122448979631</c:v>
                </c:pt>
                <c:pt idx="33">
                  <c:v>0.67346938775510246</c:v>
                </c:pt>
                <c:pt idx="34">
                  <c:v>0.6938775510204086</c:v>
                </c:pt>
                <c:pt idx="35">
                  <c:v>0.71428571428571475</c:v>
                </c:pt>
                <c:pt idx="36">
                  <c:v>0.73469387755102089</c:v>
                </c:pt>
                <c:pt idx="37">
                  <c:v>0.75510204081632704</c:v>
                </c:pt>
                <c:pt idx="38">
                  <c:v>0.77551020408163318</c:v>
                </c:pt>
                <c:pt idx="39">
                  <c:v>0.79591836734693933</c:v>
                </c:pt>
                <c:pt idx="40">
                  <c:v>0.81632653061224547</c:v>
                </c:pt>
                <c:pt idx="41">
                  <c:v>0.83673469387755162</c:v>
                </c:pt>
                <c:pt idx="42">
                  <c:v>0.85714285714285776</c:v>
                </c:pt>
                <c:pt idx="43">
                  <c:v>0.87755102040816391</c:v>
                </c:pt>
                <c:pt idx="44">
                  <c:v>0.89795918367347005</c:v>
                </c:pt>
                <c:pt idx="45">
                  <c:v>0.9183673469387762</c:v>
                </c:pt>
                <c:pt idx="46">
                  <c:v>0.93877551020408234</c:v>
                </c:pt>
                <c:pt idx="47">
                  <c:v>0.95918367346938849</c:v>
                </c:pt>
                <c:pt idx="48">
                  <c:v>0.97959183673469463</c:v>
                </c:pt>
                <c:pt idx="49">
                  <c:v>1.0000000000000007</c:v>
                </c:pt>
              </c:numCache>
            </c:numRef>
          </c:yVal>
          <c:smooth val="1"/>
        </c:ser>
        <c:axId val="162264576"/>
        <c:axId val="162266112"/>
      </c:scatterChart>
      <c:valAx>
        <c:axId val="162264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266112"/>
        <c:crosses val="autoZero"/>
        <c:crossBetween val="midCat"/>
      </c:valAx>
      <c:valAx>
        <c:axId val="16226611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7553017944535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2645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455049944506105"/>
          <c:y val="0.50570962479608483"/>
          <c:w val="9.1009988901220862E-2"/>
          <c:h val="3.425774877650897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83906770255271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812430632630414E-2"/>
          <c:y val="0.11092985318107668"/>
          <c:w val="0.90677025527192012"/>
          <c:h val="0.82381729200652531"/>
        </c:manualLayout>
      </c:layout>
      <c:scatterChart>
        <c:scatterStyle val="smoothMarker"/>
        <c:ser>
          <c:idx val="0"/>
          <c:order val="0"/>
          <c:tx>
            <c:strRef>
              <c:f>'Iter No Test'!$AB$2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'Iter No Test'!$AB$3:$AB$77</c:f>
              <c:numCache>
                <c:formatCode>General</c:formatCode>
                <c:ptCount val="75"/>
                <c:pt idx="0">
                  <c:v>8.6755667424252323</c:v>
                </c:pt>
                <c:pt idx="1">
                  <c:v>53.340393410241631</c:v>
                </c:pt>
                <c:pt idx="2">
                  <c:v>68.923669740430043</c:v>
                </c:pt>
                <c:pt idx="3">
                  <c:v>71.85682484393908</c:v>
                </c:pt>
                <c:pt idx="4">
                  <c:v>83.274018971965219</c:v>
                </c:pt>
                <c:pt idx="5">
                  <c:v>84.82487586997317</c:v>
                </c:pt>
                <c:pt idx="6">
                  <c:v>111.52733839789475</c:v>
                </c:pt>
                <c:pt idx="7">
                  <c:v>111.53850172841754</c:v>
                </c:pt>
                <c:pt idx="8">
                  <c:v>111.9427465373446</c:v>
                </c:pt>
                <c:pt idx="9">
                  <c:v>112.59087790701504</c:v>
                </c:pt>
                <c:pt idx="10">
                  <c:v>120.11963124105421</c:v>
                </c:pt>
                <c:pt idx="11">
                  <c:v>130.77375444933784</c:v>
                </c:pt>
                <c:pt idx="12">
                  <c:v>131.35648112209532</c:v>
                </c:pt>
                <c:pt idx="13">
                  <c:v>144.4158814028853</c:v>
                </c:pt>
                <c:pt idx="14">
                  <c:v>144.4407011332051</c:v>
                </c:pt>
                <c:pt idx="15">
                  <c:v>147.76249768450174</c:v>
                </c:pt>
                <c:pt idx="16">
                  <c:v>149.53762032636052</c:v>
                </c:pt>
                <c:pt idx="17">
                  <c:v>152.4587688003171</c:v>
                </c:pt>
                <c:pt idx="18">
                  <c:v>152.60576484572084</c:v>
                </c:pt>
                <c:pt idx="19">
                  <c:v>153.3356163747298</c:v>
                </c:pt>
                <c:pt idx="20">
                  <c:v>153.38854785809127</c:v>
                </c:pt>
                <c:pt idx="21">
                  <c:v>158.72526759648522</c:v>
                </c:pt>
                <c:pt idx="22">
                  <c:v>160.95147150890062</c:v>
                </c:pt>
                <c:pt idx="23">
                  <c:v>162.9147324067894</c:v>
                </c:pt>
                <c:pt idx="24">
                  <c:v>163.26436920657747</c:v>
                </c:pt>
                <c:pt idx="25">
                  <c:v>167.54256973187779</c:v>
                </c:pt>
                <c:pt idx="26">
                  <c:v>170.28239027368693</c:v>
                </c:pt>
                <c:pt idx="27">
                  <c:v>175.19959045536851</c:v>
                </c:pt>
                <c:pt idx="28">
                  <c:v>175.71826091973585</c:v>
                </c:pt>
                <c:pt idx="29">
                  <c:v>177.41736216957779</c:v>
                </c:pt>
                <c:pt idx="30">
                  <c:v>187.1402277067898</c:v>
                </c:pt>
                <c:pt idx="31">
                  <c:v>189.16966082159485</c:v>
                </c:pt>
                <c:pt idx="32">
                  <c:v>190.89153956271463</c:v>
                </c:pt>
                <c:pt idx="33">
                  <c:v>194.51087063189556</c:v>
                </c:pt>
                <c:pt idx="34">
                  <c:v>198.62006037258556</c:v>
                </c:pt>
                <c:pt idx="35">
                  <c:v>202.53959008953979</c:v>
                </c:pt>
                <c:pt idx="36">
                  <c:v>204.99411035678588</c:v>
                </c:pt>
                <c:pt idx="37">
                  <c:v>206.92185255594171</c:v>
                </c:pt>
                <c:pt idx="38">
                  <c:v>216.42482218484594</c:v>
                </c:pt>
                <c:pt idx="39">
                  <c:v>216.93517432393733</c:v>
                </c:pt>
                <c:pt idx="40">
                  <c:v>217.85311077964607</c:v>
                </c:pt>
                <c:pt idx="41">
                  <c:v>217.92008917942724</c:v>
                </c:pt>
                <c:pt idx="42">
                  <c:v>221.05318294375803</c:v>
                </c:pt>
                <c:pt idx="43">
                  <c:v>225.93702763013883</c:v>
                </c:pt>
                <c:pt idx="44">
                  <c:v>232.20024526176053</c:v>
                </c:pt>
                <c:pt idx="45">
                  <c:v>238.38208746862412</c:v>
                </c:pt>
                <c:pt idx="46">
                  <c:v>241.16501815315962</c:v>
                </c:pt>
                <c:pt idx="47">
                  <c:v>242.29056087428395</c:v>
                </c:pt>
                <c:pt idx="48">
                  <c:v>247.47405310128138</c:v>
                </c:pt>
                <c:pt idx="49">
                  <c:v>249.35182841133138</c:v>
                </c:pt>
                <c:pt idx="50">
                  <c:v>249.69323398018281</c:v>
                </c:pt>
                <c:pt idx="51">
                  <c:v>250.7043725685204</c:v>
                </c:pt>
                <c:pt idx="52">
                  <c:v>256.02799438198713</c:v>
                </c:pt>
                <c:pt idx="53">
                  <c:v>257.04006442737386</c:v>
                </c:pt>
                <c:pt idx="54">
                  <c:v>265.65304944151103</c:v>
                </c:pt>
                <c:pt idx="55">
                  <c:v>271.19579196411223</c:v>
                </c:pt>
                <c:pt idx="56">
                  <c:v>273.15026199923199</c:v>
                </c:pt>
                <c:pt idx="57">
                  <c:v>273.33512646116469</c:v>
                </c:pt>
                <c:pt idx="58">
                  <c:v>281.48691062161572</c:v>
                </c:pt>
                <c:pt idx="59">
                  <c:v>284.20636956048929</c:v>
                </c:pt>
                <c:pt idx="60">
                  <c:v>297.86108851720473</c:v>
                </c:pt>
                <c:pt idx="61">
                  <c:v>299.08036095956516</c:v>
                </c:pt>
                <c:pt idx="62">
                  <c:v>299.25493392224439</c:v>
                </c:pt>
                <c:pt idx="63">
                  <c:v>302.11208845098793</c:v>
                </c:pt>
                <c:pt idx="64">
                  <c:v>318.47800680772889</c:v>
                </c:pt>
                <c:pt idx="65">
                  <c:v>323.10380967709352</c:v>
                </c:pt>
                <c:pt idx="66">
                  <c:v>329.29158896945916</c:v>
                </c:pt>
                <c:pt idx="67">
                  <c:v>355.46472795944851</c:v>
                </c:pt>
                <c:pt idx="68">
                  <c:v>361.28520813418254</c:v>
                </c:pt>
                <c:pt idx="69">
                  <c:v>363.58930766531626</c:v>
                </c:pt>
                <c:pt idx="70">
                  <c:v>396.78690201719121</c:v>
                </c:pt>
                <c:pt idx="71">
                  <c:v>405.52521633779122</c:v>
                </c:pt>
                <c:pt idx="72">
                  <c:v>432.75738081976863</c:v>
                </c:pt>
                <c:pt idx="73">
                  <c:v>454.65333616816065</c:v>
                </c:pt>
                <c:pt idx="74">
                  <c:v>466.70807407657981</c:v>
                </c:pt>
              </c:numCache>
            </c:numRef>
          </c:xVal>
          <c:yVal>
            <c:numRef>
              <c:f>'Iter No Test'!$AC$3:$AC$77</c:f>
              <c:numCache>
                <c:formatCode>General</c:formatCode>
                <c:ptCount val="75"/>
                <c:pt idx="0">
                  <c:v>0</c:v>
                </c:pt>
                <c:pt idx="1">
                  <c:v>1.3513513513513514E-2</c:v>
                </c:pt>
                <c:pt idx="2">
                  <c:v>2.7027027027027029E-2</c:v>
                </c:pt>
                <c:pt idx="3">
                  <c:v>4.0540540540540543E-2</c:v>
                </c:pt>
                <c:pt idx="4">
                  <c:v>5.4054054054054057E-2</c:v>
                </c:pt>
                <c:pt idx="5">
                  <c:v>6.7567567567567571E-2</c:v>
                </c:pt>
                <c:pt idx="6">
                  <c:v>8.1081081081081086E-2</c:v>
                </c:pt>
                <c:pt idx="7">
                  <c:v>9.45945945945946E-2</c:v>
                </c:pt>
                <c:pt idx="8">
                  <c:v>0.10810810810810811</c:v>
                </c:pt>
                <c:pt idx="9">
                  <c:v>0.12162162162162163</c:v>
                </c:pt>
                <c:pt idx="10">
                  <c:v>0.13513513513513514</c:v>
                </c:pt>
                <c:pt idx="11">
                  <c:v>0.14864864864864866</c:v>
                </c:pt>
                <c:pt idx="12">
                  <c:v>0.16216216216216217</c:v>
                </c:pt>
                <c:pt idx="13">
                  <c:v>0.17567567567567569</c:v>
                </c:pt>
                <c:pt idx="14">
                  <c:v>0.1891891891891892</c:v>
                </c:pt>
                <c:pt idx="15">
                  <c:v>0.20270270270270271</c:v>
                </c:pt>
                <c:pt idx="16">
                  <c:v>0.21621621621621623</c:v>
                </c:pt>
                <c:pt idx="17">
                  <c:v>0.22972972972972974</c:v>
                </c:pt>
                <c:pt idx="18">
                  <c:v>0.24324324324324326</c:v>
                </c:pt>
                <c:pt idx="19">
                  <c:v>0.2567567567567568</c:v>
                </c:pt>
                <c:pt idx="20">
                  <c:v>0.27027027027027029</c:v>
                </c:pt>
                <c:pt idx="21">
                  <c:v>0.28378378378378377</c:v>
                </c:pt>
                <c:pt idx="22">
                  <c:v>0.29729729729729726</c:v>
                </c:pt>
                <c:pt idx="23">
                  <c:v>0.31081081081081074</c:v>
                </c:pt>
                <c:pt idx="24">
                  <c:v>0.32432432432432423</c:v>
                </c:pt>
                <c:pt idx="25">
                  <c:v>0.33783783783783772</c:v>
                </c:pt>
                <c:pt idx="26">
                  <c:v>0.3513513513513512</c:v>
                </c:pt>
                <c:pt idx="27">
                  <c:v>0.36486486486486469</c:v>
                </c:pt>
                <c:pt idx="28">
                  <c:v>0.37837837837837818</c:v>
                </c:pt>
                <c:pt idx="29">
                  <c:v>0.39189189189189166</c:v>
                </c:pt>
                <c:pt idx="30">
                  <c:v>0.40540540540540515</c:v>
                </c:pt>
                <c:pt idx="31">
                  <c:v>0.41891891891891864</c:v>
                </c:pt>
                <c:pt idx="32">
                  <c:v>0.43243243243243212</c:v>
                </c:pt>
                <c:pt idx="33">
                  <c:v>0.44594594594594561</c:v>
                </c:pt>
                <c:pt idx="34">
                  <c:v>0.4594594594594591</c:v>
                </c:pt>
                <c:pt idx="35">
                  <c:v>0.47297297297297258</c:v>
                </c:pt>
                <c:pt idx="36">
                  <c:v>0.48648648648648607</c:v>
                </c:pt>
                <c:pt idx="37">
                  <c:v>0.49999999999999956</c:v>
                </c:pt>
                <c:pt idx="38">
                  <c:v>0.51351351351351304</c:v>
                </c:pt>
                <c:pt idx="39">
                  <c:v>0.52702702702702653</c:v>
                </c:pt>
                <c:pt idx="40">
                  <c:v>0.54054054054054002</c:v>
                </c:pt>
                <c:pt idx="41">
                  <c:v>0.5540540540540535</c:v>
                </c:pt>
                <c:pt idx="42">
                  <c:v>0.56756756756756699</c:v>
                </c:pt>
                <c:pt idx="43">
                  <c:v>0.58108108108108047</c:v>
                </c:pt>
                <c:pt idx="44">
                  <c:v>0.59459459459459396</c:v>
                </c:pt>
                <c:pt idx="45">
                  <c:v>0.60810810810810745</c:v>
                </c:pt>
                <c:pt idx="46">
                  <c:v>0.62162162162162093</c:v>
                </c:pt>
                <c:pt idx="47">
                  <c:v>0.63513513513513442</c:v>
                </c:pt>
                <c:pt idx="48">
                  <c:v>0.64864864864864791</c:v>
                </c:pt>
                <c:pt idx="49">
                  <c:v>0.66216216216216139</c:v>
                </c:pt>
                <c:pt idx="50">
                  <c:v>0.67567567567567488</c:v>
                </c:pt>
                <c:pt idx="51">
                  <c:v>0.68918918918918837</c:v>
                </c:pt>
                <c:pt idx="52">
                  <c:v>0.70270270270270185</c:v>
                </c:pt>
                <c:pt idx="53">
                  <c:v>0.71621621621621534</c:v>
                </c:pt>
                <c:pt idx="54">
                  <c:v>0.72972972972972883</c:v>
                </c:pt>
                <c:pt idx="55">
                  <c:v>0.74324324324324231</c:v>
                </c:pt>
                <c:pt idx="56">
                  <c:v>0.7567567567567558</c:v>
                </c:pt>
                <c:pt idx="57">
                  <c:v>0.77027027027026929</c:v>
                </c:pt>
                <c:pt idx="58">
                  <c:v>0.78378378378378277</c:v>
                </c:pt>
                <c:pt idx="59">
                  <c:v>0.79729729729729626</c:v>
                </c:pt>
                <c:pt idx="60">
                  <c:v>0.81081081081080975</c:v>
                </c:pt>
                <c:pt idx="61">
                  <c:v>0.82432432432432323</c:v>
                </c:pt>
                <c:pt idx="62">
                  <c:v>0.83783783783783672</c:v>
                </c:pt>
                <c:pt idx="63">
                  <c:v>0.85135135135135021</c:v>
                </c:pt>
                <c:pt idx="64">
                  <c:v>0.86486486486486369</c:v>
                </c:pt>
                <c:pt idx="65">
                  <c:v>0.87837837837837718</c:v>
                </c:pt>
                <c:pt idx="66">
                  <c:v>0.89189189189189066</c:v>
                </c:pt>
                <c:pt idx="67">
                  <c:v>0.90540540540540415</c:v>
                </c:pt>
                <c:pt idx="68">
                  <c:v>0.91891891891891764</c:v>
                </c:pt>
                <c:pt idx="69">
                  <c:v>0.93243243243243112</c:v>
                </c:pt>
                <c:pt idx="70">
                  <c:v>0.94594594594594461</c:v>
                </c:pt>
                <c:pt idx="71">
                  <c:v>0.9594594594594581</c:v>
                </c:pt>
                <c:pt idx="72">
                  <c:v>0.97297297297297158</c:v>
                </c:pt>
                <c:pt idx="73">
                  <c:v>0.98648648648648507</c:v>
                </c:pt>
                <c:pt idx="74">
                  <c:v>0.99999999999999856</c:v>
                </c:pt>
              </c:numCache>
            </c:numRef>
          </c:yVal>
          <c:smooth val="1"/>
        </c:ser>
        <c:axId val="162467840"/>
        <c:axId val="162469376"/>
      </c:scatterChart>
      <c:valAx>
        <c:axId val="162467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469376"/>
        <c:crosses val="autoZero"/>
        <c:crossBetween val="midCat"/>
      </c:valAx>
      <c:valAx>
        <c:axId val="16246937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7553017944535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4678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83906770255271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812430632630414E-2"/>
          <c:y val="0.11092985318107668"/>
          <c:w val="0.90677025527192012"/>
          <c:h val="0.82381729200652531"/>
        </c:manualLayout>
      </c:layout>
      <c:scatterChart>
        <c:scatterStyle val="smoothMarker"/>
        <c:ser>
          <c:idx val="0"/>
          <c:order val="0"/>
          <c:tx>
            <c:strRef>
              <c:f>'Iter No Test'!$AE$2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'Iter No Test'!$AE$3:$AE$102</c:f>
              <c:numCache>
                <c:formatCode>General</c:formatCode>
                <c:ptCount val="100"/>
                <c:pt idx="0">
                  <c:v>32.729006717280626</c:v>
                </c:pt>
                <c:pt idx="1">
                  <c:v>53.866325229975004</c:v>
                </c:pt>
                <c:pt idx="2">
                  <c:v>69.70311317841194</c:v>
                </c:pt>
                <c:pt idx="3">
                  <c:v>70.264943833025214</c:v>
                </c:pt>
                <c:pt idx="4">
                  <c:v>73.202751227200167</c:v>
                </c:pt>
                <c:pt idx="5">
                  <c:v>77.260005872614016</c:v>
                </c:pt>
                <c:pt idx="6">
                  <c:v>80.14337313657515</c:v>
                </c:pt>
                <c:pt idx="7">
                  <c:v>86.644297249689714</c:v>
                </c:pt>
                <c:pt idx="8">
                  <c:v>88.667609350607449</c:v>
                </c:pt>
                <c:pt idx="9">
                  <c:v>98.048657651249925</c:v>
                </c:pt>
                <c:pt idx="10">
                  <c:v>99.686719794006194</c:v>
                </c:pt>
                <c:pt idx="11">
                  <c:v>109.88288230794136</c:v>
                </c:pt>
                <c:pt idx="12">
                  <c:v>111.41293365368861</c:v>
                </c:pt>
                <c:pt idx="13">
                  <c:v>121.26498639310583</c:v>
                </c:pt>
                <c:pt idx="14">
                  <c:v>124.24419642213893</c:v>
                </c:pt>
                <c:pt idx="15">
                  <c:v>127.52826318058987</c:v>
                </c:pt>
                <c:pt idx="16">
                  <c:v>129.81674309942261</c:v>
                </c:pt>
                <c:pt idx="17">
                  <c:v>133.32370747395896</c:v>
                </c:pt>
                <c:pt idx="18">
                  <c:v>133.63730664746396</c:v>
                </c:pt>
                <c:pt idx="19">
                  <c:v>135.451292767616</c:v>
                </c:pt>
                <c:pt idx="20">
                  <c:v>144.35726486110593</c:v>
                </c:pt>
                <c:pt idx="21">
                  <c:v>147.15637696861205</c:v>
                </c:pt>
                <c:pt idx="22">
                  <c:v>150.41522767995511</c:v>
                </c:pt>
                <c:pt idx="23">
                  <c:v>151.84075205028711</c:v>
                </c:pt>
                <c:pt idx="24">
                  <c:v>152.23879421707031</c:v>
                </c:pt>
                <c:pt idx="25">
                  <c:v>152.68283533575979</c:v>
                </c:pt>
                <c:pt idx="26">
                  <c:v>154.11108010610479</c:v>
                </c:pt>
                <c:pt idx="27">
                  <c:v>154.49944339957273</c:v>
                </c:pt>
                <c:pt idx="28">
                  <c:v>155.4446908278556</c:v>
                </c:pt>
                <c:pt idx="29">
                  <c:v>158.76515525812457</c:v>
                </c:pt>
                <c:pt idx="30">
                  <c:v>159.31279811721777</c:v>
                </c:pt>
                <c:pt idx="31">
                  <c:v>159.38392075642463</c:v>
                </c:pt>
                <c:pt idx="32">
                  <c:v>160.24010424886791</c:v>
                </c:pt>
                <c:pt idx="33">
                  <c:v>167.43050495232595</c:v>
                </c:pt>
                <c:pt idx="34">
                  <c:v>171.20224203535926</c:v>
                </c:pt>
                <c:pt idx="35">
                  <c:v>178.53302239687184</c:v>
                </c:pt>
                <c:pt idx="36">
                  <c:v>179.28005258300183</c:v>
                </c:pt>
                <c:pt idx="37">
                  <c:v>184.4655610623667</c:v>
                </c:pt>
                <c:pt idx="38">
                  <c:v>187.98585567507348</c:v>
                </c:pt>
                <c:pt idx="39">
                  <c:v>190.47676235490638</c:v>
                </c:pt>
                <c:pt idx="40">
                  <c:v>191.62453423183456</c:v>
                </c:pt>
                <c:pt idx="41">
                  <c:v>193.65139529469684</c:v>
                </c:pt>
                <c:pt idx="42">
                  <c:v>194.98759408159526</c:v>
                </c:pt>
                <c:pt idx="43">
                  <c:v>197.55520886682373</c:v>
                </c:pt>
                <c:pt idx="44">
                  <c:v>199.83340377144199</c:v>
                </c:pt>
                <c:pt idx="45">
                  <c:v>200.58806512224047</c:v>
                </c:pt>
                <c:pt idx="46">
                  <c:v>202.14253551061302</c:v>
                </c:pt>
                <c:pt idx="47">
                  <c:v>208.87427817970718</c:v>
                </c:pt>
                <c:pt idx="48">
                  <c:v>209.66087138301938</c:v>
                </c:pt>
                <c:pt idx="49">
                  <c:v>211.87205443935184</c:v>
                </c:pt>
                <c:pt idx="50">
                  <c:v>213.51346337930767</c:v>
                </c:pt>
                <c:pt idx="51">
                  <c:v>214.95499583964892</c:v>
                </c:pt>
                <c:pt idx="52">
                  <c:v>215.51276951314867</c:v>
                </c:pt>
                <c:pt idx="53">
                  <c:v>216.55206383489735</c:v>
                </c:pt>
                <c:pt idx="54">
                  <c:v>216.82651049037196</c:v>
                </c:pt>
                <c:pt idx="55">
                  <c:v>219.68191019147611</c:v>
                </c:pt>
                <c:pt idx="56">
                  <c:v>225.21532366209212</c:v>
                </c:pt>
                <c:pt idx="57">
                  <c:v>227.63172965803801</c:v>
                </c:pt>
                <c:pt idx="58">
                  <c:v>231.0461127486893</c:v>
                </c:pt>
                <c:pt idx="59">
                  <c:v>232.05420372321038</c:v>
                </c:pt>
                <c:pt idx="60">
                  <c:v>236.40896475112925</c:v>
                </c:pt>
                <c:pt idx="61">
                  <c:v>239.17690021278221</c:v>
                </c:pt>
                <c:pt idx="62">
                  <c:v>244.69700799842013</c:v>
                </c:pt>
                <c:pt idx="63">
                  <c:v>246.38982592485965</c:v>
                </c:pt>
                <c:pt idx="64">
                  <c:v>248.22375524245089</c:v>
                </c:pt>
                <c:pt idx="65">
                  <c:v>253.23466599874664</c:v>
                </c:pt>
                <c:pt idx="66">
                  <c:v>254.58015463921859</c:v>
                </c:pt>
                <c:pt idx="67">
                  <c:v>258.76018507976659</c:v>
                </c:pt>
                <c:pt idx="68">
                  <c:v>262.9878472946516</c:v>
                </c:pt>
                <c:pt idx="69">
                  <c:v>263.01658216132671</c:v>
                </c:pt>
                <c:pt idx="70">
                  <c:v>264.8146962547417</c:v>
                </c:pt>
                <c:pt idx="71">
                  <c:v>268.09923983113276</c:v>
                </c:pt>
                <c:pt idx="72">
                  <c:v>271.74555947847455</c:v>
                </c:pt>
                <c:pt idx="73">
                  <c:v>272.75482476397968</c:v>
                </c:pt>
                <c:pt idx="74">
                  <c:v>273.08343447344441</c:v>
                </c:pt>
                <c:pt idx="75">
                  <c:v>273.85811851618229</c:v>
                </c:pt>
                <c:pt idx="76">
                  <c:v>274.32779196260935</c:v>
                </c:pt>
                <c:pt idx="77">
                  <c:v>276.04394687579213</c:v>
                </c:pt>
                <c:pt idx="78">
                  <c:v>276.76951655704983</c:v>
                </c:pt>
                <c:pt idx="79">
                  <c:v>279.47326000125508</c:v>
                </c:pt>
                <c:pt idx="80">
                  <c:v>302.91688487100021</c:v>
                </c:pt>
                <c:pt idx="81">
                  <c:v>303.18577088026109</c:v>
                </c:pt>
                <c:pt idx="82">
                  <c:v>308.47037134281004</c:v>
                </c:pt>
                <c:pt idx="83">
                  <c:v>312.66898314766348</c:v>
                </c:pt>
                <c:pt idx="84">
                  <c:v>313.02476281839057</c:v>
                </c:pt>
                <c:pt idx="85">
                  <c:v>317.55634873375493</c:v>
                </c:pt>
                <c:pt idx="86">
                  <c:v>323.61329911009193</c:v>
                </c:pt>
                <c:pt idx="87">
                  <c:v>331.54399732933859</c:v>
                </c:pt>
                <c:pt idx="88">
                  <c:v>332.40866668304778</c:v>
                </c:pt>
                <c:pt idx="89">
                  <c:v>334.99460000427183</c:v>
                </c:pt>
                <c:pt idx="90">
                  <c:v>336.81564199761863</c:v>
                </c:pt>
                <c:pt idx="91">
                  <c:v>341.93587314072221</c:v>
                </c:pt>
                <c:pt idx="92">
                  <c:v>349.26493077778127</c:v>
                </c:pt>
                <c:pt idx="93">
                  <c:v>350.07694635949429</c:v>
                </c:pt>
                <c:pt idx="94">
                  <c:v>364.56424825469333</c:v>
                </c:pt>
                <c:pt idx="95">
                  <c:v>372.36497216594825</c:v>
                </c:pt>
                <c:pt idx="96">
                  <c:v>375.17577797234037</c:v>
                </c:pt>
                <c:pt idx="97">
                  <c:v>379.28827415720889</c:v>
                </c:pt>
                <c:pt idx="98">
                  <c:v>401.40365191817</c:v>
                </c:pt>
                <c:pt idx="99">
                  <c:v>418.08520781231459</c:v>
                </c:pt>
              </c:numCache>
            </c:numRef>
          </c:xVal>
          <c:yVal>
            <c:numRef>
              <c:f>'Iter No Test'!$AF$3:$AF$102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axId val="161768576"/>
        <c:axId val="161770112"/>
      </c:scatterChart>
      <c:valAx>
        <c:axId val="161768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70112"/>
        <c:crosses val="autoZero"/>
        <c:crossBetween val="midCat"/>
      </c:valAx>
      <c:valAx>
        <c:axId val="16177011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7553017944535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685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83906770255271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812430632630414E-2"/>
          <c:y val="0.11092985318107668"/>
          <c:w val="0.90677025527192012"/>
          <c:h val="0.82381729200652531"/>
        </c:manualLayout>
      </c:layout>
      <c:scatterChart>
        <c:scatterStyle val="smoothMarker"/>
        <c:ser>
          <c:idx val="0"/>
          <c:order val="0"/>
          <c:tx>
            <c:strRef>
              <c:f>'Iter No Test'!$AH$2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'Iter No Test'!$AH$3:$AH$202</c:f>
              <c:numCache>
                <c:formatCode>General</c:formatCode>
                <c:ptCount val="200"/>
                <c:pt idx="0">
                  <c:v>32.66771821967312</c:v>
                </c:pt>
                <c:pt idx="1">
                  <c:v>38.112933893184689</c:v>
                </c:pt>
                <c:pt idx="2">
                  <c:v>42.428253111063299</c:v>
                </c:pt>
                <c:pt idx="3">
                  <c:v>52.996800266559745</c:v>
                </c:pt>
                <c:pt idx="4">
                  <c:v>60.33809494866216</c:v>
                </c:pt>
                <c:pt idx="5">
                  <c:v>64.927585173980262</c:v>
                </c:pt>
                <c:pt idx="6">
                  <c:v>67.155004866863607</c:v>
                </c:pt>
                <c:pt idx="7">
                  <c:v>68.763761794651103</c:v>
                </c:pt>
                <c:pt idx="8">
                  <c:v>71.578073503115462</c:v>
                </c:pt>
                <c:pt idx="9">
                  <c:v>73.014189255250898</c:v>
                </c:pt>
                <c:pt idx="10">
                  <c:v>83.245369638985892</c:v>
                </c:pt>
                <c:pt idx="11">
                  <c:v>83.564157498594412</c:v>
                </c:pt>
                <c:pt idx="12">
                  <c:v>85.806687086976439</c:v>
                </c:pt>
                <c:pt idx="13">
                  <c:v>87.5862976030173</c:v>
                </c:pt>
                <c:pt idx="14">
                  <c:v>88.297932891039565</c:v>
                </c:pt>
                <c:pt idx="15">
                  <c:v>94.562810012777192</c:v>
                </c:pt>
                <c:pt idx="16">
                  <c:v>95.369115819418596</c:v>
                </c:pt>
                <c:pt idx="17">
                  <c:v>100.56632105966884</c:v>
                </c:pt>
                <c:pt idx="18">
                  <c:v>101.59944521168175</c:v>
                </c:pt>
                <c:pt idx="19">
                  <c:v>102.4985418077808</c:v>
                </c:pt>
                <c:pt idx="20">
                  <c:v>105.99235730679459</c:v>
                </c:pt>
                <c:pt idx="21">
                  <c:v>109.34361499501883</c:v>
                </c:pt>
                <c:pt idx="22">
                  <c:v>112.43123675546599</c:v>
                </c:pt>
                <c:pt idx="23">
                  <c:v>116.78100909288287</c:v>
                </c:pt>
                <c:pt idx="24">
                  <c:v>121.23678284585412</c:v>
                </c:pt>
                <c:pt idx="25">
                  <c:v>122.52204587991645</c:v>
                </c:pt>
                <c:pt idx="26">
                  <c:v>124.85889020566802</c:v>
                </c:pt>
                <c:pt idx="27">
                  <c:v>125.43978267379387</c:v>
                </c:pt>
                <c:pt idx="28">
                  <c:v>125.4534910024218</c:v>
                </c:pt>
                <c:pt idx="29">
                  <c:v>127.19950001598707</c:v>
                </c:pt>
                <c:pt idx="30">
                  <c:v>127.54739547254971</c:v>
                </c:pt>
                <c:pt idx="31">
                  <c:v>128.35141068105096</c:v>
                </c:pt>
                <c:pt idx="32">
                  <c:v>128.60611509264569</c:v>
                </c:pt>
                <c:pt idx="33">
                  <c:v>133.72154315141438</c:v>
                </c:pt>
                <c:pt idx="34">
                  <c:v>137.3217957889299</c:v>
                </c:pt>
                <c:pt idx="35">
                  <c:v>138.46036116755991</c:v>
                </c:pt>
                <c:pt idx="36">
                  <c:v>138.59405923409179</c:v>
                </c:pt>
                <c:pt idx="37">
                  <c:v>139.80129360899133</c:v>
                </c:pt>
                <c:pt idx="38">
                  <c:v>139.91682866380151</c:v>
                </c:pt>
                <c:pt idx="39">
                  <c:v>142.39936107420894</c:v>
                </c:pt>
                <c:pt idx="40">
                  <c:v>143.03209945154825</c:v>
                </c:pt>
                <c:pt idx="41">
                  <c:v>144.3225214786099</c:v>
                </c:pt>
                <c:pt idx="42">
                  <c:v>146.63940288217907</c:v>
                </c:pt>
                <c:pt idx="43">
                  <c:v>148.15585895767038</c:v>
                </c:pt>
                <c:pt idx="44">
                  <c:v>149.35715732567868</c:v>
                </c:pt>
                <c:pt idx="45">
                  <c:v>150.27872532742776</c:v>
                </c:pt>
                <c:pt idx="46">
                  <c:v>152.45379041632299</c:v>
                </c:pt>
                <c:pt idx="47">
                  <c:v>153.30175540142073</c:v>
                </c:pt>
                <c:pt idx="48">
                  <c:v>154.62879312663537</c:v>
                </c:pt>
                <c:pt idx="49">
                  <c:v>155.42205797740766</c:v>
                </c:pt>
                <c:pt idx="50">
                  <c:v>155.66179508409638</c:v>
                </c:pt>
                <c:pt idx="51">
                  <c:v>156.34186162518785</c:v>
                </c:pt>
                <c:pt idx="52">
                  <c:v>156.61585728803999</c:v>
                </c:pt>
                <c:pt idx="53">
                  <c:v>159.55991364786743</c:v>
                </c:pt>
                <c:pt idx="54">
                  <c:v>159.81849610691214</c:v>
                </c:pt>
                <c:pt idx="55">
                  <c:v>162.28900119100538</c:v>
                </c:pt>
                <c:pt idx="56">
                  <c:v>164.17789833745769</c:v>
                </c:pt>
                <c:pt idx="57">
                  <c:v>165.74093047630845</c:v>
                </c:pt>
                <c:pt idx="58">
                  <c:v>166.53875404131756</c:v>
                </c:pt>
                <c:pt idx="59">
                  <c:v>169.4376542737424</c:v>
                </c:pt>
                <c:pt idx="60">
                  <c:v>170.02037442841822</c:v>
                </c:pt>
                <c:pt idx="61">
                  <c:v>170.30972346527969</c:v>
                </c:pt>
                <c:pt idx="62">
                  <c:v>171.11012654991754</c:v>
                </c:pt>
                <c:pt idx="63">
                  <c:v>171.49148150154321</c:v>
                </c:pt>
                <c:pt idx="64">
                  <c:v>171.77022018093339</c:v>
                </c:pt>
                <c:pt idx="65">
                  <c:v>172.2967790866218</c:v>
                </c:pt>
                <c:pt idx="66">
                  <c:v>173.10998248313501</c:v>
                </c:pt>
                <c:pt idx="67">
                  <c:v>175.03196354952581</c:v>
                </c:pt>
                <c:pt idx="68">
                  <c:v>175.61435792929058</c:v>
                </c:pt>
                <c:pt idx="69">
                  <c:v>179.17873336980654</c:v>
                </c:pt>
                <c:pt idx="70">
                  <c:v>179.52472346730093</c:v>
                </c:pt>
                <c:pt idx="71">
                  <c:v>179.62059743419053</c:v>
                </c:pt>
                <c:pt idx="72">
                  <c:v>181.06802715003147</c:v>
                </c:pt>
                <c:pt idx="73">
                  <c:v>181.52388476846289</c:v>
                </c:pt>
                <c:pt idx="74">
                  <c:v>184.57015452135266</c:v>
                </c:pt>
                <c:pt idx="75">
                  <c:v>189.20252350184995</c:v>
                </c:pt>
                <c:pt idx="76">
                  <c:v>189.90656006369417</c:v>
                </c:pt>
                <c:pt idx="77">
                  <c:v>189.96172442330311</c:v>
                </c:pt>
                <c:pt idx="78">
                  <c:v>190.1571615211686</c:v>
                </c:pt>
                <c:pt idx="79">
                  <c:v>190.47802166012039</c:v>
                </c:pt>
                <c:pt idx="80">
                  <c:v>192.63184993096209</c:v>
                </c:pt>
                <c:pt idx="81">
                  <c:v>195.21115303867774</c:v>
                </c:pt>
                <c:pt idx="82">
                  <c:v>196.43596133142941</c:v>
                </c:pt>
                <c:pt idx="83">
                  <c:v>196.73567732820058</c:v>
                </c:pt>
                <c:pt idx="84">
                  <c:v>197.02326221529992</c:v>
                </c:pt>
                <c:pt idx="85">
                  <c:v>197.36461167269641</c:v>
                </c:pt>
                <c:pt idx="86">
                  <c:v>199.06871535669563</c:v>
                </c:pt>
                <c:pt idx="87">
                  <c:v>200.11596872939629</c:v>
                </c:pt>
                <c:pt idx="88">
                  <c:v>200.71877915692821</c:v>
                </c:pt>
                <c:pt idx="89">
                  <c:v>200.7558480188261</c:v>
                </c:pt>
                <c:pt idx="90">
                  <c:v>201.85576162821627</c:v>
                </c:pt>
                <c:pt idx="91">
                  <c:v>202.02659006027244</c:v>
                </c:pt>
                <c:pt idx="92">
                  <c:v>202.28017985979864</c:v>
                </c:pt>
                <c:pt idx="93">
                  <c:v>202.34723684414422</c:v>
                </c:pt>
                <c:pt idx="94">
                  <c:v>202.74918461904775</c:v>
                </c:pt>
                <c:pt idx="95">
                  <c:v>203.05018702092954</c:v>
                </c:pt>
                <c:pt idx="96">
                  <c:v>203.80115497955649</c:v>
                </c:pt>
                <c:pt idx="97">
                  <c:v>204.44483256769246</c:v>
                </c:pt>
                <c:pt idx="98">
                  <c:v>205.55984917806191</c:v>
                </c:pt>
                <c:pt idx="99">
                  <c:v>206.95407302459057</c:v>
                </c:pt>
                <c:pt idx="100">
                  <c:v>207.06560179109536</c:v>
                </c:pt>
                <c:pt idx="101">
                  <c:v>207.72359571975187</c:v>
                </c:pt>
                <c:pt idx="102">
                  <c:v>208.95556973274171</c:v>
                </c:pt>
                <c:pt idx="103">
                  <c:v>209.36945456265596</c:v>
                </c:pt>
                <c:pt idx="104">
                  <c:v>209.72972245385259</c:v>
                </c:pt>
                <c:pt idx="105">
                  <c:v>211.96771341872889</c:v>
                </c:pt>
                <c:pt idx="106">
                  <c:v>213.2209366594021</c:v>
                </c:pt>
                <c:pt idx="107">
                  <c:v>213.23944350639007</c:v>
                </c:pt>
                <c:pt idx="108">
                  <c:v>216.15810870884428</c:v>
                </c:pt>
                <c:pt idx="109">
                  <c:v>218.87123984360792</c:v>
                </c:pt>
                <c:pt idx="110">
                  <c:v>219.97060253487098</c:v>
                </c:pt>
                <c:pt idx="111">
                  <c:v>220.8918175401642</c:v>
                </c:pt>
                <c:pt idx="112">
                  <c:v>222.04829523637315</c:v>
                </c:pt>
                <c:pt idx="113">
                  <c:v>226.95347353460005</c:v>
                </c:pt>
                <c:pt idx="114">
                  <c:v>229.99249888742878</c:v>
                </c:pt>
                <c:pt idx="115">
                  <c:v>230.00068112141346</c:v>
                </c:pt>
                <c:pt idx="116">
                  <c:v>232.54672909221745</c:v>
                </c:pt>
                <c:pt idx="117">
                  <c:v>232.58919597059537</c:v>
                </c:pt>
                <c:pt idx="118">
                  <c:v>233.14548413409207</c:v>
                </c:pt>
                <c:pt idx="119">
                  <c:v>233.29201146083386</c:v>
                </c:pt>
                <c:pt idx="120">
                  <c:v>237.7549405668604</c:v>
                </c:pt>
                <c:pt idx="121">
                  <c:v>237.89243077249327</c:v>
                </c:pt>
                <c:pt idx="122">
                  <c:v>238.06637455003775</c:v>
                </c:pt>
                <c:pt idx="123">
                  <c:v>238.97346118307544</c:v>
                </c:pt>
                <c:pt idx="124">
                  <c:v>240.43823885224069</c:v>
                </c:pt>
                <c:pt idx="125">
                  <c:v>241.74361863295348</c:v>
                </c:pt>
                <c:pt idx="126">
                  <c:v>242.34433531158041</c:v>
                </c:pt>
                <c:pt idx="127">
                  <c:v>242.53177968338954</c:v>
                </c:pt>
                <c:pt idx="128">
                  <c:v>243.14408520207382</c:v>
                </c:pt>
                <c:pt idx="129">
                  <c:v>243.84078136470666</c:v>
                </c:pt>
                <c:pt idx="130">
                  <c:v>244.05447356671246</c:v>
                </c:pt>
                <c:pt idx="131">
                  <c:v>245.15597886657093</c:v>
                </c:pt>
                <c:pt idx="132">
                  <c:v>246.39036908068002</c:v>
                </c:pt>
                <c:pt idx="133">
                  <c:v>246.41888429270205</c:v>
                </c:pt>
                <c:pt idx="134">
                  <c:v>247.33856711039715</c:v>
                </c:pt>
                <c:pt idx="135">
                  <c:v>248.52166138029159</c:v>
                </c:pt>
                <c:pt idx="136">
                  <c:v>251.90228646642731</c:v>
                </c:pt>
                <c:pt idx="137">
                  <c:v>252.11934341346011</c:v>
                </c:pt>
                <c:pt idx="138">
                  <c:v>252.9726169561626</c:v>
                </c:pt>
                <c:pt idx="139">
                  <c:v>253.86860388706219</c:v>
                </c:pt>
                <c:pt idx="140">
                  <c:v>254.50649940633741</c:v>
                </c:pt>
                <c:pt idx="141">
                  <c:v>256.33639108061203</c:v>
                </c:pt>
                <c:pt idx="142">
                  <c:v>257.1297548652949</c:v>
                </c:pt>
                <c:pt idx="143">
                  <c:v>258.61176345121521</c:v>
                </c:pt>
                <c:pt idx="144">
                  <c:v>259.69440233761429</c:v>
                </c:pt>
                <c:pt idx="145">
                  <c:v>259.75783562387085</c:v>
                </c:pt>
                <c:pt idx="146">
                  <c:v>259.82896443919572</c:v>
                </c:pt>
                <c:pt idx="147">
                  <c:v>263.14375745736828</c:v>
                </c:pt>
                <c:pt idx="148">
                  <c:v>266.10949188497443</c:v>
                </c:pt>
                <c:pt idx="149">
                  <c:v>267.73550359346166</c:v>
                </c:pt>
                <c:pt idx="150">
                  <c:v>269.14661389928358</c:v>
                </c:pt>
                <c:pt idx="151">
                  <c:v>271.45791119754858</c:v>
                </c:pt>
                <c:pt idx="152">
                  <c:v>272.66909850713319</c:v>
                </c:pt>
                <c:pt idx="153">
                  <c:v>274.35127797540139</c:v>
                </c:pt>
                <c:pt idx="154">
                  <c:v>276.58688647989493</c:v>
                </c:pt>
                <c:pt idx="155">
                  <c:v>277.86931312687108</c:v>
                </c:pt>
                <c:pt idx="156">
                  <c:v>277.89075456910064</c:v>
                </c:pt>
                <c:pt idx="157">
                  <c:v>277.90050357939867</c:v>
                </c:pt>
                <c:pt idx="158">
                  <c:v>279.17847251153648</c:v>
                </c:pt>
                <c:pt idx="159">
                  <c:v>284.41947571026401</c:v>
                </c:pt>
                <c:pt idx="160">
                  <c:v>285.7283511791004</c:v>
                </c:pt>
                <c:pt idx="161">
                  <c:v>287.51613514508904</c:v>
                </c:pt>
                <c:pt idx="162">
                  <c:v>288.6519003228521</c:v>
                </c:pt>
                <c:pt idx="163">
                  <c:v>288.86220841092336</c:v>
                </c:pt>
                <c:pt idx="164">
                  <c:v>289.0714818906207</c:v>
                </c:pt>
                <c:pt idx="165">
                  <c:v>289.60887455010334</c:v>
                </c:pt>
                <c:pt idx="166">
                  <c:v>291.32353634689639</c:v>
                </c:pt>
                <c:pt idx="167">
                  <c:v>292.0527964571628</c:v>
                </c:pt>
                <c:pt idx="168">
                  <c:v>294.56536733730252</c:v>
                </c:pt>
                <c:pt idx="169">
                  <c:v>296.77547967843111</c:v>
                </c:pt>
                <c:pt idx="170">
                  <c:v>298.46674474767826</c:v>
                </c:pt>
                <c:pt idx="171">
                  <c:v>299.05844510215655</c:v>
                </c:pt>
                <c:pt idx="172">
                  <c:v>306.25032134821026</c:v>
                </c:pt>
                <c:pt idx="173">
                  <c:v>308.36950107809093</c:v>
                </c:pt>
                <c:pt idx="174">
                  <c:v>308.89023245794272</c:v>
                </c:pt>
                <c:pt idx="175">
                  <c:v>309.44439697657072</c:v>
                </c:pt>
                <c:pt idx="176">
                  <c:v>311.43038057692809</c:v>
                </c:pt>
                <c:pt idx="177">
                  <c:v>316.03571008226027</c:v>
                </c:pt>
                <c:pt idx="178">
                  <c:v>319.6657181370125</c:v>
                </c:pt>
                <c:pt idx="179">
                  <c:v>322.8408736402377</c:v>
                </c:pt>
                <c:pt idx="180">
                  <c:v>333.50846977908242</c:v>
                </c:pt>
                <c:pt idx="181">
                  <c:v>334.37356728935839</c:v>
                </c:pt>
                <c:pt idx="182">
                  <c:v>336.45713033017603</c:v>
                </c:pt>
                <c:pt idx="183">
                  <c:v>337.24380877520105</c:v>
                </c:pt>
                <c:pt idx="184">
                  <c:v>341.94407191890605</c:v>
                </c:pt>
                <c:pt idx="185">
                  <c:v>343.94952162063521</c:v>
                </c:pt>
                <c:pt idx="186">
                  <c:v>349.22495654454451</c:v>
                </c:pt>
                <c:pt idx="187">
                  <c:v>353.43263654838194</c:v>
                </c:pt>
                <c:pt idx="188">
                  <c:v>355.8685153951659</c:v>
                </c:pt>
                <c:pt idx="189">
                  <c:v>359.63432996933034</c:v>
                </c:pt>
                <c:pt idx="190">
                  <c:v>373.29040886992846</c:v>
                </c:pt>
                <c:pt idx="191">
                  <c:v>373.70797525663505</c:v>
                </c:pt>
                <c:pt idx="192">
                  <c:v>396.91104411163167</c:v>
                </c:pt>
                <c:pt idx="193">
                  <c:v>397.04018216543119</c:v>
                </c:pt>
                <c:pt idx="194">
                  <c:v>403.43160245476503</c:v>
                </c:pt>
                <c:pt idx="195">
                  <c:v>406.28645514079426</c:v>
                </c:pt>
                <c:pt idx="196">
                  <c:v>407.51460291429839</c:v>
                </c:pt>
                <c:pt idx="197">
                  <c:v>423.93271095799645</c:v>
                </c:pt>
                <c:pt idx="198">
                  <c:v>474.72396061103569</c:v>
                </c:pt>
                <c:pt idx="199">
                  <c:v>492.95774408514535</c:v>
                </c:pt>
              </c:numCache>
            </c:numRef>
          </c:xVal>
          <c:yVal>
            <c:numRef>
              <c:f>'Iter No Test'!$AI$3:$AI$202</c:f>
              <c:numCache>
                <c:formatCode>General</c:formatCode>
                <c:ptCount val="200"/>
                <c:pt idx="0">
                  <c:v>0</c:v>
                </c:pt>
                <c:pt idx="1">
                  <c:v>5.0251256281407036E-3</c:v>
                </c:pt>
                <c:pt idx="2">
                  <c:v>1.0050251256281407E-2</c:v>
                </c:pt>
                <c:pt idx="3">
                  <c:v>1.507537688442211E-2</c:v>
                </c:pt>
                <c:pt idx="4">
                  <c:v>2.0100502512562814E-2</c:v>
                </c:pt>
                <c:pt idx="5">
                  <c:v>2.5125628140703519E-2</c:v>
                </c:pt>
                <c:pt idx="6">
                  <c:v>3.0150753768844223E-2</c:v>
                </c:pt>
                <c:pt idx="7">
                  <c:v>3.5175879396984924E-2</c:v>
                </c:pt>
                <c:pt idx="8">
                  <c:v>4.0201005025125629E-2</c:v>
                </c:pt>
                <c:pt idx="9">
                  <c:v>4.5226130653266333E-2</c:v>
                </c:pt>
                <c:pt idx="10">
                  <c:v>5.0251256281407038E-2</c:v>
                </c:pt>
                <c:pt idx="11">
                  <c:v>5.5276381909547742E-2</c:v>
                </c:pt>
                <c:pt idx="12">
                  <c:v>6.0301507537688447E-2</c:v>
                </c:pt>
                <c:pt idx="13">
                  <c:v>6.5326633165829151E-2</c:v>
                </c:pt>
                <c:pt idx="14">
                  <c:v>7.0351758793969849E-2</c:v>
                </c:pt>
                <c:pt idx="15">
                  <c:v>7.5376884422110546E-2</c:v>
                </c:pt>
                <c:pt idx="16">
                  <c:v>8.0402010050251244E-2</c:v>
                </c:pt>
                <c:pt idx="17">
                  <c:v>8.5427135678391941E-2</c:v>
                </c:pt>
                <c:pt idx="18">
                  <c:v>9.0452261306532639E-2</c:v>
                </c:pt>
                <c:pt idx="19">
                  <c:v>9.5477386934673336E-2</c:v>
                </c:pt>
                <c:pt idx="20">
                  <c:v>0.10050251256281403</c:v>
                </c:pt>
                <c:pt idx="21">
                  <c:v>0.10552763819095473</c:v>
                </c:pt>
                <c:pt idx="22">
                  <c:v>0.11055276381909543</c:v>
                </c:pt>
                <c:pt idx="23">
                  <c:v>0.11557788944723613</c:v>
                </c:pt>
                <c:pt idx="24">
                  <c:v>0.12060301507537682</c:v>
                </c:pt>
                <c:pt idx="25">
                  <c:v>0.12562814070351752</c:v>
                </c:pt>
                <c:pt idx="26">
                  <c:v>0.13065326633165822</c:v>
                </c:pt>
                <c:pt idx="27">
                  <c:v>0.13567839195979892</c:v>
                </c:pt>
                <c:pt idx="28">
                  <c:v>0.14070351758793961</c:v>
                </c:pt>
                <c:pt idx="29">
                  <c:v>0.14572864321608031</c:v>
                </c:pt>
                <c:pt idx="30">
                  <c:v>0.15075376884422101</c:v>
                </c:pt>
                <c:pt idx="31">
                  <c:v>0.15577889447236171</c:v>
                </c:pt>
                <c:pt idx="32">
                  <c:v>0.1608040201005024</c:v>
                </c:pt>
                <c:pt idx="33">
                  <c:v>0.1658291457286431</c:v>
                </c:pt>
                <c:pt idx="34">
                  <c:v>0.1708542713567838</c:v>
                </c:pt>
                <c:pt idx="35">
                  <c:v>0.1758793969849245</c:v>
                </c:pt>
                <c:pt idx="36">
                  <c:v>0.18090452261306519</c:v>
                </c:pt>
                <c:pt idx="37">
                  <c:v>0.18592964824120589</c:v>
                </c:pt>
                <c:pt idx="38">
                  <c:v>0.19095477386934659</c:v>
                </c:pt>
                <c:pt idx="39">
                  <c:v>0.19597989949748729</c:v>
                </c:pt>
                <c:pt idx="40">
                  <c:v>0.20100502512562798</c:v>
                </c:pt>
                <c:pt idx="41">
                  <c:v>0.20603015075376868</c:v>
                </c:pt>
                <c:pt idx="42">
                  <c:v>0.21105527638190938</c:v>
                </c:pt>
                <c:pt idx="43">
                  <c:v>0.21608040201005008</c:v>
                </c:pt>
                <c:pt idx="44">
                  <c:v>0.22110552763819077</c:v>
                </c:pt>
                <c:pt idx="45">
                  <c:v>0.22613065326633147</c:v>
                </c:pt>
                <c:pt idx="46">
                  <c:v>0.23115577889447217</c:v>
                </c:pt>
                <c:pt idx="47">
                  <c:v>0.23618090452261287</c:v>
                </c:pt>
                <c:pt idx="48">
                  <c:v>0.24120603015075356</c:v>
                </c:pt>
                <c:pt idx="49">
                  <c:v>0.24623115577889426</c:v>
                </c:pt>
                <c:pt idx="50">
                  <c:v>0.25125628140703499</c:v>
                </c:pt>
                <c:pt idx="51">
                  <c:v>0.25628140703517571</c:v>
                </c:pt>
                <c:pt idx="52">
                  <c:v>0.26130653266331644</c:v>
                </c:pt>
                <c:pt idx="53">
                  <c:v>0.26633165829145716</c:v>
                </c:pt>
                <c:pt idx="54">
                  <c:v>0.27135678391959789</c:v>
                </c:pt>
                <c:pt idx="55">
                  <c:v>0.27638190954773861</c:v>
                </c:pt>
                <c:pt idx="56">
                  <c:v>0.28140703517587934</c:v>
                </c:pt>
                <c:pt idx="57">
                  <c:v>0.28643216080402006</c:v>
                </c:pt>
                <c:pt idx="58">
                  <c:v>0.29145728643216079</c:v>
                </c:pt>
                <c:pt idx="59">
                  <c:v>0.29648241206030151</c:v>
                </c:pt>
                <c:pt idx="60">
                  <c:v>0.30150753768844224</c:v>
                </c:pt>
                <c:pt idx="61">
                  <c:v>0.30653266331658297</c:v>
                </c:pt>
                <c:pt idx="62">
                  <c:v>0.31155778894472369</c:v>
                </c:pt>
                <c:pt idx="63">
                  <c:v>0.31658291457286442</c:v>
                </c:pt>
                <c:pt idx="64">
                  <c:v>0.32160804020100514</c:v>
                </c:pt>
                <c:pt idx="65">
                  <c:v>0.32663316582914587</c:v>
                </c:pt>
                <c:pt idx="66">
                  <c:v>0.33165829145728659</c:v>
                </c:pt>
                <c:pt idx="67">
                  <c:v>0.33668341708542732</c:v>
                </c:pt>
                <c:pt idx="68">
                  <c:v>0.34170854271356804</c:v>
                </c:pt>
                <c:pt idx="69">
                  <c:v>0.34673366834170877</c:v>
                </c:pt>
                <c:pt idx="70">
                  <c:v>0.35175879396984949</c:v>
                </c:pt>
                <c:pt idx="71">
                  <c:v>0.35678391959799022</c:v>
                </c:pt>
                <c:pt idx="72">
                  <c:v>0.36180904522613094</c:v>
                </c:pt>
                <c:pt idx="73">
                  <c:v>0.36683417085427167</c:v>
                </c:pt>
                <c:pt idx="74">
                  <c:v>0.37185929648241239</c:v>
                </c:pt>
                <c:pt idx="75">
                  <c:v>0.37688442211055312</c:v>
                </c:pt>
                <c:pt idx="76">
                  <c:v>0.38190954773869384</c:v>
                </c:pt>
                <c:pt idx="77">
                  <c:v>0.38693467336683457</c:v>
                </c:pt>
                <c:pt idx="78">
                  <c:v>0.39195979899497529</c:v>
                </c:pt>
                <c:pt idx="79">
                  <c:v>0.39698492462311602</c:v>
                </c:pt>
                <c:pt idx="80">
                  <c:v>0.40201005025125675</c:v>
                </c:pt>
                <c:pt idx="81">
                  <c:v>0.40703517587939747</c:v>
                </c:pt>
                <c:pt idx="82">
                  <c:v>0.4120603015075382</c:v>
                </c:pt>
                <c:pt idx="83">
                  <c:v>0.41708542713567892</c:v>
                </c:pt>
                <c:pt idx="84">
                  <c:v>0.42211055276381965</c:v>
                </c:pt>
                <c:pt idx="85">
                  <c:v>0.42713567839196037</c:v>
                </c:pt>
                <c:pt idx="86">
                  <c:v>0.4321608040201011</c:v>
                </c:pt>
                <c:pt idx="87">
                  <c:v>0.43718592964824182</c:v>
                </c:pt>
                <c:pt idx="88">
                  <c:v>0.44221105527638255</c:v>
                </c:pt>
                <c:pt idx="89">
                  <c:v>0.44723618090452327</c:v>
                </c:pt>
                <c:pt idx="90">
                  <c:v>0.452261306532664</c:v>
                </c:pt>
                <c:pt idx="91">
                  <c:v>0.45728643216080472</c:v>
                </c:pt>
                <c:pt idx="92">
                  <c:v>0.46231155778894545</c:v>
                </c:pt>
                <c:pt idx="93">
                  <c:v>0.46733668341708617</c:v>
                </c:pt>
                <c:pt idx="94">
                  <c:v>0.4723618090452269</c:v>
                </c:pt>
                <c:pt idx="95">
                  <c:v>0.47738693467336762</c:v>
                </c:pt>
                <c:pt idx="96">
                  <c:v>0.48241206030150835</c:v>
                </c:pt>
                <c:pt idx="97">
                  <c:v>0.48743718592964907</c:v>
                </c:pt>
                <c:pt idx="98">
                  <c:v>0.4924623115577898</c:v>
                </c:pt>
                <c:pt idx="99">
                  <c:v>0.49748743718593053</c:v>
                </c:pt>
                <c:pt idx="100">
                  <c:v>0.5025125628140712</c:v>
                </c:pt>
                <c:pt idx="101">
                  <c:v>0.50753768844221192</c:v>
                </c:pt>
                <c:pt idx="102">
                  <c:v>0.51256281407035265</c:v>
                </c:pt>
                <c:pt idx="103">
                  <c:v>0.51758793969849337</c:v>
                </c:pt>
                <c:pt idx="104">
                  <c:v>0.5226130653266341</c:v>
                </c:pt>
                <c:pt idx="105">
                  <c:v>0.52763819095477482</c:v>
                </c:pt>
                <c:pt idx="106">
                  <c:v>0.53266331658291555</c:v>
                </c:pt>
                <c:pt idx="107">
                  <c:v>0.53768844221105627</c:v>
                </c:pt>
                <c:pt idx="108">
                  <c:v>0.542713567839197</c:v>
                </c:pt>
                <c:pt idx="109">
                  <c:v>0.54773869346733772</c:v>
                </c:pt>
                <c:pt idx="110">
                  <c:v>0.55276381909547845</c:v>
                </c:pt>
                <c:pt idx="111">
                  <c:v>0.55778894472361917</c:v>
                </c:pt>
                <c:pt idx="112">
                  <c:v>0.5628140703517599</c:v>
                </c:pt>
                <c:pt idx="113">
                  <c:v>0.56783919597990062</c:v>
                </c:pt>
                <c:pt idx="114">
                  <c:v>0.57286432160804135</c:v>
                </c:pt>
                <c:pt idx="115">
                  <c:v>0.57788944723618207</c:v>
                </c:pt>
                <c:pt idx="116">
                  <c:v>0.5829145728643228</c:v>
                </c:pt>
                <c:pt idx="117">
                  <c:v>0.58793969849246352</c:v>
                </c:pt>
                <c:pt idx="118">
                  <c:v>0.59296482412060425</c:v>
                </c:pt>
                <c:pt idx="119">
                  <c:v>0.59798994974874498</c:v>
                </c:pt>
                <c:pt idx="120">
                  <c:v>0.6030150753768857</c:v>
                </c:pt>
                <c:pt idx="121">
                  <c:v>0.60804020100502643</c:v>
                </c:pt>
                <c:pt idx="122">
                  <c:v>0.61306532663316715</c:v>
                </c:pt>
                <c:pt idx="123">
                  <c:v>0.61809045226130788</c:v>
                </c:pt>
                <c:pt idx="124">
                  <c:v>0.6231155778894486</c:v>
                </c:pt>
                <c:pt idx="125">
                  <c:v>0.62814070351758933</c:v>
                </c:pt>
                <c:pt idx="126">
                  <c:v>0.63316582914573005</c:v>
                </c:pt>
                <c:pt idx="127">
                  <c:v>0.63819095477387078</c:v>
                </c:pt>
                <c:pt idx="128">
                  <c:v>0.6432160804020115</c:v>
                </c:pt>
                <c:pt idx="129">
                  <c:v>0.64824120603015223</c:v>
                </c:pt>
                <c:pt idx="130">
                  <c:v>0.65326633165829295</c:v>
                </c:pt>
                <c:pt idx="131">
                  <c:v>0.65829145728643368</c:v>
                </c:pt>
                <c:pt idx="132">
                  <c:v>0.6633165829145744</c:v>
                </c:pt>
                <c:pt idx="133">
                  <c:v>0.66834170854271513</c:v>
                </c:pt>
                <c:pt idx="134">
                  <c:v>0.67336683417085585</c:v>
                </c:pt>
                <c:pt idx="135">
                  <c:v>0.67839195979899658</c:v>
                </c:pt>
                <c:pt idx="136">
                  <c:v>0.68341708542713731</c:v>
                </c:pt>
                <c:pt idx="137">
                  <c:v>0.68844221105527803</c:v>
                </c:pt>
                <c:pt idx="138">
                  <c:v>0.69346733668341876</c:v>
                </c:pt>
                <c:pt idx="139">
                  <c:v>0.69849246231155948</c:v>
                </c:pt>
                <c:pt idx="140">
                  <c:v>0.70351758793970021</c:v>
                </c:pt>
                <c:pt idx="141">
                  <c:v>0.70854271356784093</c:v>
                </c:pt>
                <c:pt idx="142">
                  <c:v>0.71356783919598166</c:v>
                </c:pt>
                <c:pt idx="143">
                  <c:v>0.71859296482412238</c:v>
                </c:pt>
                <c:pt idx="144">
                  <c:v>0.72361809045226311</c:v>
                </c:pt>
                <c:pt idx="145">
                  <c:v>0.72864321608040383</c:v>
                </c:pt>
                <c:pt idx="146">
                  <c:v>0.73366834170854456</c:v>
                </c:pt>
                <c:pt idx="147">
                  <c:v>0.73869346733668528</c:v>
                </c:pt>
                <c:pt idx="148">
                  <c:v>0.74371859296482601</c:v>
                </c:pt>
                <c:pt idx="149">
                  <c:v>0.74874371859296673</c:v>
                </c:pt>
                <c:pt idx="150">
                  <c:v>0.75376884422110746</c:v>
                </c:pt>
                <c:pt idx="151">
                  <c:v>0.75879396984924818</c:v>
                </c:pt>
                <c:pt idx="152">
                  <c:v>0.76381909547738891</c:v>
                </c:pt>
                <c:pt idx="153">
                  <c:v>0.76884422110552963</c:v>
                </c:pt>
                <c:pt idx="154">
                  <c:v>0.77386934673367036</c:v>
                </c:pt>
                <c:pt idx="155">
                  <c:v>0.77889447236181109</c:v>
                </c:pt>
                <c:pt idx="156">
                  <c:v>0.78391959798995181</c:v>
                </c:pt>
                <c:pt idx="157">
                  <c:v>0.78894472361809254</c:v>
                </c:pt>
                <c:pt idx="158">
                  <c:v>0.79396984924623326</c:v>
                </c:pt>
                <c:pt idx="159">
                  <c:v>0.79899497487437399</c:v>
                </c:pt>
                <c:pt idx="160">
                  <c:v>0.80402010050251471</c:v>
                </c:pt>
                <c:pt idx="161">
                  <c:v>0.80904522613065544</c:v>
                </c:pt>
                <c:pt idx="162">
                  <c:v>0.81407035175879616</c:v>
                </c:pt>
                <c:pt idx="163">
                  <c:v>0.81909547738693689</c:v>
                </c:pt>
                <c:pt idx="164">
                  <c:v>0.82412060301507761</c:v>
                </c:pt>
                <c:pt idx="165">
                  <c:v>0.82914572864321834</c:v>
                </c:pt>
                <c:pt idx="166">
                  <c:v>0.83417085427135906</c:v>
                </c:pt>
                <c:pt idx="167">
                  <c:v>0.83919597989949979</c:v>
                </c:pt>
                <c:pt idx="168">
                  <c:v>0.84422110552764051</c:v>
                </c:pt>
                <c:pt idx="169">
                  <c:v>0.84924623115578124</c:v>
                </c:pt>
                <c:pt idx="170">
                  <c:v>0.85427135678392196</c:v>
                </c:pt>
                <c:pt idx="171">
                  <c:v>0.85929648241206269</c:v>
                </c:pt>
                <c:pt idx="172">
                  <c:v>0.86432160804020342</c:v>
                </c:pt>
                <c:pt idx="173">
                  <c:v>0.86934673366834414</c:v>
                </c:pt>
                <c:pt idx="174">
                  <c:v>0.87437185929648487</c:v>
                </c:pt>
                <c:pt idx="175">
                  <c:v>0.87939698492462559</c:v>
                </c:pt>
                <c:pt idx="176">
                  <c:v>0.88442211055276632</c:v>
                </c:pt>
                <c:pt idx="177">
                  <c:v>0.88944723618090704</c:v>
                </c:pt>
                <c:pt idx="178">
                  <c:v>0.89447236180904777</c:v>
                </c:pt>
                <c:pt idx="179">
                  <c:v>0.89949748743718849</c:v>
                </c:pt>
                <c:pt idx="180">
                  <c:v>0.90452261306532922</c:v>
                </c:pt>
                <c:pt idx="181">
                  <c:v>0.90954773869346994</c:v>
                </c:pt>
                <c:pt idx="182">
                  <c:v>0.91457286432161067</c:v>
                </c:pt>
                <c:pt idx="183">
                  <c:v>0.91959798994975139</c:v>
                </c:pt>
                <c:pt idx="184">
                  <c:v>0.92462311557789212</c:v>
                </c:pt>
                <c:pt idx="185">
                  <c:v>0.92964824120603284</c:v>
                </c:pt>
                <c:pt idx="186">
                  <c:v>0.93467336683417357</c:v>
                </c:pt>
                <c:pt idx="187">
                  <c:v>0.93969849246231429</c:v>
                </c:pt>
                <c:pt idx="188">
                  <c:v>0.94472361809045502</c:v>
                </c:pt>
                <c:pt idx="189">
                  <c:v>0.94974874371859574</c:v>
                </c:pt>
                <c:pt idx="190">
                  <c:v>0.95477386934673647</c:v>
                </c:pt>
                <c:pt idx="191">
                  <c:v>0.9597989949748772</c:v>
                </c:pt>
                <c:pt idx="192">
                  <c:v>0.96482412060301792</c:v>
                </c:pt>
                <c:pt idx="193">
                  <c:v>0.96984924623115865</c:v>
                </c:pt>
                <c:pt idx="194">
                  <c:v>0.97487437185929937</c:v>
                </c:pt>
                <c:pt idx="195">
                  <c:v>0.9798994974874401</c:v>
                </c:pt>
                <c:pt idx="196">
                  <c:v>0.98492462311558082</c:v>
                </c:pt>
                <c:pt idx="197">
                  <c:v>0.98994974874372155</c:v>
                </c:pt>
                <c:pt idx="198">
                  <c:v>0.99497487437186227</c:v>
                </c:pt>
                <c:pt idx="199">
                  <c:v>1.0000000000000029</c:v>
                </c:pt>
              </c:numCache>
            </c:numRef>
          </c:yVal>
          <c:smooth val="1"/>
        </c:ser>
        <c:axId val="162141696"/>
        <c:axId val="162143232"/>
      </c:scatterChart>
      <c:valAx>
        <c:axId val="162141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43232"/>
        <c:crosses val="autoZero"/>
        <c:crossBetween val="midCat"/>
      </c:valAx>
      <c:valAx>
        <c:axId val="1621432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7553017944535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416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83906770255271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812430632630414E-2"/>
          <c:y val="0.11092985318107668"/>
          <c:w val="0.90677025527192012"/>
          <c:h val="0.82381729200652531"/>
        </c:manualLayout>
      </c:layout>
      <c:scatterChart>
        <c:scatterStyle val="smoothMarker"/>
        <c:ser>
          <c:idx val="0"/>
          <c:order val="0"/>
          <c:tx>
            <c:strRef>
              <c:f>'Iter No Test'!$AK$2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'Iter No Test'!$AK$3:$AK$502</c:f>
              <c:numCache>
                <c:formatCode>General</c:formatCode>
                <c:ptCount val="500"/>
                <c:pt idx="0">
                  <c:v>6.0029979735061971</c:v>
                </c:pt>
                <c:pt idx="1">
                  <c:v>13.331684263445595</c:v>
                </c:pt>
                <c:pt idx="2">
                  <c:v>26.298530131168775</c:v>
                </c:pt>
                <c:pt idx="3">
                  <c:v>34.209582992420877</c:v>
                </c:pt>
                <c:pt idx="4">
                  <c:v>39.857381450115014</c:v>
                </c:pt>
                <c:pt idx="5">
                  <c:v>53.171746475597118</c:v>
                </c:pt>
                <c:pt idx="6">
                  <c:v>53.361051016442715</c:v>
                </c:pt>
                <c:pt idx="7">
                  <c:v>55.337093726379379</c:v>
                </c:pt>
                <c:pt idx="8">
                  <c:v>56.600435948749208</c:v>
                </c:pt>
                <c:pt idx="9">
                  <c:v>56.735542008189881</c:v>
                </c:pt>
                <c:pt idx="10">
                  <c:v>63.791544201679031</c:v>
                </c:pt>
                <c:pt idx="11">
                  <c:v>70.740664378143222</c:v>
                </c:pt>
                <c:pt idx="12">
                  <c:v>70.958584311993377</c:v>
                </c:pt>
                <c:pt idx="13">
                  <c:v>72.562664994197917</c:v>
                </c:pt>
                <c:pt idx="14">
                  <c:v>73.91606253114827</c:v>
                </c:pt>
                <c:pt idx="15">
                  <c:v>74.947892397941473</c:v>
                </c:pt>
                <c:pt idx="16">
                  <c:v>75.136335003929602</c:v>
                </c:pt>
                <c:pt idx="17">
                  <c:v>77.566710444043181</c:v>
                </c:pt>
                <c:pt idx="18">
                  <c:v>78.380241683156541</c:v>
                </c:pt>
                <c:pt idx="19">
                  <c:v>80.748641376497162</c:v>
                </c:pt>
                <c:pt idx="20">
                  <c:v>83.933840198968227</c:v>
                </c:pt>
                <c:pt idx="21">
                  <c:v>84.894404619395118</c:v>
                </c:pt>
                <c:pt idx="22">
                  <c:v>85.257349134275671</c:v>
                </c:pt>
                <c:pt idx="23">
                  <c:v>87.114023912780993</c:v>
                </c:pt>
                <c:pt idx="24">
                  <c:v>87.740540760983606</c:v>
                </c:pt>
                <c:pt idx="25">
                  <c:v>88.698099921575874</c:v>
                </c:pt>
                <c:pt idx="26">
                  <c:v>88.716295415182998</c:v>
                </c:pt>
                <c:pt idx="27">
                  <c:v>91.246997752918261</c:v>
                </c:pt>
                <c:pt idx="28">
                  <c:v>92.964403737241923</c:v>
                </c:pt>
                <c:pt idx="29">
                  <c:v>93.47633161771671</c:v>
                </c:pt>
                <c:pt idx="30">
                  <c:v>93.659187099534705</c:v>
                </c:pt>
                <c:pt idx="31">
                  <c:v>93.936941018803637</c:v>
                </c:pt>
                <c:pt idx="32">
                  <c:v>93.969534975743159</c:v>
                </c:pt>
                <c:pt idx="33">
                  <c:v>94.323276804236116</c:v>
                </c:pt>
                <c:pt idx="34">
                  <c:v>94.390238896279115</c:v>
                </c:pt>
                <c:pt idx="35">
                  <c:v>94.78633910677263</c:v>
                </c:pt>
                <c:pt idx="36">
                  <c:v>95.350988512546337</c:v>
                </c:pt>
                <c:pt idx="37">
                  <c:v>96.308994822186321</c:v>
                </c:pt>
                <c:pt idx="38">
                  <c:v>97.869642427696078</c:v>
                </c:pt>
                <c:pt idx="39">
                  <c:v>98.033603131876504</c:v>
                </c:pt>
                <c:pt idx="40">
                  <c:v>100.73425017457367</c:v>
                </c:pt>
                <c:pt idx="41">
                  <c:v>101.12095041240222</c:v>
                </c:pt>
                <c:pt idx="42">
                  <c:v>101.20350832901616</c:v>
                </c:pt>
                <c:pt idx="43">
                  <c:v>101.36754993665163</c:v>
                </c:pt>
                <c:pt idx="44">
                  <c:v>101.56445517289239</c:v>
                </c:pt>
                <c:pt idx="45">
                  <c:v>102.69467693677129</c:v>
                </c:pt>
                <c:pt idx="46">
                  <c:v>106.87118258200545</c:v>
                </c:pt>
                <c:pt idx="47">
                  <c:v>108.0447935901299</c:v>
                </c:pt>
                <c:pt idx="48">
                  <c:v>109.62688537153647</c:v>
                </c:pt>
                <c:pt idx="49">
                  <c:v>109.63505514181253</c:v>
                </c:pt>
                <c:pt idx="50">
                  <c:v>110.70128563725592</c:v>
                </c:pt>
                <c:pt idx="51">
                  <c:v>110.76563015980783</c:v>
                </c:pt>
                <c:pt idx="52">
                  <c:v>111.99630620535339</c:v>
                </c:pt>
                <c:pt idx="53">
                  <c:v>112.83038735320469</c:v>
                </c:pt>
                <c:pt idx="54">
                  <c:v>112.99634392756127</c:v>
                </c:pt>
                <c:pt idx="55">
                  <c:v>114.18892179076886</c:v>
                </c:pt>
                <c:pt idx="56">
                  <c:v>114.37909579093511</c:v>
                </c:pt>
                <c:pt idx="57">
                  <c:v>114.9087581026192</c:v>
                </c:pt>
                <c:pt idx="58">
                  <c:v>115.01779243162773</c:v>
                </c:pt>
                <c:pt idx="59">
                  <c:v>115.54873860876941</c:v>
                </c:pt>
                <c:pt idx="60">
                  <c:v>116.76413298313086</c:v>
                </c:pt>
                <c:pt idx="61">
                  <c:v>117.68415095748837</c:v>
                </c:pt>
                <c:pt idx="62">
                  <c:v>118.38886893966503</c:v>
                </c:pt>
                <c:pt idx="63">
                  <c:v>119.20633068989196</c:v>
                </c:pt>
                <c:pt idx="64">
                  <c:v>120.82223152737183</c:v>
                </c:pt>
                <c:pt idx="65">
                  <c:v>120.90013839552142</c:v>
                </c:pt>
                <c:pt idx="66">
                  <c:v>123.73204393309094</c:v>
                </c:pt>
                <c:pt idx="67">
                  <c:v>123.98525721616133</c:v>
                </c:pt>
                <c:pt idx="68">
                  <c:v>124.4390817344844</c:v>
                </c:pt>
                <c:pt idx="69">
                  <c:v>125.17396160857524</c:v>
                </c:pt>
                <c:pt idx="70">
                  <c:v>126.09512620086623</c:v>
                </c:pt>
                <c:pt idx="71">
                  <c:v>126.18888807395618</c:v>
                </c:pt>
                <c:pt idx="72">
                  <c:v>126.23022393731051</c:v>
                </c:pt>
                <c:pt idx="73">
                  <c:v>126.49263821271788</c:v>
                </c:pt>
                <c:pt idx="74">
                  <c:v>127.51318757081248</c:v>
                </c:pt>
                <c:pt idx="75">
                  <c:v>127.57130795400346</c:v>
                </c:pt>
                <c:pt idx="76">
                  <c:v>128.14260048531034</c:v>
                </c:pt>
                <c:pt idx="77">
                  <c:v>129.18639323130589</c:v>
                </c:pt>
                <c:pt idx="78">
                  <c:v>129.25153731141188</c:v>
                </c:pt>
                <c:pt idx="79">
                  <c:v>129.76317474354866</c:v>
                </c:pt>
                <c:pt idx="80">
                  <c:v>129.77510915866253</c:v>
                </c:pt>
                <c:pt idx="81">
                  <c:v>130.94439750496082</c:v>
                </c:pt>
                <c:pt idx="82">
                  <c:v>132.73667183520757</c:v>
                </c:pt>
                <c:pt idx="83">
                  <c:v>132.93735145873853</c:v>
                </c:pt>
                <c:pt idx="84">
                  <c:v>132.99968429771735</c:v>
                </c:pt>
                <c:pt idx="85">
                  <c:v>133.25255871552258</c:v>
                </c:pt>
                <c:pt idx="86">
                  <c:v>134.15018434092272</c:v>
                </c:pt>
                <c:pt idx="87">
                  <c:v>134.2690932769963</c:v>
                </c:pt>
                <c:pt idx="88">
                  <c:v>134.55526325707265</c:v>
                </c:pt>
                <c:pt idx="89">
                  <c:v>135.46493007040607</c:v>
                </c:pt>
                <c:pt idx="90">
                  <c:v>136.05844046012791</c:v>
                </c:pt>
                <c:pt idx="91">
                  <c:v>136.23347946384706</c:v>
                </c:pt>
                <c:pt idx="92">
                  <c:v>136.56525678050659</c:v>
                </c:pt>
                <c:pt idx="93">
                  <c:v>137.71985365241267</c:v>
                </c:pt>
                <c:pt idx="94">
                  <c:v>138.81332257807225</c:v>
                </c:pt>
                <c:pt idx="95">
                  <c:v>140.59309055483143</c:v>
                </c:pt>
                <c:pt idx="96">
                  <c:v>141.36811428323753</c:v>
                </c:pt>
                <c:pt idx="97">
                  <c:v>142.38428473065053</c:v>
                </c:pt>
                <c:pt idx="98">
                  <c:v>142.79277601844171</c:v>
                </c:pt>
                <c:pt idx="99">
                  <c:v>143.04885088036167</c:v>
                </c:pt>
                <c:pt idx="100">
                  <c:v>143.67710291014737</c:v>
                </c:pt>
                <c:pt idx="101">
                  <c:v>144.15118664142247</c:v>
                </c:pt>
                <c:pt idx="102">
                  <c:v>144.21704003011058</c:v>
                </c:pt>
                <c:pt idx="103">
                  <c:v>144.49105059144108</c:v>
                </c:pt>
                <c:pt idx="104">
                  <c:v>145.59081600398198</c:v>
                </c:pt>
                <c:pt idx="105">
                  <c:v>145.77482186707675</c:v>
                </c:pt>
                <c:pt idx="106">
                  <c:v>146.25294373559331</c:v>
                </c:pt>
                <c:pt idx="107">
                  <c:v>147.32124641729308</c:v>
                </c:pt>
                <c:pt idx="108">
                  <c:v>147.59465607962295</c:v>
                </c:pt>
                <c:pt idx="109">
                  <c:v>147.59982399713491</c:v>
                </c:pt>
                <c:pt idx="110">
                  <c:v>148.04269792338241</c:v>
                </c:pt>
                <c:pt idx="111">
                  <c:v>148.87788999144738</c:v>
                </c:pt>
                <c:pt idx="112">
                  <c:v>150.13095887821979</c:v>
                </c:pt>
                <c:pt idx="113">
                  <c:v>150.99988286131568</c:v>
                </c:pt>
                <c:pt idx="114">
                  <c:v>151.22934648626546</c:v>
                </c:pt>
                <c:pt idx="115">
                  <c:v>151.61531013463343</c:v>
                </c:pt>
                <c:pt idx="116">
                  <c:v>151.66976696763231</c:v>
                </c:pt>
                <c:pt idx="117">
                  <c:v>152.05400472197837</c:v>
                </c:pt>
                <c:pt idx="118">
                  <c:v>152.0949491454366</c:v>
                </c:pt>
                <c:pt idx="119">
                  <c:v>152.23150784515985</c:v>
                </c:pt>
                <c:pt idx="120">
                  <c:v>152.42087726486488</c:v>
                </c:pt>
                <c:pt idx="121">
                  <c:v>152.92625930657474</c:v>
                </c:pt>
                <c:pt idx="122">
                  <c:v>153.09938117578702</c:v>
                </c:pt>
                <c:pt idx="123">
                  <c:v>153.25589492448626</c:v>
                </c:pt>
                <c:pt idx="124">
                  <c:v>153.60330318755587</c:v>
                </c:pt>
                <c:pt idx="125">
                  <c:v>153.69769847080377</c:v>
                </c:pt>
                <c:pt idx="126">
                  <c:v>153.72364697218583</c:v>
                </c:pt>
                <c:pt idx="127">
                  <c:v>154.57906678178853</c:v>
                </c:pt>
                <c:pt idx="128">
                  <c:v>156.1534006084633</c:v>
                </c:pt>
                <c:pt idx="129">
                  <c:v>156.75542571750236</c:v>
                </c:pt>
                <c:pt idx="130">
                  <c:v>157.37416865680012</c:v>
                </c:pt>
                <c:pt idx="131">
                  <c:v>157.97547684725123</c:v>
                </c:pt>
                <c:pt idx="132">
                  <c:v>158.486814631849</c:v>
                </c:pt>
                <c:pt idx="133">
                  <c:v>158.55379454252579</c:v>
                </c:pt>
                <c:pt idx="134">
                  <c:v>158.82177735755482</c:v>
                </c:pt>
                <c:pt idx="135">
                  <c:v>159.31073945656499</c:v>
                </c:pt>
                <c:pt idx="136">
                  <c:v>159.37007280334615</c:v>
                </c:pt>
                <c:pt idx="137">
                  <c:v>160.01554929791601</c:v>
                </c:pt>
                <c:pt idx="138">
                  <c:v>161.74175901024114</c:v>
                </c:pt>
                <c:pt idx="139">
                  <c:v>161.91310842517981</c:v>
                </c:pt>
                <c:pt idx="140">
                  <c:v>162.50707584028081</c:v>
                </c:pt>
                <c:pt idx="141">
                  <c:v>162.70879037375866</c:v>
                </c:pt>
                <c:pt idx="142">
                  <c:v>162.86763668144107</c:v>
                </c:pt>
                <c:pt idx="143">
                  <c:v>163.09064428428033</c:v>
                </c:pt>
                <c:pt idx="144">
                  <c:v>163.52727744012176</c:v>
                </c:pt>
                <c:pt idx="145">
                  <c:v>164.14950451087293</c:v>
                </c:pt>
                <c:pt idx="146">
                  <c:v>164.58328746858228</c:v>
                </c:pt>
                <c:pt idx="147">
                  <c:v>165.05111117385763</c:v>
                </c:pt>
                <c:pt idx="148">
                  <c:v>165.27121731536127</c:v>
                </c:pt>
                <c:pt idx="149">
                  <c:v>165.32692355763848</c:v>
                </c:pt>
                <c:pt idx="150">
                  <c:v>165.35577732909292</c:v>
                </c:pt>
                <c:pt idx="151">
                  <c:v>165.67283673048223</c:v>
                </c:pt>
                <c:pt idx="152">
                  <c:v>165.67382297088645</c:v>
                </c:pt>
                <c:pt idx="153">
                  <c:v>166.73353338991484</c:v>
                </c:pt>
                <c:pt idx="154">
                  <c:v>166.81431843230789</c:v>
                </c:pt>
                <c:pt idx="155">
                  <c:v>167.68307005991636</c:v>
                </c:pt>
                <c:pt idx="156">
                  <c:v>168.13503696837759</c:v>
                </c:pt>
                <c:pt idx="157">
                  <c:v>168.30978178843566</c:v>
                </c:pt>
                <c:pt idx="158">
                  <c:v>168.97615442806551</c:v>
                </c:pt>
                <c:pt idx="159">
                  <c:v>170.93185422632499</c:v>
                </c:pt>
                <c:pt idx="160">
                  <c:v>171.42870236296935</c:v>
                </c:pt>
                <c:pt idx="161">
                  <c:v>171.48614110716667</c:v>
                </c:pt>
                <c:pt idx="162">
                  <c:v>172.7696395092523</c:v>
                </c:pt>
                <c:pt idx="163">
                  <c:v>173.07902223307451</c:v>
                </c:pt>
                <c:pt idx="164">
                  <c:v>173.21261619801774</c:v>
                </c:pt>
                <c:pt idx="165">
                  <c:v>173.43163235940634</c:v>
                </c:pt>
                <c:pt idx="166">
                  <c:v>173.46787464461312</c:v>
                </c:pt>
                <c:pt idx="167">
                  <c:v>174.25658899486163</c:v>
                </c:pt>
                <c:pt idx="168">
                  <c:v>174.31807450375356</c:v>
                </c:pt>
                <c:pt idx="169">
                  <c:v>174.66782502910215</c:v>
                </c:pt>
                <c:pt idx="170">
                  <c:v>174.73867790241013</c:v>
                </c:pt>
                <c:pt idx="171">
                  <c:v>175.58902514122224</c:v>
                </c:pt>
                <c:pt idx="172">
                  <c:v>175.76586358512355</c:v>
                </c:pt>
                <c:pt idx="173">
                  <c:v>176.43458976583048</c:v>
                </c:pt>
                <c:pt idx="174">
                  <c:v>177.18020369049341</c:v>
                </c:pt>
                <c:pt idx="175">
                  <c:v>178.0788056973249</c:v>
                </c:pt>
                <c:pt idx="176">
                  <c:v>178.37629042410038</c:v>
                </c:pt>
                <c:pt idx="177">
                  <c:v>178.38308577999481</c:v>
                </c:pt>
                <c:pt idx="178">
                  <c:v>178.60308700860719</c:v>
                </c:pt>
                <c:pt idx="179">
                  <c:v>178.80532725110515</c:v>
                </c:pt>
                <c:pt idx="180">
                  <c:v>178.92979697810296</c:v>
                </c:pt>
                <c:pt idx="181">
                  <c:v>179.01082497053369</c:v>
                </c:pt>
                <c:pt idx="182">
                  <c:v>179.11020239984538</c:v>
                </c:pt>
                <c:pt idx="183">
                  <c:v>179.33990769714998</c:v>
                </c:pt>
                <c:pt idx="184">
                  <c:v>179.67772431288296</c:v>
                </c:pt>
                <c:pt idx="185">
                  <c:v>179.90729612019868</c:v>
                </c:pt>
                <c:pt idx="186">
                  <c:v>179.99041250278276</c:v>
                </c:pt>
                <c:pt idx="187">
                  <c:v>180.91757665553087</c:v>
                </c:pt>
                <c:pt idx="188">
                  <c:v>181.1784313133563</c:v>
                </c:pt>
                <c:pt idx="189">
                  <c:v>182.712418002308</c:v>
                </c:pt>
                <c:pt idx="190">
                  <c:v>182.86782163446057</c:v>
                </c:pt>
                <c:pt idx="191">
                  <c:v>183.01588581157586</c:v>
                </c:pt>
                <c:pt idx="192">
                  <c:v>183.50678931825848</c:v>
                </c:pt>
                <c:pt idx="193">
                  <c:v>184.97901540288814</c:v>
                </c:pt>
                <c:pt idx="194">
                  <c:v>186.33760009714604</c:v>
                </c:pt>
                <c:pt idx="195">
                  <c:v>186.34655754333104</c:v>
                </c:pt>
                <c:pt idx="196">
                  <c:v>186.46406444624614</c:v>
                </c:pt>
                <c:pt idx="197">
                  <c:v>186.86367177945357</c:v>
                </c:pt>
                <c:pt idx="198">
                  <c:v>187.30659466858668</c:v>
                </c:pt>
                <c:pt idx="199">
                  <c:v>187.4066904647232</c:v>
                </c:pt>
                <c:pt idx="200">
                  <c:v>188.67226769575436</c:v>
                </c:pt>
                <c:pt idx="201">
                  <c:v>189.42185042247843</c:v>
                </c:pt>
                <c:pt idx="202">
                  <c:v>189.48846293364869</c:v>
                </c:pt>
                <c:pt idx="203">
                  <c:v>190.14842738853417</c:v>
                </c:pt>
                <c:pt idx="204">
                  <c:v>190.52214231741658</c:v>
                </c:pt>
                <c:pt idx="205">
                  <c:v>191.12612901026148</c:v>
                </c:pt>
                <c:pt idx="206">
                  <c:v>191.56362694437843</c:v>
                </c:pt>
                <c:pt idx="207">
                  <c:v>191.70088730057805</c:v>
                </c:pt>
                <c:pt idx="208">
                  <c:v>191.99622645797174</c:v>
                </c:pt>
                <c:pt idx="209">
                  <c:v>192.33457109530281</c:v>
                </c:pt>
                <c:pt idx="210">
                  <c:v>192.46076902876246</c:v>
                </c:pt>
                <c:pt idx="211">
                  <c:v>193.24485858600642</c:v>
                </c:pt>
                <c:pt idx="212">
                  <c:v>194.03153509084072</c:v>
                </c:pt>
                <c:pt idx="213">
                  <c:v>194.21103712599128</c:v>
                </c:pt>
                <c:pt idx="214">
                  <c:v>194.64716537415728</c:v>
                </c:pt>
                <c:pt idx="215">
                  <c:v>195.5960268836229</c:v>
                </c:pt>
                <c:pt idx="216">
                  <c:v>195.77332549228936</c:v>
                </c:pt>
                <c:pt idx="217">
                  <c:v>195.91508246919011</c:v>
                </c:pt>
                <c:pt idx="218">
                  <c:v>195.96202998781132</c:v>
                </c:pt>
                <c:pt idx="219">
                  <c:v>196.07200826797197</c:v>
                </c:pt>
                <c:pt idx="220">
                  <c:v>196.20112025073922</c:v>
                </c:pt>
                <c:pt idx="221">
                  <c:v>196.39796240857714</c:v>
                </c:pt>
                <c:pt idx="222">
                  <c:v>196.48786764130503</c:v>
                </c:pt>
                <c:pt idx="223">
                  <c:v>196.61428248431241</c:v>
                </c:pt>
                <c:pt idx="224">
                  <c:v>196.95509825659497</c:v>
                </c:pt>
                <c:pt idx="225">
                  <c:v>197.55612540292299</c:v>
                </c:pt>
                <c:pt idx="226">
                  <c:v>197.88056788888576</c:v>
                </c:pt>
                <c:pt idx="227">
                  <c:v>197.91738320259446</c:v>
                </c:pt>
                <c:pt idx="228">
                  <c:v>199.49709330482702</c:v>
                </c:pt>
                <c:pt idx="229">
                  <c:v>199.59617391136379</c:v>
                </c:pt>
                <c:pt idx="230">
                  <c:v>199.63713426805532</c:v>
                </c:pt>
                <c:pt idx="231">
                  <c:v>199.68472434823585</c:v>
                </c:pt>
                <c:pt idx="232">
                  <c:v>200.03125093386092</c:v>
                </c:pt>
                <c:pt idx="233">
                  <c:v>200.08502857174264</c:v>
                </c:pt>
                <c:pt idx="234">
                  <c:v>200.26596805689485</c:v>
                </c:pt>
                <c:pt idx="235">
                  <c:v>200.59346921392788</c:v>
                </c:pt>
                <c:pt idx="236">
                  <c:v>200.77025904240463</c:v>
                </c:pt>
                <c:pt idx="237">
                  <c:v>202.2892724353392</c:v>
                </c:pt>
                <c:pt idx="238">
                  <c:v>202.61130338941089</c:v>
                </c:pt>
                <c:pt idx="239">
                  <c:v>203.13610904656559</c:v>
                </c:pt>
                <c:pt idx="240">
                  <c:v>204.19989323431801</c:v>
                </c:pt>
                <c:pt idx="241">
                  <c:v>204.38938935943818</c:v>
                </c:pt>
                <c:pt idx="242">
                  <c:v>205.43091799172689</c:v>
                </c:pt>
                <c:pt idx="243">
                  <c:v>206.35085203844878</c:v>
                </c:pt>
                <c:pt idx="244">
                  <c:v>206.45719607838689</c:v>
                </c:pt>
                <c:pt idx="245">
                  <c:v>206.57603157406024</c:v>
                </c:pt>
                <c:pt idx="246">
                  <c:v>207.35125332237294</c:v>
                </c:pt>
                <c:pt idx="247">
                  <c:v>208.38837366820792</c:v>
                </c:pt>
                <c:pt idx="248">
                  <c:v>208.49641019083455</c:v>
                </c:pt>
                <c:pt idx="249">
                  <c:v>208.81448643245005</c:v>
                </c:pt>
                <c:pt idx="250">
                  <c:v>209.42610963698544</c:v>
                </c:pt>
                <c:pt idx="251">
                  <c:v>209.50005052774205</c:v>
                </c:pt>
                <c:pt idx="252">
                  <c:v>210.10660840430913</c:v>
                </c:pt>
                <c:pt idx="253">
                  <c:v>210.14380092638368</c:v>
                </c:pt>
                <c:pt idx="254">
                  <c:v>210.60486727419712</c:v>
                </c:pt>
                <c:pt idx="255">
                  <c:v>211.16665813502055</c:v>
                </c:pt>
                <c:pt idx="256">
                  <c:v>211.28109101416678</c:v>
                </c:pt>
                <c:pt idx="257">
                  <c:v>211.42793904094549</c:v>
                </c:pt>
                <c:pt idx="258">
                  <c:v>211.66092463189537</c:v>
                </c:pt>
                <c:pt idx="259">
                  <c:v>211.90283441192858</c:v>
                </c:pt>
                <c:pt idx="260">
                  <c:v>212.6259061060384</c:v>
                </c:pt>
                <c:pt idx="261">
                  <c:v>213.13239324772084</c:v>
                </c:pt>
                <c:pt idx="262">
                  <c:v>213.20022894918657</c:v>
                </c:pt>
                <c:pt idx="263">
                  <c:v>213.4777289015264</c:v>
                </c:pt>
                <c:pt idx="264">
                  <c:v>213.85246356055561</c:v>
                </c:pt>
                <c:pt idx="265">
                  <c:v>214.63456542577114</c:v>
                </c:pt>
                <c:pt idx="266">
                  <c:v>214.77053461588699</c:v>
                </c:pt>
                <c:pt idx="267">
                  <c:v>214.87150873239963</c:v>
                </c:pt>
                <c:pt idx="268">
                  <c:v>215.30856053789179</c:v>
                </c:pt>
                <c:pt idx="269">
                  <c:v>215.40678894506939</c:v>
                </c:pt>
                <c:pt idx="270">
                  <c:v>215.44836186755253</c:v>
                </c:pt>
                <c:pt idx="271">
                  <c:v>215.51599686486949</c:v>
                </c:pt>
                <c:pt idx="272">
                  <c:v>216.16089839257867</c:v>
                </c:pt>
                <c:pt idx="273">
                  <c:v>216.58178375275719</c:v>
                </c:pt>
                <c:pt idx="274">
                  <c:v>217.10147537208664</c:v>
                </c:pt>
                <c:pt idx="275">
                  <c:v>217.52125748886644</c:v>
                </c:pt>
                <c:pt idx="276">
                  <c:v>217.67972513800549</c:v>
                </c:pt>
                <c:pt idx="277">
                  <c:v>217.9804677093953</c:v>
                </c:pt>
                <c:pt idx="278">
                  <c:v>218.4578429225129</c:v>
                </c:pt>
                <c:pt idx="279">
                  <c:v>218.99361822755702</c:v>
                </c:pt>
                <c:pt idx="280">
                  <c:v>219.24317959946418</c:v>
                </c:pt>
                <c:pt idx="281">
                  <c:v>221.38634069341518</c:v>
                </c:pt>
                <c:pt idx="282">
                  <c:v>221.62646170578319</c:v>
                </c:pt>
                <c:pt idx="283">
                  <c:v>222.37861752351031</c:v>
                </c:pt>
                <c:pt idx="284">
                  <c:v>222.51625566738426</c:v>
                </c:pt>
                <c:pt idx="285">
                  <c:v>222.98410279864501</c:v>
                </c:pt>
                <c:pt idx="286">
                  <c:v>223.3793164327908</c:v>
                </c:pt>
                <c:pt idx="287">
                  <c:v>223.40157866241535</c:v>
                </c:pt>
                <c:pt idx="288">
                  <c:v>223.69744536197749</c:v>
                </c:pt>
                <c:pt idx="289">
                  <c:v>223.83025029055568</c:v>
                </c:pt>
                <c:pt idx="290">
                  <c:v>224.03967103624274</c:v>
                </c:pt>
                <c:pt idx="291">
                  <c:v>224.48824604367553</c:v>
                </c:pt>
                <c:pt idx="292">
                  <c:v>224.75781840409297</c:v>
                </c:pt>
                <c:pt idx="293">
                  <c:v>225.39505894074279</c:v>
                </c:pt>
                <c:pt idx="294">
                  <c:v>225.87925776904981</c:v>
                </c:pt>
                <c:pt idx="295">
                  <c:v>227.12229787292472</c:v>
                </c:pt>
                <c:pt idx="296">
                  <c:v>227.57156902580317</c:v>
                </c:pt>
                <c:pt idx="297">
                  <c:v>227.61996194727584</c:v>
                </c:pt>
                <c:pt idx="298">
                  <c:v>227.65300989849038</c:v>
                </c:pt>
                <c:pt idx="299">
                  <c:v>227.79984233453058</c:v>
                </c:pt>
                <c:pt idx="300">
                  <c:v>227.89622228436335</c:v>
                </c:pt>
                <c:pt idx="301">
                  <c:v>227.91648677399138</c:v>
                </c:pt>
                <c:pt idx="302">
                  <c:v>228.32640755956447</c:v>
                </c:pt>
                <c:pt idx="303">
                  <c:v>228.61113175665537</c:v>
                </c:pt>
                <c:pt idx="304">
                  <c:v>228.9562185163191</c:v>
                </c:pt>
                <c:pt idx="305">
                  <c:v>229.38440538107147</c:v>
                </c:pt>
                <c:pt idx="306">
                  <c:v>230.16056507779152</c:v>
                </c:pt>
                <c:pt idx="307">
                  <c:v>230.40814012150688</c:v>
                </c:pt>
                <c:pt idx="308">
                  <c:v>231.51421614978861</c:v>
                </c:pt>
                <c:pt idx="309">
                  <c:v>231.77129651064723</c:v>
                </c:pt>
                <c:pt idx="310">
                  <c:v>232.14284655336974</c:v>
                </c:pt>
                <c:pt idx="311">
                  <c:v>233.28758855919284</c:v>
                </c:pt>
                <c:pt idx="312">
                  <c:v>233.29313565786887</c:v>
                </c:pt>
                <c:pt idx="313">
                  <c:v>233.64813587384285</c:v>
                </c:pt>
                <c:pt idx="314">
                  <c:v>233.84768200471154</c:v>
                </c:pt>
                <c:pt idx="315">
                  <c:v>233.85333733386216</c:v>
                </c:pt>
                <c:pt idx="316">
                  <c:v>233.86610880071839</c:v>
                </c:pt>
                <c:pt idx="317">
                  <c:v>234.15221201175194</c:v>
                </c:pt>
                <c:pt idx="318">
                  <c:v>234.21411784983556</c:v>
                </c:pt>
                <c:pt idx="319">
                  <c:v>234.58452975464888</c:v>
                </c:pt>
                <c:pt idx="320">
                  <c:v>234.64564020850315</c:v>
                </c:pt>
                <c:pt idx="321">
                  <c:v>235.34213003461892</c:v>
                </c:pt>
                <c:pt idx="322">
                  <c:v>235.75797310216447</c:v>
                </c:pt>
                <c:pt idx="323">
                  <c:v>236.01239499430523</c:v>
                </c:pt>
                <c:pt idx="324">
                  <c:v>236.39712733160073</c:v>
                </c:pt>
                <c:pt idx="325">
                  <c:v>236.69073422421161</c:v>
                </c:pt>
                <c:pt idx="326">
                  <c:v>237.95293235544057</c:v>
                </c:pt>
                <c:pt idx="327">
                  <c:v>238.88828833443321</c:v>
                </c:pt>
                <c:pt idx="328">
                  <c:v>239.48090970001343</c:v>
                </c:pt>
                <c:pt idx="329">
                  <c:v>239.53782343584336</c:v>
                </c:pt>
                <c:pt idx="330">
                  <c:v>239.64300233398944</c:v>
                </c:pt>
                <c:pt idx="331">
                  <c:v>239.75868064266518</c:v>
                </c:pt>
                <c:pt idx="332">
                  <c:v>239.92151401731172</c:v>
                </c:pt>
                <c:pt idx="333">
                  <c:v>240.06885229259146</c:v>
                </c:pt>
                <c:pt idx="334">
                  <c:v>240.70647317012117</c:v>
                </c:pt>
                <c:pt idx="335">
                  <c:v>243.35600778141753</c:v>
                </c:pt>
                <c:pt idx="336">
                  <c:v>243.48149119120666</c:v>
                </c:pt>
                <c:pt idx="337">
                  <c:v>244.70613380725118</c:v>
                </c:pt>
                <c:pt idx="338">
                  <c:v>245.04006569426139</c:v>
                </c:pt>
                <c:pt idx="339">
                  <c:v>245.79034094245239</c:v>
                </c:pt>
                <c:pt idx="340">
                  <c:v>245.84769305726073</c:v>
                </c:pt>
                <c:pt idx="341">
                  <c:v>246.42538095537589</c:v>
                </c:pt>
                <c:pt idx="342">
                  <c:v>247.02776747454246</c:v>
                </c:pt>
                <c:pt idx="343">
                  <c:v>247.09225896386249</c:v>
                </c:pt>
                <c:pt idx="344">
                  <c:v>247.22257211795807</c:v>
                </c:pt>
                <c:pt idx="345">
                  <c:v>247.81292334967847</c:v>
                </c:pt>
                <c:pt idx="346">
                  <c:v>247.83164548424648</c:v>
                </c:pt>
                <c:pt idx="347">
                  <c:v>248.09558142204699</c:v>
                </c:pt>
                <c:pt idx="348">
                  <c:v>248.36014980570249</c:v>
                </c:pt>
                <c:pt idx="349">
                  <c:v>248.4006194749058</c:v>
                </c:pt>
                <c:pt idx="350">
                  <c:v>248.62548131375644</c:v>
                </c:pt>
                <c:pt idx="351">
                  <c:v>248.77412874387545</c:v>
                </c:pt>
                <c:pt idx="352">
                  <c:v>249.8677824085425</c:v>
                </c:pt>
                <c:pt idx="353">
                  <c:v>251.34671616475194</c:v>
                </c:pt>
                <c:pt idx="354">
                  <c:v>252.40316015592913</c:v>
                </c:pt>
                <c:pt idx="355">
                  <c:v>252.79978242163048</c:v>
                </c:pt>
                <c:pt idx="356">
                  <c:v>252.80107292868308</c:v>
                </c:pt>
                <c:pt idx="357">
                  <c:v>253.02003174346248</c:v>
                </c:pt>
                <c:pt idx="358">
                  <c:v>253.16258147778359</c:v>
                </c:pt>
                <c:pt idx="359">
                  <c:v>253.191780154648</c:v>
                </c:pt>
                <c:pt idx="360">
                  <c:v>253.47596282977776</c:v>
                </c:pt>
                <c:pt idx="361">
                  <c:v>255.10774110331553</c:v>
                </c:pt>
                <c:pt idx="362">
                  <c:v>255.95800599888935</c:v>
                </c:pt>
                <c:pt idx="363">
                  <c:v>256.30922054137284</c:v>
                </c:pt>
                <c:pt idx="364">
                  <c:v>257.21557319477517</c:v>
                </c:pt>
                <c:pt idx="365">
                  <c:v>258.02664264378825</c:v>
                </c:pt>
                <c:pt idx="366">
                  <c:v>258.62462877162397</c:v>
                </c:pt>
                <c:pt idx="367">
                  <c:v>258.88611378650188</c:v>
                </c:pt>
                <c:pt idx="368">
                  <c:v>259.28511049200648</c:v>
                </c:pt>
                <c:pt idx="369">
                  <c:v>259.59875312079004</c:v>
                </c:pt>
                <c:pt idx="370">
                  <c:v>259.96470731352406</c:v>
                </c:pt>
                <c:pt idx="371">
                  <c:v>260.12772318438903</c:v>
                </c:pt>
                <c:pt idx="372">
                  <c:v>260.33575724311225</c:v>
                </c:pt>
                <c:pt idx="373">
                  <c:v>261.71416866211416</c:v>
                </c:pt>
                <c:pt idx="374">
                  <c:v>262.00729608056434</c:v>
                </c:pt>
                <c:pt idx="375">
                  <c:v>263.17509462907208</c:v>
                </c:pt>
                <c:pt idx="376">
                  <c:v>267.94873194133447</c:v>
                </c:pt>
                <c:pt idx="377">
                  <c:v>268.68154669624016</c:v>
                </c:pt>
                <c:pt idx="378">
                  <c:v>269.80754084353669</c:v>
                </c:pt>
                <c:pt idx="379">
                  <c:v>269.87307604346717</c:v>
                </c:pt>
                <c:pt idx="380">
                  <c:v>270.73268239968041</c:v>
                </c:pt>
                <c:pt idx="381">
                  <c:v>271.117105152401</c:v>
                </c:pt>
                <c:pt idx="382">
                  <c:v>271.92845662689854</c:v>
                </c:pt>
                <c:pt idx="383">
                  <c:v>272.37638565527504</c:v>
                </c:pt>
                <c:pt idx="384">
                  <c:v>274.03113448978667</c:v>
                </c:pt>
                <c:pt idx="385">
                  <c:v>274.64341306328686</c:v>
                </c:pt>
                <c:pt idx="386">
                  <c:v>276.80780571647279</c:v>
                </c:pt>
                <c:pt idx="387">
                  <c:v>277.19717147125255</c:v>
                </c:pt>
                <c:pt idx="388">
                  <c:v>277.2667896054042</c:v>
                </c:pt>
                <c:pt idx="389">
                  <c:v>278.01527811958772</c:v>
                </c:pt>
                <c:pt idx="390">
                  <c:v>278.71121969840601</c:v>
                </c:pt>
                <c:pt idx="391">
                  <c:v>279.47416558377387</c:v>
                </c:pt>
                <c:pt idx="392">
                  <c:v>280.62113708708011</c:v>
                </c:pt>
                <c:pt idx="393">
                  <c:v>283.30108921661446</c:v>
                </c:pt>
                <c:pt idx="394">
                  <c:v>283.89201884496725</c:v>
                </c:pt>
                <c:pt idx="395">
                  <c:v>284.88554406602645</c:v>
                </c:pt>
                <c:pt idx="396">
                  <c:v>285.1996977660977</c:v>
                </c:pt>
                <c:pt idx="397">
                  <c:v>285.63477745193757</c:v>
                </c:pt>
                <c:pt idx="398">
                  <c:v>285.85156012095592</c:v>
                </c:pt>
                <c:pt idx="399">
                  <c:v>286.32765247469968</c:v>
                </c:pt>
                <c:pt idx="400">
                  <c:v>288.34044282478158</c:v>
                </c:pt>
                <c:pt idx="401">
                  <c:v>291.5810489007863</c:v>
                </c:pt>
                <c:pt idx="402">
                  <c:v>291.76111115492523</c:v>
                </c:pt>
                <c:pt idx="403">
                  <c:v>291.85436405649682</c:v>
                </c:pt>
                <c:pt idx="404">
                  <c:v>292.49397515193579</c:v>
                </c:pt>
                <c:pt idx="405">
                  <c:v>292.53494451927395</c:v>
                </c:pt>
                <c:pt idx="406">
                  <c:v>293.31853624250289</c:v>
                </c:pt>
                <c:pt idx="407">
                  <c:v>293.6211838333719</c:v>
                </c:pt>
                <c:pt idx="408">
                  <c:v>294.78611385128875</c:v>
                </c:pt>
                <c:pt idx="409">
                  <c:v>294.95978677789498</c:v>
                </c:pt>
                <c:pt idx="410">
                  <c:v>295.15731362755281</c:v>
                </c:pt>
                <c:pt idx="411">
                  <c:v>299.92318497262903</c:v>
                </c:pt>
                <c:pt idx="412">
                  <c:v>301.34421572730628</c:v>
                </c:pt>
                <c:pt idx="413">
                  <c:v>303.05793625994681</c:v>
                </c:pt>
                <c:pt idx="414">
                  <c:v>303.16165871727048</c:v>
                </c:pt>
                <c:pt idx="415">
                  <c:v>303.25589303683125</c:v>
                </c:pt>
                <c:pt idx="416">
                  <c:v>304.16470325238043</c:v>
                </c:pt>
                <c:pt idx="417">
                  <c:v>305.41206615031069</c:v>
                </c:pt>
                <c:pt idx="418">
                  <c:v>305.60225198672248</c:v>
                </c:pt>
                <c:pt idx="419">
                  <c:v>305.74118721919035</c:v>
                </c:pt>
                <c:pt idx="420">
                  <c:v>306.84390878603415</c:v>
                </c:pt>
                <c:pt idx="421">
                  <c:v>306.95695949720522</c:v>
                </c:pt>
                <c:pt idx="422">
                  <c:v>308.40777530635364</c:v>
                </c:pt>
                <c:pt idx="423">
                  <c:v>308.80610665248156</c:v>
                </c:pt>
                <c:pt idx="424">
                  <c:v>310.34052135240347</c:v>
                </c:pt>
                <c:pt idx="425">
                  <c:v>310.56785320142046</c:v>
                </c:pt>
                <c:pt idx="426">
                  <c:v>311.26045745943679</c:v>
                </c:pt>
                <c:pt idx="427">
                  <c:v>312.65367437356304</c:v>
                </c:pt>
                <c:pt idx="428">
                  <c:v>313.82324125050661</c:v>
                </c:pt>
                <c:pt idx="429">
                  <c:v>314.450273866955</c:v>
                </c:pt>
                <c:pt idx="430">
                  <c:v>315.74855252909703</c:v>
                </c:pt>
                <c:pt idx="431">
                  <c:v>315.92383210140457</c:v>
                </c:pt>
                <c:pt idx="432">
                  <c:v>316.81790041593126</c:v>
                </c:pt>
                <c:pt idx="433">
                  <c:v>317.498681991176</c:v>
                </c:pt>
                <c:pt idx="434">
                  <c:v>319.03747871915812</c:v>
                </c:pt>
                <c:pt idx="435">
                  <c:v>319.17557424728307</c:v>
                </c:pt>
                <c:pt idx="436">
                  <c:v>320.06336613500736</c:v>
                </c:pt>
                <c:pt idx="437">
                  <c:v>320.43386946860164</c:v>
                </c:pt>
                <c:pt idx="438">
                  <c:v>320.59320523734084</c:v>
                </c:pt>
                <c:pt idx="439">
                  <c:v>321.6601510354472</c:v>
                </c:pt>
                <c:pt idx="440">
                  <c:v>322.07855360467238</c:v>
                </c:pt>
                <c:pt idx="441">
                  <c:v>322.40769043427343</c:v>
                </c:pt>
                <c:pt idx="442">
                  <c:v>324.08856762126402</c:v>
                </c:pt>
                <c:pt idx="443">
                  <c:v>327.49655789774283</c:v>
                </c:pt>
                <c:pt idx="444">
                  <c:v>327.80345828003902</c:v>
                </c:pt>
                <c:pt idx="445">
                  <c:v>328.16903092106429</c:v>
                </c:pt>
                <c:pt idx="446">
                  <c:v>330.11217923358333</c:v>
                </c:pt>
                <c:pt idx="447">
                  <c:v>330.75859743861622</c:v>
                </c:pt>
                <c:pt idx="448">
                  <c:v>331.53371588570377</c:v>
                </c:pt>
                <c:pt idx="449">
                  <c:v>333.97367677438547</c:v>
                </c:pt>
                <c:pt idx="450">
                  <c:v>337.45283977973907</c:v>
                </c:pt>
                <c:pt idx="451">
                  <c:v>338.58162205873919</c:v>
                </c:pt>
                <c:pt idx="452">
                  <c:v>339.07800069633316</c:v>
                </c:pt>
                <c:pt idx="453">
                  <c:v>341.34809432550753</c:v>
                </c:pt>
                <c:pt idx="454">
                  <c:v>342.4553446592214</c:v>
                </c:pt>
                <c:pt idx="455">
                  <c:v>343.3106425097352</c:v>
                </c:pt>
                <c:pt idx="456">
                  <c:v>343.45026506092142</c:v>
                </c:pt>
                <c:pt idx="457">
                  <c:v>344.33368612455439</c:v>
                </c:pt>
                <c:pt idx="458">
                  <c:v>346.59683706143653</c:v>
                </c:pt>
                <c:pt idx="459">
                  <c:v>347.03424302152945</c:v>
                </c:pt>
                <c:pt idx="460">
                  <c:v>347.15839002056805</c:v>
                </c:pt>
                <c:pt idx="461">
                  <c:v>347.76168263832233</c:v>
                </c:pt>
                <c:pt idx="462">
                  <c:v>348.46089201483238</c:v>
                </c:pt>
                <c:pt idx="463">
                  <c:v>348.98852453813703</c:v>
                </c:pt>
                <c:pt idx="464">
                  <c:v>350.16232171625757</c:v>
                </c:pt>
                <c:pt idx="465">
                  <c:v>350.42457240786621</c:v>
                </c:pt>
                <c:pt idx="466">
                  <c:v>350.65835703031689</c:v>
                </c:pt>
                <c:pt idx="467">
                  <c:v>350.91039763251166</c:v>
                </c:pt>
                <c:pt idx="468">
                  <c:v>352.08474265402515</c:v>
                </c:pt>
                <c:pt idx="469">
                  <c:v>354.27787796697021</c:v>
                </c:pt>
                <c:pt idx="470">
                  <c:v>355.84815201126526</c:v>
                </c:pt>
                <c:pt idx="471">
                  <c:v>358.98161998466946</c:v>
                </c:pt>
                <c:pt idx="472">
                  <c:v>359.14850677812285</c:v>
                </c:pt>
                <c:pt idx="473">
                  <c:v>360.02632286740379</c:v>
                </c:pt>
                <c:pt idx="474">
                  <c:v>364.54896249580884</c:v>
                </c:pt>
                <c:pt idx="475">
                  <c:v>367.39248015389649</c:v>
                </c:pt>
                <c:pt idx="476">
                  <c:v>368.43045062487988</c:v>
                </c:pt>
                <c:pt idx="477">
                  <c:v>371.86901429961938</c:v>
                </c:pt>
                <c:pt idx="478">
                  <c:v>371.96813390051352</c:v>
                </c:pt>
                <c:pt idx="479">
                  <c:v>376.71256168734146</c:v>
                </c:pt>
                <c:pt idx="480">
                  <c:v>377.15510074736227</c:v>
                </c:pt>
                <c:pt idx="481">
                  <c:v>378.5514479268856</c:v>
                </c:pt>
                <c:pt idx="482">
                  <c:v>383.8305198727154</c:v>
                </c:pt>
                <c:pt idx="483">
                  <c:v>385.12234208345126</c:v>
                </c:pt>
                <c:pt idx="484">
                  <c:v>385.43773698433517</c:v>
                </c:pt>
                <c:pt idx="485">
                  <c:v>387.895496214888</c:v>
                </c:pt>
                <c:pt idx="486">
                  <c:v>388.21084884460441</c:v>
                </c:pt>
                <c:pt idx="487">
                  <c:v>388.65111015273135</c:v>
                </c:pt>
                <c:pt idx="488">
                  <c:v>392.32324201092058</c:v>
                </c:pt>
                <c:pt idx="489">
                  <c:v>395.9369518751846</c:v>
                </c:pt>
                <c:pt idx="490">
                  <c:v>403.56646698093539</c:v>
                </c:pt>
                <c:pt idx="491">
                  <c:v>403.6501956912627</c:v>
                </c:pt>
                <c:pt idx="492">
                  <c:v>403.73985145798542</c:v>
                </c:pt>
                <c:pt idx="493">
                  <c:v>404.30266180190949</c:v>
                </c:pt>
                <c:pt idx="494">
                  <c:v>409.59720203999603</c:v>
                </c:pt>
                <c:pt idx="495">
                  <c:v>414.63588578563144</c:v>
                </c:pt>
                <c:pt idx="496">
                  <c:v>423.7442000374196</c:v>
                </c:pt>
                <c:pt idx="497">
                  <c:v>442.56417767139203</c:v>
                </c:pt>
                <c:pt idx="498">
                  <c:v>461.85830226542083</c:v>
                </c:pt>
                <c:pt idx="499">
                  <c:v>482.1235596442217</c:v>
                </c:pt>
              </c:numCache>
            </c:numRef>
          </c:xVal>
          <c:yVal>
            <c:numRef>
              <c:f>'Iter No Test'!$AL$3:$AL$502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axId val="162316288"/>
        <c:axId val="162317824"/>
      </c:scatterChart>
      <c:valAx>
        <c:axId val="162316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317824"/>
        <c:crosses val="autoZero"/>
        <c:crossBetween val="midCat"/>
      </c:valAx>
      <c:valAx>
        <c:axId val="1623178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7553017944535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3162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839067702552719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164261931187568E-2"/>
          <c:y val="0.11092985318107668"/>
          <c:w val="0.92119866814650386"/>
          <c:h val="0.82381729200652531"/>
        </c:manualLayout>
      </c:layout>
      <c:scatterChart>
        <c:scatterStyle val="smoothMarker"/>
        <c:ser>
          <c:idx val="0"/>
          <c:order val="0"/>
          <c:tx>
            <c:strRef>
              <c:f>'Iter No Test'!$AN$2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'Iter No Test'!$AN$3:$AN$1002</c:f>
              <c:numCache>
                <c:formatCode>General</c:formatCode>
                <c:ptCount val="1000"/>
                <c:pt idx="0">
                  <c:v>-14.470678075758528</c:v>
                </c:pt>
                <c:pt idx="1">
                  <c:v>-12.192275639518584</c:v>
                </c:pt>
                <c:pt idx="2">
                  <c:v>0.69551877713102783</c:v>
                </c:pt>
                <c:pt idx="3">
                  <c:v>16.16767720709214</c:v>
                </c:pt>
                <c:pt idx="4">
                  <c:v>16.611136575108787</c:v>
                </c:pt>
                <c:pt idx="5">
                  <c:v>16.90454780358418</c:v>
                </c:pt>
                <c:pt idx="6">
                  <c:v>19.632623444919062</c:v>
                </c:pt>
                <c:pt idx="7">
                  <c:v>28.955271985144108</c:v>
                </c:pt>
                <c:pt idx="8">
                  <c:v>36.973364647509939</c:v>
                </c:pt>
                <c:pt idx="9">
                  <c:v>38.961291567860101</c:v>
                </c:pt>
                <c:pt idx="10">
                  <c:v>41.242881481517401</c:v>
                </c:pt>
                <c:pt idx="11">
                  <c:v>43.234620239456774</c:v>
                </c:pt>
                <c:pt idx="12">
                  <c:v>45.510535614025997</c:v>
                </c:pt>
                <c:pt idx="13">
                  <c:v>46.372094838296192</c:v>
                </c:pt>
                <c:pt idx="14">
                  <c:v>48.943766570404847</c:v>
                </c:pt>
                <c:pt idx="15">
                  <c:v>48.950531272495475</c:v>
                </c:pt>
                <c:pt idx="16">
                  <c:v>49.080015239302</c:v>
                </c:pt>
                <c:pt idx="17">
                  <c:v>49.526301647079649</c:v>
                </c:pt>
                <c:pt idx="18">
                  <c:v>50.512568979517553</c:v>
                </c:pt>
                <c:pt idx="19">
                  <c:v>52.53070363477643</c:v>
                </c:pt>
                <c:pt idx="20">
                  <c:v>52.900146109467073</c:v>
                </c:pt>
                <c:pt idx="21">
                  <c:v>53.165076439788365</c:v>
                </c:pt>
                <c:pt idx="22">
                  <c:v>53.932655004378205</c:v>
                </c:pt>
                <c:pt idx="23">
                  <c:v>55.14683669339496</c:v>
                </c:pt>
                <c:pt idx="24">
                  <c:v>56.382774185963683</c:v>
                </c:pt>
                <c:pt idx="25">
                  <c:v>57.277265953336084</c:v>
                </c:pt>
                <c:pt idx="26">
                  <c:v>57.465682388844058</c:v>
                </c:pt>
                <c:pt idx="27">
                  <c:v>60.485985332276343</c:v>
                </c:pt>
                <c:pt idx="28">
                  <c:v>65.123018935655324</c:v>
                </c:pt>
                <c:pt idx="29">
                  <c:v>66.241737410876297</c:v>
                </c:pt>
                <c:pt idx="30">
                  <c:v>66.67133275996909</c:v>
                </c:pt>
                <c:pt idx="31">
                  <c:v>67.029054598891349</c:v>
                </c:pt>
                <c:pt idx="32">
                  <c:v>67.496100966626457</c:v>
                </c:pt>
                <c:pt idx="33">
                  <c:v>67.664168314352011</c:v>
                </c:pt>
                <c:pt idx="34">
                  <c:v>68.248570302739267</c:v>
                </c:pt>
                <c:pt idx="35">
                  <c:v>68.328614172469301</c:v>
                </c:pt>
                <c:pt idx="36">
                  <c:v>68.37920356249748</c:v>
                </c:pt>
                <c:pt idx="37">
                  <c:v>68.522027051511415</c:v>
                </c:pt>
                <c:pt idx="38">
                  <c:v>70.68604736800836</c:v>
                </c:pt>
                <c:pt idx="39">
                  <c:v>71.358761776374166</c:v>
                </c:pt>
                <c:pt idx="40">
                  <c:v>72.539514212666205</c:v>
                </c:pt>
                <c:pt idx="41">
                  <c:v>73.714632638345805</c:v>
                </c:pt>
                <c:pt idx="42">
                  <c:v>74.592520279876993</c:v>
                </c:pt>
                <c:pt idx="43">
                  <c:v>74.721329062227426</c:v>
                </c:pt>
                <c:pt idx="44">
                  <c:v>75.749480642244961</c:v>
                </c:pt>
                <c:pt idx="45">
                  <c:v>77.614512062864691</c:v>
                </c:pt>
                <c:pt idx="46">
                  <c:v>79.099319988756804</c:v>
                </c:pt>
                <c:pt idx="47">
                  <c:v>79.925554879328757</c:v>
                </c:pt>
                <c:pt idx="48">
                  <c:v>80.216675219786751</c:v>
                </c:pt>
                <c:pt idx="49">
                  <c:v>81.250745413903985</c:v>
                </c:pt>
                <c:pt idx="50">
                  <c:v>81.385394863626473</c:v>
                </c:pt>
                <c:pt idx="51">
                  <c:v>82.5435844356453</c:v>
                </c:pt>
                <c:pt idx="52">
                  <c:v>83.324405027693359</c:v>
                </c:pt>
                <c:pt idx="53">
                  <c:v>83.584317939602116</c:v>
                </c:pt>
                <c:pt idx="54">
                  <c:v>83.645933747310266</c:v>
                </c:pt>
                <c:pt idx="55">
                  <c:v>84.441398847903329</c:v>
                </c:pt>
                <c:pt idx="56">
                  <c:v>86.099576620615338</c:v>
                </c:pt>
                <c:pt idx="57">
                  <c:v>86.705656448214441</c:v>
                </c:pt>
                <c:pt idx="58">
                  <c:v>87.32124347252136</c:v>
                </c:pt>
                <c:pt idx="59">
                  <c:v>87.780886835521713</c:v>
                </c:pt>
                <c:pt idx="60">
                  <c:v>88.204930589026631</c:v>
                </c:pt>
                <c:pt idx="61">
                  <c:v>88.384794168027682</c:v>
                </c:pt>
                <c:pt idx="62">
                  <c:v>88.909535897470903</c:v>
                </c:pt>
                <c:pt idx="63">
                  <c:v>89.791669518038432</c:v>
                </c:pt>
                <c:pt idx="64">
                  <c:v>89.919522345251806</c:v>
                </c:pt>
                <c:pt idx="65">
                  <c:v>90.156095911100394</c:v>
                </c:pt>
                <c:pt idx="66">
                  <c:v>91.374559658361903</c:v>
                </c:pt>
                <c:pt idx="67">
                  <c:v>91.635745545171062</c:v>
                </c:pt>
                <c:pt idx="68">
                  <c:v>92.495376140336475</c:v>
                </c:pt>
                <c:pt idx="69">
                  <c:v>93.604462688950036</c:v>
                </c:pt>
                <c:pt idx="70">
                  <c:v>93.711474626270061</c:v>
                </c:pt>
                <c:pt idx="71">
                  <c:v>93.73805435361389</c:v>
                </c:pt>
                <c:pt idx="72">
                  <c:v>93.769860184290479</c:v>
                </c:pt>
                <c:pt idx="73">
                  <c:v>94.318771214748963</c:v>
                </c:pt>
                <c:pt idx="74">
                  <c:v>94.771558358368083</c:v>
                </c:pt>
                <c:pt idx="75">
                  <c:v>95.690305879394728</c:v>
                </c:pt>
                <c:pt idx="76">
                  <c:v>96.580286861193883</c:v>
                </c:pt>
                <c:pt idx="77">
                  <c:v>96.652118182999047</c:v>
                </c:pt>
                <c:pt idx="78">
                  <c:v>96.842423601917432</c:v>
                </c:pt>
                <c:pt idx="79">
                  <c:v>97.209748541196376</c:v>
                </c:pt>
                <c:pt idx="80">
                  <c:v>97.211955461275949</c:v>
                </c:pt>
                <c:pt idx="81">
                  <c:v>97.822443609815238</c:v>
                </c:pt>
                <c:pt idx="82">
                  <c:v>98.376218602750896</c:v>
                </c:pt>
                <c:pt idx="83">
                  <c:v>98.462473595796027</c:v>
                </c:pt>
                <c:pt idx="84">
                  <c:v>98.550079725332495</c:v>
                </c:pt>
                <c:pt idx="85">
                  <c:v>98.911690317081707</c:v>
                </c:pt>
                <c:pt idx="86">
                  <c:v>99.441647115822576</c:v>
                </c:pt>
                <c:pt idx="87">
                  <c:v>99.997611869120362</c:v>
                </c:pt>
                <c:pt idx="88">
                  <c:v>100.02707904171906</c:v>
                </c:pt>
                <c:pt idx="89">
                  <c:v>101.27393340848579</c:v>
                </c:pt>
                <c:pt idx="90">
                  <c:v>101.33510270203678</c:v>
                </c:pt>
                <c:pt idx="91">
                  <c:v>101.88961805286625</c:v>
                </c:pt>
                <c:pt idx="92">
                  <c:v>101.90957979689779</c:v>
                </c:pt>
                <c:pt idx="93">
                  <c:v>101.94629501406385</c:v>
                </c:pt>
                <c:pt idx="94">
                  <c:v>102.73841643649614</c:v>
                </c:pt>
                <c:pt idx="95">
                  <c:v>103.71368034048561</c:v>
                </c:pt>
                <c:pt idx="96">
                  <c:v>104.82695981221696</c:v>
                </c:pt>
                <c:pt idx="97">
                  <c:v>104.99484298248812</c:v>
                </c:pt>
                <c:pt idx="98">
                  <c:v>105.05820792202148</c:v>
                </c:pt>
                <c:pt idx="99">
                  <c:v>105.55668550026611</c:v>
                </c:pt>
                <c:pt idx="100">
                  <c:v>105.63804475461619</c:v>
                </c:pt>
                <c:pt idx="101">
                  <c:v>105.89487243803751</c:v>
                </c:pt>
                <c:pt idx="102">
                  <c:v>106.20810592698447</c:v>
                </c:pt>
                <c:pt idx="103">
                  <c:v>107.18103296926023</c:v>
                </c:pt>
                <c:pt idx="104">
                  <c:v>107.44624508740034</c:v>
                </c:pt>
                <c:pt idx="105">
                  <c:v>107.70231671071548</c:v>
                </c:pt>
                <c:pt idx="106">
                  <c:v>107.92045843280928</c:v>
                </c:pt>
                <c:pt idx="107">
                  <c:v>110.68921427764145</c:v>
                </c:pt>
                <c:pt idx="108">
                  <c:v>111.0034643539268</c:v>
                </c:pt>
                <c:pt idx="109">
                  <c:v>111.33581860852593</c:v>
                </c:pt>
                <c:pt idx="110">
                  <c:v>111.55833992551983</c:v>
                </c:pt>
                <c:pt idx="111">
                  <c:v>111.560242672144</c:v>
                </c:pt>
                <c:pt idx="112">
                  <c:v>111.76540174568119</c:v>
                </c:pt>
                <c:pt idx="113">
                  <c:v>112.22681872323727</c:v>
                </c:pt>
                <c:pt idx="114">
                  <c:v>112.34605048985782</c:v>
                </c:pt>
                <c:pt idx="115">
                  <c:v>112.35021949587356</c:v>
                </c:pt>
                <c:pt idx="116">
                  <c:v>112.50935630767174</c:v>
                </c:pt>
                <c:pt idx="117">
                  <c:v>112.59091010594715</c:v>
                </c:pt>
                <c:pt idx="118">
                  <c:v>112.71045366186199</c:v>
                </c:pt>
                <c:pt idx="119">
                  <c:v>112.84185549722237</c:v>
                </c:pt>
                <c:pt idx="120">
                  <c:v>112.99682897505031</c:v>
                </c:pt>
                <c:pt idx="121">
                  <c:v>113.34425945577381</c:v>
                </c:pt>
                <c:pt idx="122">
                  <c:v>113.45018290243567</c:v>
                </c:pt>
                <c:pt idx="123">
                  <c:v>114.10718588580554</c:v>
                </c:pt>
                <c:pt idx="124">
                  <c:v>114.58794186513963</c:v>
                </c:pt>
                <c:pt idx="125">
                  <c:v>114.72225391669548</c:v>
                </c:pt>
                <c:pt idx="126">
                  <c:v>115.51981336612901</c:v>
                </c:pt>
                <c:pt idx="127">
                  <c:v>116.24612266815362</c:v>
                </c:pt>
                <c:pt idx="128">
                  <c:v>116.56572056717849</c:v>
                </c:pt>
                <c:pt idx="129">
                  <c:v>117.06308451412264</c:v>
                </c:pt>
                <c:pt idx="130">
                  <c:v>117.69044439822071</c:v>
                </c:pt>
                <c:pt idx="131">
                  <c:v>119.01957416084889</c:v>
                </c:pt>
                <c:pt idx="132">
                  <c:v>119.66735365826419</c:v>
                </c:pt>
                <c:pt idx="133">
                  <c:v>120.77757129072344</c:v>
                </c:pt>
                <c:pt idx="134">
                  <c:v>120.83616314277413</c:v>
                </c:pt>
                <c:pt idx="135">
                  <c:v>121.3811831907787</c:v>
                </c:pt>
                <c:pt idx="136">
                  <c:v>121.62077945748899</c:v>
                </c:pt>
                <c:pt idx="137">
                  <c:v>121.77095589389729</c:v>
                </c:pt>
                <c:pt idx="138">
                  <c:v>122.03264225206028</c:v>
                </c:pt>
                <c:pt idx="139">
                  <c:v>122.92843205283201</c:v>
                </c:pt>
                <c:pt idx="140">
                  <c:v>123.52417872087497</c:v>
                </c:pt>
                <c:pt idx="141">
                  <c:v>124.09816592398165</c:v>
                </c:pt>
                <c:pt idx="142">
                  <c:v>124.58708975272413</c:v>
                </c:pt>
                <c:pt idx="143">
                  <c:v>124.82765636054182</c:v>
                </c:pt>
                <c:pt idx="144">
                  <c:v>125.25647370464488</c:v>
                </c:pt>
                <c:pt idx="145">
                  <c:v>125.46294129957369</c:v>
                </c:pt>
                <c:pt idx="146">
                  <c:v>125.4720205916981</c:v>
                </c:pt>
                <c:pt idx="147">
                  <c:v>125.89328133686357</c:v>
                </c:pt>
                <c:pt idx="148">
                  <c:v>125.91111653553031</c:v>
                </c:pt>
                <c:pt idx="149">
                  <c:v>126.15119373138189</c:v>
                </c:pt>
                <c:pt idx="150">
                  <c:v>126.65706535358495</c:v>
                </c:pt>
                <c:pt idx="151">
                  <c:v>126.72681209644703</c:v>
                </c:pt>
                <c:pt idx="152">
                  <c:v>127.55942243827462</c:v>
                </c:pt>
                <c:pt idx="153">
                  <c:v>127.75302951856051</c:v>
                </c:pt>
                <c:pt idx="154">
                  <c:v>127.82662717976217</c:v>
                </c:pt>
                <c:pt idx="155">
                  <c:v>127.86665683100529</c:v>
                </c:pt>
                <c:pt idx="156">
                  <c:v>128.68002989857476</c:v>
                </c:pt>
                <c:pt idx="157">
                  <c:v>129.1681115660229</c:v>
                </c:pt>
                <c:pt idx="158">
                  <c:v>129.49201855685678</c:v>
                </c:pt>
                <c:pt idx="159">
                  <c:v>129.79124495850425</c:v>
                </c:pt>
                <c:pt idx="160">
                  <c:v>129.82633729694828</c:v>
                </c:pt>
                <c:pt idx="161">
                  <c:v>130.29903107477116</c:v>
                </c:pt>
                <c:pt idx="162">
                  <c:v>130.49471280445405</c:v>
                </c:pt>
                <c:pt idx="163">
                  <c:v>130.6098593213606</c:v>
                </c:pt>
                <c:pt idx="164">
                  <c:v>131.07256055180756</c:v>
                </c:pt>
                <c:pt idx="165">
                  <c:v>132.98360591206594</c:v>
                </c:pt>
                <c:pt idx="166">
                  <c:v>133.27265200764765</c:v>
                </c:pt>
                <c:pt idx="167">
                  <c:v>133.9332232650091</c:v>
                </c:pt>
                <c:pt idx="168">
                  <c:v>134.12653661463605</c:v>
                </c:pt>
                <c:pt idx="169">
                  <c:v>134.67479946520763</c:v>
                </c:pt>
                <c:pt idx="170">
                  <c:v>134.74433885497416</c:v>
                </c:pt>
                <c:pt idx="171">
                  <c:v>134.78192640058825</c:v>
                </c:pt>
                <c:pt idx="172">
                  <c:v>134.80331092583134</c:v>
                </c:pt>
                <c:pt idx="173">
                  <c:v>134.93483111933372</c:v>
                </c:pt>
                <c:pt idx="174">
                  <c:v>135.98757280609786</c:v>
                </c:pt>
                <c:pt idx="175">
                  <c:v>136.77890012323346</c:v>
                </c:pt>
                <c:pt idx="176">
                  <c:v>137.00810937444726</c:v>
                </c:pt>
                <c:pt idx="177">
                  <c:v>137.03587390327888</c:v>
                </c:pt>
                <c:pt idx="178">
                  <c:v>137.40535916541964</c:v>
                </c:pt>
                <c:pt idx="179">
                  <c:v>137.42621780713034</c:v>
                </c:pt>
                <c:pt idx="180">
                  <c:v>137.57892477208787</c:v>
                </c:pt>
                <c:pt idx="181">
                  <c:v>138.05838862667315</c:v>
                </c:pt>
                <c:pt idx="182">
                  <c:v>138.6518755173627</c:v>
                </c:pt>
                <c:pt idx="183">
                  <c:v>139.00343804824666</c:v>
                </c:pt>
                <c:pt idx="184">
                  <c:v>139.0989281069638</c:v>
                </c:pt>
                <c:pt idx="185">
                  <c:v>139.46064967055796</c:v>
                </c:pt>
                <c:pt idx="186">
                  <c:v>139.72155297706914</c:v>
                </c:pt>
                <c:pt idx="187">
                  <c:v>140.02748967750875</c:v>
                </c:pt>
                <c:pt idx="188">
                  <c:v>140.17203465785281</c:v>
                </c:pt>
                <c:pt idx="189">
                  <c:v>140.17667439460411</c:v>
                </c:pt>
                <c:pt idx="190">
                  <c:v>140.28984503295106</c:v>
                </c:pt>
                <c:pt idx="191">
                  <c:v>140.40973975609182</c:v>
                </c:pt>
                <c:pt idx="192">
                  <c:v>140.67320439860339</c:v>
                </c:pt>
                <c:pt idx="193">
                  <c:v>140.72956399103782</c:v>
                </c:pt>
                <c:pt idx="194">
                  <c:v>140.80366692588581</c:v>
                </c:pt>
                <c:pt idx="195">
                  <c:v>141.04044792348688</c:v>
                </c:pt>
                <c:pt idx="196">
                  <c:v>141.40355623816902</c:v>
                </c:pt>
                <c:pt idx="197">
                  <c:v>141.75333318558</c:v>
                </c:pt>
                <c:pt idx="198">
                  <c:v>141.81655539020954</c:v>
                </c:pt>
                <c:pt idx="199">
                  <c:v>141.97276628880601</c:v>
                </c:pt>
                <c:pt idx="200">
                  <c:v>142.05965120400344</c:v>
                </c:pt>
                <c:pt idx="201">
                  <c:v>142.09207063708152</c:v>
                </c:pt>
                <c:pt idx="202">
                  <c:v>142.22302755971381</c:v>
                </c:pt>
                <c:pt idx="203">
                  <c:v>142.37600694928381</c:v>
                </c:pt>
                <c:pt idx="204">
                  <c:v>143.19070970437971</c:v>
                </c:pt>
                <c:pt idx="205">
                  <c:v>143.50843726162654</c:v>
                </c:pt>
                <c:pt idx="206">
                  <c:v>143.63946739831474</c:v>
                </c:pt>
                <c:pt idx="207">
                  <c:v>143.84795673483211</c:v>
                </c:pt>
                <c:pt idx="208">
                  <c:v>144.27777373043708</c:v>
                </c:pt>
                <c:pt idx="209">
                  <c:v>144.31433762507442</c:v>
                </c:pt>
                <c:pt idx="210">
                  <c:v>144.49629572362716</c:v>
                </c:pt>
                <c:pt idx="211">
                  <c:v>144.58106328775858</c:v>
                </c:pt>
                <c:pt idx="212">
                  <c:v>144.9724302558821</c:v>
                </c:pt>
                <c:pt idx="213">
                  <c:v>145.5483044461597</c:v>
                </c:pt>
                <c:pt idx="214">
                  <c:v>145.90973967557807</c:v>
                </c:pt>
                <c:pt idx="215">
                  <c:v>146.35930364513408</c:v>
                </c:pt>
                <c:pt idx="216">
                  <c:v>146.5120541401314</c:v>
                </c:pt>
                <c:pt idx="217">
                  <c:v>146.52381834582113</c:v>
                </c:pt>
                <c:pt idx="218">
                  <c:v>147.06162612972233</c:v>
                </c:pt>
                <c:pt idx="219">
                  <c:v>147.41777656252847</c:v>
                </c:pt>
                <c:pt idx="220">
                  <c:v>147.51038668421788</c:v>
                </c:pt>
                <c:pt idx="221">
                  <c:v>147.69565881895522</c:v>
                </c:pt>
                <c:pt idx="222">
                  <c:v>147.87775872745547</c:v>
                </c:pt>
                <c:pt idx="223">
                  <c:v>148.01355790099552</c:v>
                </c:pt>
                <c:pt idx="224">
                  <c:v>148.2775225689229</c:v>
                </c:pt>
                <c:pt idx="225">
                  <c:v>148.76553783308435</c:v>
                </c:pt>
                <c:pt idx="226">
                  <c:v>148.82628756805462</c:v>
                </c:pt>
                <c:pt idx="227">
                  <c:v>148.92495135456554</c:v>
                </c:pt>
                <c:pt idx="228">
                  <c:v>149.07498549653121</c:v>
                </c:pt>
                <c:pt idx="229">
                  <c:v>149.13961358642462</c:v>
                </c:pt>
                <c:pt idx="230">
                  <c:v>149.65882542010775</c:v>
                </c:pt>
                <c:pt idx="231">
                  <c:v>150.5252106816456</c:v>
                </c:pt>
                <c:pt idx="232">
                  <c:v>151.66657554913888</c:v>
                </c:pt>
                <c:pt idx="233">
                  <c:v>151.72827966860737</c:v>
                </c:pt>
                <c:pt idx="234">
                  <c:v>151.9007593620658</c:v>
                </c:pt>
                <c:pt idx="235">
                  <c:v>152.23228876952982</c:v>
                </c:pt>
                <c:pt idx="236">
                  <c:v>152.43876700329844</c:v>
                </c:pt>
                <c:pt idx="237">
                  <c:v>152.91119230749553</c:v>
                </c:pt>
                <c:pt idx="238">
                  <c:v>153.02415741019138</c:v>
                </c:pt>
                <c:pt idx="239">
                  <c:v>153.08579132770993</c:v>
                </c:pt>
                <c:pt idx="240">
                  <c:v>153.92967917537391</c:v>
                </c:pt>
                <c:pt idx="241">
                  <c:v>154.61091154738043</c:v>
                </c:pt>
                <c:pt idx="242">
                  <c:v>154.88372784729694</c:v>
                </c:pt>
                <c:pt idx="243">
                  <c:v>155.01011577658227</c:v>
                </c:pt>
                <c:pt idx="244">
                  <c:v>155.36882271480897</c:v>
                </c:pt>
                <c:pt idx="245">
                  <c:v>155.61407439969327</c:v>
                </c:pt>
                <c:pt idx="246">
                  <c:v>155.77436972349449</c:v>
                </c:pt>
                <c:pt idx="247">
                  <c:v>155.92756487007796</c:v>
                </c:pt>
                <c:pt idx="248">
                  <c:v>155.96898732213378</c:v>
                </c:pt>
                <c:pt idx="249">
                  <c:v>156.20688531324853</c:v>
                </c:pt>
                <c:pt idx="250">
                  <c:v>156.29308146934406</c:v>
                </c:pt>
                <c:pt idx="251">
                  <c:v>157.72231731041433</c:v>
                </c:pt>
                <c:pt idx="252">
                  <c:v>157.87647879448102</c:v>
                </c:pt>
                <c:pt idx="253">
                  <c:v>158.09026218640642</c:v>
                </c:pt>
                <c:pt idx="254">
                  <c:v>158.23912696942264</c:v>
                </c:pt>
                <c:pt idx="255">
                  <c:v>158.48805715693334</c:v>
                </c:pt>
                <c:pt idx="256">
                  <c:v>158.56873272888916</c:v>
                </c:pt>
                <c:pt idx="257">
                  <c:v>158.71137170186157</c:v>
                </c:pt>
                <c:pt idx="258">
                  <c:v>158.89376480231761</c:v>
                </c:pt>
                <c:pt idx="259">
                  <c:v>159.12540259831493</c:v>
                </c:pt>
                <c:pt idx="260">
                  <c:v>159.49653997339018</c:v>
                </c:pt>
                <c:pt idx="261">
                  <c:v>159.52508468415334</c:v>
                </c:pt>
                <c:pt idx="262">
                  <c:v>159.77618836790447</c:v>
                </c:pt>
                <c:pt idx="263">
                  <c:v>159.88739101067137</c:v>
                </c:pt>
                <c:pt idx="264">
                  <c:v>160.00120561236713</c:v>
                </c:pt>
                <c:pt idx="265">
                  <c:v>160.29830182454936</c:v>
                </c:pt>
                <c:pt idx="266">
                  <c:v>160.39732480526089</c:v>
                </c:pt>
                <c:pt idx="267">
                  <c:v>160.46872329501912</c:v>
                </c:pt>
                <c:pt idx="268">
                  <c:v>160.82010588128611</c:v>
                </c:pt>
                <c:pt idx="269">
                  <c:v>161.25824866179497</c:v>
                </c:pt>
                <c:pt idx="270">
                  <c:v>161.46869241429729</c:v>
                </c:pt>
                <c:pt idx="271">
                  <c:v>161.85120899519274</c:v>
                </c:pt>
                <c:pt idx="272">
                  <c:v>162.06184704794123</c:v>
                </c:pt>
                <c:pt idx="273">
                  <c:v>162.4618556154758</c:v>
                </c:pt>
                <c:pt idx="274">
                  <c:v>162.47735843129402</c:v>
                </c:pt>
                <c:pt idx="275">
                  <c:v>162.50985246990109</c:v>
                </c:pt>
                <c:pt idx="276">
                  <c:v>162.60583448478263</c:v>
                </c:pt>
                <c:pt idx="277">
                  <c:v>162.66531793338433</c:v>
                </c:pt>
                <c:pt idx="278">
                  <c:v>162.6765953391965</c:v>
                </c:pt>
                <c:pt idx="279">
                  <c:v>162.74154787143789</c:v>
                </c:pt>
                <c:pt idx="280">
                  <c:v>162.88604830161998</c:v>
                </c:pt>
                <c:pt idx="281">
                  <c:v>163.24095741323751</c:v>
                </c:pt>
                <c:pt idx="282">
                  <c:v>163.50505694084666</c:v>
                </c:pt>
                <c:pt idx="283">
                  <c:v>163.59104141966171</c:v>
                </c:pt>
                <c:pt idx="284">
                  <c:v>164.13159569433435</c:v>
                </c:pt>
                <c:pt idx="285">
                  <c:v>164.22517843156749</c:v>
                </c:pt>
                <c:pt idx="286">
                  <c:v>164.31463292740955</c:v>
                </c:pt>
                <c:pt idx="287">
                  <c:v>164.4112065151204</c:v>
                </c:pt>
                <c:pt idx="288">
                  <c:v>164.4959783370729</c:v>
                </c:pt>
                <c:pt idx="289">
                  <c:v>164.93291973074759</c:v>
                </c:pt>
                <c:pt idx="290">
                  <c:v>165.08657413921728</c:v>
                </c:pt>
                <c:pt idx="291">
                  <c:v>165.13386503198475</c:v>
                </c:pt>
                <c:pt idx="292">
                  <c:v>165.20461176062818</c:v>
                </c:pt>
                <c:pt idx="293">
                  <c:v>165.31511042643609</c:v>
                </c:pt>
                <c:pt idx="294">
                  <c:v>165.62653850308618</c:v>
                </c:pt>
                <c:pt idx="295">
                  <c:v>165.91704805413696</c:v>
                </c:pt>
                <c:pt idx="296">
                  <c:v>165.92587158127253</c:v>
                </c:pt>
                <c:pt idx="297">
                  <c:v>165.96484819568204</c:v>
                </c:pt>
                <c:pt idx="298">
                  <c:v>166.00551004857121</c:v>
                </c:pt>
                <c:pt idx="299">
                  <c:v>166.01416885264103</c:v>
                </c:pt>
                <c:pt idx="300">
                  <c:v>166.69843562347106</c:v>
                </c:pt>
                <c:pt idx="301">
                  <c:v>166.80815651305809</c:v>
                </c:pt>
                <c:pt idx="302">
                  <c:v>166.86048759349421</c:v>
                </c:pt>
                <c:pt idx="303">
                  <c:v>166.95424246570795</c:v>
                </c:pt>
                <c:pt idx="304">
                  <c:v>167.10925763230256</c:v>
                </c:pt>
                <c:pt idx="305">
                  <c:v>167.22228829893959</c:v>
                </c:pt>
                <c:pt idx="306">
                  <c:v>167.34802528585266</c:v>
                </c:pt>
                <c:pt idx="307">
                  <c:v>167.70529031155516</c:v>
                </c:pt>
                <c:pt idx="308">
                  <c:v>167.96707015234159</c:v>
                </c:pt>
                <c:pt idx="309">
                  <c:v>168.56489923123434</c:v>
                </c:pt>
                <c:pt idx="310">
                  <c:v>168.7545943696739</c:v>
                </c:pt>
                <c:pt idx="311">
                  <c:v>168.92334167942602</c:v>
                </c:pt>
                <c:pt idx="312">
                  <c:v>169.02479789577015</c:v>
                </c:pt>
                <c:pt idx="313">
                  <c:v>169.13537050346909</c:v>
                </c:pt>
                <c:pt idx="314">
                  <c:v>169.55341919334825</c:v>
                </c:pt>
                <c:pt idx="315">
                  <c:v>169.65355344004126</c:v>
                </c:pt>
                <c:pt idx="316">
                  <c:v>169.67522543781982</c:v>
                </c:pt>
                <c:pt idx="317">
                  <c:v>169.83148799943834</c:v>
                </c:pt>
                <c:pt idx="318">
                  <c:v>170.11898054050013</c:v>
                </c:pt>
                <c:pt idx="319">
                  <c:v>170.14007441647701</c:v>
                </c:pt>
                <c:pt idx="320">
                  <c:v>170.26332202858947</c:v>
                </c:pt>
                <c:pt idx="321">
                  <c:v>170.29628628157155</c:v>
                </c:pt>
                <c:pt idx="322">
                  <c:v>170.47879024362032</c:v>
                </c:pt>
                <c:pt idx="323">
                  <c:v>170.53020934821242</c:v>
                </c:pt>
                <c:pt idx="324">
                  <c:v>170.56754466016463</c:v>
                </c:pt>
                <c:pt idx="325">
                  <c:v>170.57249779196115</c:v>
                </c:pt>
                <c:pt idx="326">
                  <c:v>170.82243177300575</c:v>
                </c:pt>
                <c:pt idx="327">
                  <c:v>171.10550595311145</c:v>
                </c:pt>
                <c:pt idx="328">
                  <c:v>171.12657953501483</c:v>
                </c:pt>
                <c:pt idx="329">
                  <c:v>171.52999458599092</c:v>
                </c:pt>
                <c:pt idx="330">
                  <c:v>171.54015549810836</c:v>
                </c:pt>
                <c:pt idx="331">
                  <c:v>171.55789878960789</c:v>
                </c:pt>
                <c:pt idx="332">
                  <c:v>171.85267134243827</c:v>
                </c:pt>
                <c:pt idx="333">
                  <c:v>171.86381146173136</c:v>
                </c:pt>
                <c:pt idx="334">
                  <c:v>172.44122906408307</c:v>
                </c:pt>
                <c:pt idx="335">
                  <c:v>172.54945326304832</c:v>
                </c:pt>
                <c:pt idx="336">
                  <c:v>172.66398780998196</c:v>
                </c:pt>
                <c:pt idx="337">
                  <c:v>172.77642195050413</c:v>
                </c:pt>
                <c:pt idx="338">
                  <c:v>173.31165027480893</c:v>
                </c:pt>
                <c:pt idx="339">
                  <c:v>173.59312817365418</c:v>
                </c:pt>
                <c:pt idx="340">
                  <c:v>173.94837340693985</c:v>
                </c:pt>
                <c:pt idx="341">
                  <c:v>174.00584366754657</c:v>
                </c:pt>
                <c:pt idx="342">
                  <c:v>174.04744480437648</c:v>
                </c:pt>
                <c:pt idx="343">
                  <c:v>174.1633816834088</c:v>
                </c:pt>
                <c:pt idx="344">
                  <c:v>174.36659250769088</c:v>
                </c:pt>
                <c:pt idx="345">
                  <c:v>174.44769026606079</c:v>
                </c:pt>
                <c:pt idx="346">
                  <c:v>174.47282361410024</c:v>
                </c:pt>
                <c:pt idx="347">
                  <c:v>174.48707054556954</c:v>
                </c:pt>
                <c:pt idx="348">
                  <c:v>174.5766598866077</c:v>
                </c:pt>
                <c:pt idx="349">
                  <c:v>174.78417468132301</c:v>
                </c:pt>
                <c:pt idx="350">
                  <c:v>175.26901928176045</c:v>
                </c:pt>
                <c:pt idx="351">
                  <c:v>175.29812355288846</c:v>
                </c:pt>
                <c:pt idx="352">
                  <c:v>175.36704118388295</c:v>
                </c:pt>
                <c:pt idx="353">
                  <c:v>175.89218702835566</c:v>
                </c:pt>
                <c:pt idx="354">
                  <c:v>175.91629360620723</c:v>
                </c:pt>
                <c:pt idx="355">
                  <c:v>175.98237274761095</c:v>
                </c:pt>
                <c:pt idx="356">
                  <c:v>176.19872213192414</c:v>
                </c:pt>
                <c:pt idx="357">
                  <c:v>176.35500150251596</c:v>
                </c:pt>
                <c:pt idx="358">
                  <c:v>176.78487804703988</c:v>
                </c:pt>
                <c:pt idx="359">
                  <c:v>177.03476925068409</c:v>
                </c:pt>
                <c:pt idx="360">
                  <c:v>177.84995146579433</c:v>
                </c:pt>
                <c:pt idx="361">
                  <c:v>177.97862229556281</c:v>
                </c:pt>
                <c:pt idx="362">
                  <c:v>177.98414291011201</c:v>
                </c:pt>
                <c:pt idx="363">
                  <c:v>178.49526630683351</c:v>
                </c:pt>
                <c:pt idx="364">
                  <c:v>178.50396639381154</c:v>
                </c:pt>
                <c:pt idx="365">
                  <c:v>179.50555052535555</c:v>
                </c:pt>
                <c:pt idx="366">
                  <c:v>179.6828540346711</c:v>
                </c:pt>
                <c:pt idx="367">
                  <c:v>180.34347113317565</c:v>
                </c:pt>
                <c:pt idx="368">
                  <c:v>180.65828372892003</c:v>
                </c:pt>
                <c:pt idx="369">
                  <c:v>180.90609406483435</c:v>
                </c:pt>
                <c:pt idx="370">
                  <c:v>181.28031289441412</c:v>
                </c:pt>
                <c:pt idx="371">
                  <c:v>181.78586759986547</c:v>
                </c:pt>
                <c:pt idx="372">
                  <c:v>182.11305370780397</c:v>
                </c:pt>
                <c:pt idx="373">
                  <c:v>182.2240399241752</c:v>
                </c:pt>
                <c:pt idx="374">
                  <c:v>182.34222618466467</c:v>
                </c:pt>
                <c:pt idx="375">
                  <c:v>182.44068903301169</c:v>
                </c:pt>
                <c:pt idx="376">
                  <c:v>183.46780594820083</c:v>
                </c:pt>
                <c:pt idx="377">
                  <c:v>184.4284432076162</c:v>
                </c:pt>
                <c:pt idx="378">
                  <c:v>184.87822843219675</c:v>
                </c:pt>
                <c:pt idx="379">
                  <c:v>185.13103572349854</c:v>
                </c:pt>
                <c:pt idx="380">
                  <c:v>185.41728781076046</c:v>
                </c:pt>
                <c:pt idx="381">
                  <c:v>185.72983561489889</c:v>
                </c:pt>
                <c:pt idx="382">
                  <c:v>185.88215964480327</c:v>
                </c:pt>
                <c:pt idx="383">
                  <c:v>185.91306510476551</c:v>
                </c:pt>
                <c:pt idx="384">
                  <c:v>186.0388647424256</c:v>
                </c:pt>
                <c:pt idx="385">
                  <c:v>186.13627848239673</c:v>
                </c:pt>
                <c:pt idx="386">
                  <c:v>186.36005564672348</c:v>
                </c:pt>
                <c:pt idx="387">
                  <c:v>186.39338730154554</c:v>
                </c:pt>
                <c:pt idx="388">
                  <c:v>187.30301878074528</c:v>
                </c:pt>
                <c:pt idx="389">
                  <c:v>187.87150395769078</c:v>
                </c:pt>
                <c:pt idx="390">
                  <c:v>187.90214189635762</c:v>
                </c:pt>
                <c:pt idx="391">
                  <c:v>187.91061093068993</c:v>
                </c:pt>
                <c:pt idx="392">
                  <c:v>187.9486330495302</c:v>
                </c:pt>
                <c:pt idx="393">
                  <c:v>187.99916660774852</c:v>
                </c:pt>
                <c:pt idx="394">
                  <c:v>188.34972375440324</c:v>
                </c:pt>
                <c:pt idx="395">
                  <c:v>188.70987927304901</c:v>
                </c:pt>
                <c:pt idx="396">
                  <c:v>188.91427014237053</c:v>
                </c:pt>
                <c:pt idx="397">
                  <c:v>189.09199680149786</c:v>
                </c:pt>
                <c:pt idx="398">
                  <c:v>189.14925325450452</c:v>
                </c:pt>
                <c:pt idx="399">
                  <c:v>189.20041446670351</c:v>
                </c:pt>
                <c:pt idx="400">
                  <c:v>189.23364999267386</c:v>
                </c:pt>
                <c:pt idx="401">
                  <c:v>189.72103600808472</c:v>
                </c:pt>
                <c:pt idx="402">
                  <c:v>189.79203070719598</c:v>
                </c:pt>
                <c:pt idx="403">
                  <c:v>190.41449627386265</c:v>
                </c:pt>
                <c:pt idx="404">
                  <c:v>190.4641405158838</c:v>
                </c:pt>
                <c:pt idx="405">
                  <c:v>190.60589449042982</c:v>
                </c:pt>
                <c:pt idx="406">
                  <c:v>190.63979666585669</c:v>
                </c:pt>
                <c:pt idx="407">
                  <c:v>190.7016964139375</c:v>
                </c:pt>
                <c:pt idx="408">
                  <c:v>191.0533591218998</c:v>
                </c:pt>
                <c:pt idx="409">
                  <c:v>191.53566914440208</c:v>
                </c:pt>
                <c:pt idx="410">
                  <c:v>191.65386211001254</c:v>
                </c:pt>
                <c:pt idx="411">
                  <c:v>191.91663832799327</c:v>
                </c:pt>
                <c:pt idx="412">
                  <c:v>191.98245298635106</c:v>
                </c:pt>
                <c:pt idx="413">
                  <c:v>192.37437363603397</c:v>
                </c:pt>
                <c:pt idx="414">
                  <c:v>192.67152296324599</c:v>
                </c:pt>
                <c:pt idx="415">
                  <c:v>192.76819351323761</c:v>
                </c:pt>
                <c:pt idx="416">
                  <c:v>192.84616891776275</c:v>
                </c:pt>
                <c:pt idx="417">
                  <c:v>193.02796084864792</c:v>
                </c:pt>
                <c:pt idx="418">
                  <c:v>193.13175357396833</c:v>
                </c:pt>
                <c:pt idx="419">
                  <c:v>193.13989802861099</c:v>
                </c:pt>
                <c:pt idx="420">
                  <c:v>193.54772512196945</c:v>
                </c:pt>
                <c:pt idx="421">
                  <c:v>193.85019833589303</c:v>
                </c:pt>
                <c:pt idx="422">
                  <c:v>194.13229886398997</c:v>
                </c:pt>
                <c:pt idx="423">
                  <c:v>194.19547057767625</c:v>
                </c:pt>
                <c:pt idx="424">
                  <c:v>194.21210545772166</c:v>
                </c:pt>
                <c:pt idx="425">
                  <c:v>194.30532871634571</c:v>
                </c:pt>
                <c:pt idx="426">
                  <c:v>194.62515599464555</c:v>
                </c:pt>
                <c:pt idx="427">
                  <c:v>194.83762240100958</c:v>
                </c:pt>
                <c:pt idx="428">
                  <c:v>194.84176090936822</c:v>
                </c:pt>
                <c:pt idx="429">
                  <c:v>194.94337791715242</c:v>
                </c:pt>
                <c:pt idx="430">
                  <c:v>195.14122454808299</c:v>
                </c:pt>
                <c:pt idx="431">
                  <c:v>195.14872390625766</c:v>
                </c:pt>
                <c:pt idx="432">
                  <c:v>195.2332207300951</c:v>
                </c:pt>
                <c:pt idx="433">
                  <c:v>195.34932263074546</c:v>
                </c:pt>
                <c:pt idx="434">
                  <c:v>195.4894881214496</c:v>
                </c:pt>
                <c:pt idx="435">
                  <c:v>195.68917650663226</c:v>
                </c:pt>
                <c:pt idx="436">
                  <c:v>195.80392568604927</c:v>
                </c:pt>
                <c:pt idx="437">
                  <c:v>195.9203969944331</c:v>
                </c:pt>
                <c:pt idx="438">
                  <c:v>196.7278185453838</c:v>
                </c:pt>
                <c:pt idx="439">
                  <c:v>196.83536326679661</c:v>
                </c:pt>
                <c:pt idx="440">
                  <c:v>196.94067016017206</c:v>
                </c:pt>
                <c:pt idx="441">
                  <c:v>197.0170589878374</c:v>
                </c:pt>
                <c:pt idx="442">
                  <c:v>197.17274794874925</c:v>
                </c:pt>
                <c:pt idx="443">
                  <c:v>197.18061664793373</c:v>
                </c:pt>
                <c:pt idx="444">
                  <c:v>197.43254896901448</c:v>
                </c:pt>
                <c:pt idx="445">
                  <c:v>197.57823999436653</c:v>
                </c:pt>
                <c:pt idx="446">
                  <c:v>197.86199011402849</c:v>
                </c:pt>
                <c:pt idx="447">
                  <c:v>198.36261748368761</c:v>
                </c:pt>
                <c:pt idx="448">
                  <c:v>198.50855946818561</c:v>
                </c:pt>
                <c:pt idx="449">
                  <c:v>198.52883473197551</c:v>
                </c:pt>
                <c:pt idx="450">
                  <c:v>198.66795613344217</c:v>
                </c:pt>
                <c:pt idx="451">
                  <c:v>198.75936423623116</c:v>
                </c:pt>
                <c:pt idx="452">
                  <c:v>199.04889701452421</c:v>
                </c:pt>
                <c:pt idx="453">
                  <c:v>199.19147754849104</c:v>
                </c:pt>
                <c:pt idx="454">
                  <c:v>199.23851969692282</c:v>
                </c:pt>
                <c:pt idx="455">
                  <c:v>199.33330014043946</c:v>
                </c:pt>
                <c:pt idx="456">
                  <c:v>199.36227555514998</c:v>
                </c:pt>
                <c:pt idx="457">
                  <c:v>199.55627596918714</c:v>
                </c:pt>
                <c:pt idx="458">
                  <c:v>199.62502985508584</c:v>
                </c:pt>
                <c:pt idx="459">
                  <c:v>199.6466482383679</c:v>
                </c:pt>
                <c:pt idx="460">
                  <c:v>199.6958101058334</c:v>
                </c:pt>
                <c:pt idx="461">
                  <c:v>199.8527036536276</c:v>
                </c:pt>
                <c:pt idx="462">
                  <c:v>199.86401508802317</c:v>
                </c:pt>
                <c:pt idx="463">
                  <c:v>199.91872441962283</c:v>
                </c:pt>
                <c:pt idx="464">
                  <c:v>199.95178201616741</c:v>
                </c:pt>
                <c:pt idx="465">
                  <c:v>200.09589609181754</c:v>
                </c:pt>
                <c:pt idx="466">
                  <c:v>200.25461760868006</c:v>
                </c:pt>
                <c:pt idx="467">
                  <c:v>201.24939085740127</c:v>
                </c:pt>
                <c:pt idx="468">
                  <c:v>201.26394586419354</c:v>
                </c:pt>
                <c:pt idx="469">
                  <c:v>201.42970108833052</c:v>
                </c:pt>
                <c:pt idx="470">
                  <c:v>201.73651422025458</c:v>
                </c:pt>
                <c:pt idx="471">
                  <c:v>201.75136955973636</c:v>
                </c:pt>
                <c:pt idx="472">
                  <c:v>201.80695446189213</c:v>
                </c:pt>
                <c:pt idx="473">
                  <c:v>201.90391160282257</c:v>
                </c:pt>
                <c:pt idx="474">
                  <c:v>202.56959779706744</c:v>
                </c:pt>
                <c:pt idx="475">
                  <c:v>202.70513305686413</c:v>
                </c:pt>
                <c:pt idx="476">
                  <c:v>202.85973282313938</c:v>
                </c:pt>
                <c:pt idx="477">
                  <c:v>203.17117354764082</c:v>
                </c:pt>
                <c:pt idx="478">
                  <c:v>203.25624535063645</c:v>
                </c:pt>
                <c:pt idx="479">
                  <c:v>203.3757340049662</c:v>
                </c:pt>
                <c:pt idx="480">
                  <c:v>203.60820330762334</c:v>
                </c:pt>
                <c:pt idx="481">
                  <c:v>203.75364101965954</c:v>
                </c:pt>
                <c:pt idx="482">
                  <c:v>203.93885625752432</c:v>
                </c:pt>
                <c:pt idx="483">
                  <c:v>204.45908406774819</c:v>
                </c:pt>
                <c:pt idx="484">
                  <c:v>205.40373631839788</c:v>
                </c:pt>
                <c:pt idx="485">
                  <c:v>205.44687299174771</c:v>
                </c:pt>
                <c:pt idx="486">
                  <c:v>205.93121011997306</c:v>
                </c:pt>
                <c:pt idx="487">
                  <c:v>206.20063638546</c:v>
                </c:pt>
                <c:pt idx="488">
                  <c:v>206.20097696586944</c:v>
                </c:pt>
                <c:pt idx="489">
                  <c:v>206.57349899873716</c:v>
                </c:pt>
                <c:pt idx="490">
                  <c:v>206.91559263981668</c:v>
                </c:pt>
                <c:pt idx="491">
                  <c:v>207.31545981955981</c:v>
                </c:pt>
                <c:pt idx="492">
                  <c:v>207.55512016197662</c:v>
                </c:pt>
                <c:pt idx="493">
                  <c:v>207.61169961594288</c:v>
                </c:pt>
                <c:pt idx="494">
                  <c:v>207.63310365626791</c:v>
                </c:pt>
                <c:pt idx="495">
                  <c:v>207.64285187885295</c:v>
                </c:pt>
                <c:pt idx="496">
                  <c:v>207.95593873495136</c:v>
                </c:pt>
                <c:pt idx="497">
                  <c:v>208.19703052667592</c:v>
                </c:pt>
                <c:pt idx="498">
                  <c:v>208.51035810025041</c:v>
                </c:pt>
                <c:pt idx="499">
                  <c:v>208.59047385940957</c:v>
                </c:pt>
                <c:pt idx="500">
                  <c:v>208.82034667041205</c:v>
                </c:pt>
                <c:pt idx="501">
                  <c:v>209.14883024355947</c:v>
                </c:pt>
                <c:pt idx="502">
                  <c:v>209.5433433677108</c:v>
                </c:pt>
                <c:pt idx="503">
                  <c:v>209.66925172186487</c:v>
                </c:pt>
                <c:pt idx="504">
                  <c:v>209.77993457551074</c:v>
                </c:pt>
                <c:pt idx="505">
                  <c:v>209.8394130720701</c:v>
                </c:pt>
                <c:pt idx="506">
                  <c:v>209.90054708598407</c:v>
                </c:pt>
                <c:pt idx="507">
                  <c:v>210.66446821999449</c:v>
                </c:pt>
                <c:pt idx="508">
                  <c:v>210.75653982028794</c:v>
                </c:pt>
                <c:pt idx="509">
                  <c:v>210.83760713992271</c:v>
                </c:pt>
                <c:pt idx="510">
                  <c:v>211.04980994436789</c:v>
                </c:pt>
                <c:pt idx="511">
                  <c:v>211.49475282736444</c:v>
                </c:pt>
                <c:pt idx="512">
                  <c:v>211.5720359359841</c:v>
                </c:pt>
                <c:pt idx="513">
                  <c:v>211.80735223360313</c:v>
                </c:pt>
                <c:pt idx="514">
                  <c:v>212.97760095383512</c:v>
                </c:pt>
                <c:pt idx="515">
                  <c:v>213.07922769527357</c:v>
                </c:pt>
                <c:pt idx="516">
                  <c:v>213.39291656764129</c:v>
                </c:pt>
                <c:pt idx="517">
                  <c:v>213.55943878558108</c:v>
                </c:pt>
                <c:pt idx="518">
                  <c:v>213.75887023309636</c:v>
                </c:pt>
                <c:pt idx="519">
                  <c:v>213.82076822451438</c:v>
                </c:pt>
                <c:pt idx="520">
                  <c:v>214.53267397207699</c:v>
                </c:pt>
                <c:pt idx="521">
                  <c:v>214.63866493543694</c:v>
                </c:pt>
                <c:pt idx="522">
                  <c:v>214.96488685017619</c:v>
                </c:pt>
                <c:pt idx="523">
                  <c:v>215.64126875843115</c:v>
                </c:pt>
                <c:pt idx="524">
                  <c:v>215.78756701728068</c:v>
                </c:pt>
                <c:pt idx="525">
                  <c:v>216.63943925568518</c:v>
                </c:pt>
                <c:pt idx="526">
                  <c:v>216.67084053068606</c:v>
                </c:pt>
                <c:pt idx="527">
                  <c:v>216.7801599567407</c:v>
                </c:pt>
                <c:pt idx="528">
                  <c:v>217.01301632215086</c:v>
                </c:pt>
                <c:pt idx="529">
                  <c:v>217.24412808105336</c:v>
                </c:pt>
                <c:pt idx="530">
                  <c:v>217.35481329653697</c:v>
                </c:pt>
                <c:pt idx="531">
                  <c:v>217.82094499769724</c:v>
                </c:pt>
                <c:pt idx="532">
                  <c:v>217.84275372574047</c:v>
                </c:pt>
                <c:pt idx="533">
                  <c:v>217.95403293359567</c:v>
                </c:pt>
                <c:pt idx="534">
                  <c:v>218.15789493995271</c:v>
                </c:pt>
                <c:pt idx="535">
                  <c:v>218.28261480669124</c:v>
                </c:pt>
                <c:pt idx="536">
                  <c:v>218.67872671545868</c:v>
                </c:pt>
                <c:pt idx="537">
                  <c:v>218.74746574894493</c:v>
                </c:pt>
                <c:pt idx="538">
                  <c:v>218.8519589081038</c:v>
                </c:pt>
                <c:pt idx="539">
                  <c:v>219.41240673306189</c:v>
                </c:pt>
                <c:pt idx="540">
                  <c:v>220.45753851041775</c:v>
                </c:pt>
                <c:pt idx="541">
                  <c:v>220.54692094679217</c:v>
                </c:pt>
                <c:pt idx="542">
                  <c:v>220.56781623580375</c:v>
                </c:pt>
                <c:pt idx="543">
                  <c:v>220.8142984082105</c:v>
                </c:pt>
                <c:pt idx="544">
                  <c:v>221.20891259853747</c:v>
                </c:pt>
                <c:pt idx="545">
                  <c:v>221.29943400622994</c:v>
                </c:pt>
                <c:pt idx="546">
                  <c:v>221.34046208663116</c:v>
                </c:pt>
                <c:pt idx="547">
                  <c:v>221.38091171955628</c:v>
                </c:pt>
                <c:pt idx="548">
                  <c:v>221.40946226758439</c:v>
                </c:pt>
                <c:pt idx="549">
                  <c:v>221.66536185983824</c:v>
                </c:pt>
                <c:pt idx="550">
                  <c:v>221.87339472381476</c:v>
                </c:pt>
                <c:pt idx="551">
                  <c:v>222.56994239050309</c:v>
                </c:pt>
                <c:pt idx="552">
                  <c:v>222.65477858033606</c:v>
                </c:pt>
                <c:pt idx="553">
                  <c:v>222.68211596652472</c:v>
                </c:pt>
                <c:pt idx="554">
                  <c:v>222.8661122803021</c:v>
                </c:pt>
                <c:pt idx="555">
                  <c:v>223.00770629101862</c:v>
                </c:pt>
                <c:pt idx="556">
                  <c:v>223.11039157393239</c:v>
                </c:pt>
                <c:pt idx="557">
                  <c:v>223.16248379080923</c:v>
                </c:pt>
                <c:pt idx="558">
                  <c:v>223.21572471019954</c:v>
                </c:pt>
                <c:pt idx="559">
                  <c:v>223.44169318885244</c:v>
                </c:pt>
                <c:pt idx="560">
                  <c:v>223.46493163902073</c:v>
                </c:pt>
                <c:pt idx="561">
                  <c:v>223.84855210081992</c:v>
                </c:pt>
                <c:pt idx="562">
                  <c:v>224.02828136521444</c:v>
                </c:pt>
                <c:pt idx="563">
                  <c:v>224.08231792364606</c:v>
                </c:pt>
                <c:pt idx="564">
                  <c:v>224.6353528852533</c:v>
                </c:pt>
                <c:pt idx="565">
                  <c:v>225.05073993765444</c:v>
                </c:pt>
                <c:pt idx="566">
                  <c:v>225.18325639992779</c:v>
                </c:pt>
                <c:pt idx="567">
                  <c:v>225.261050766491</c:v>
                </c:pt>
                <c:pt idx="568">
                  <c:v>225.4230025796885</c:v>
                </c:pt>
                <c:pt idx="569">
                  <c:v>226.07048116095584</c:v>
                </c:pt>
                <c:pt idx="570">
                  <c:v>226.45199247508023</c:v>
                </c:pt>
                <c:pt idx="571">
                  <c:v>226.51634086581842</c:v>
                </c:pt>
                <c:pt idx="572">
                  <c:v>226.52524723322264</c:v>
                </c:pt>
                <c:pt idx="573">
                  <c:v>226.99538385524707</c:v>
                </c:pt>
                <c:pt idx="574">
                  <c:v>227.08345171470935</c:v>
                </c:pt>
                <c:pt idx="575">
                  <c:v>227.10674824192364</c:v>
                </c:pt>
                <c:pt idx="576">
                  <c:v>227.2210650313269</c:v>
                </c:pt>
                <c:pt idx="577">
                  <c:v>227.34097418486567</c:v>
                </c:pt>
                <c:pt idx="578">
                  <c:v>227.37568525666973</c:v>
                </c:pt>
                <c:pt idx="579">
                  <c:v>227.46689827730336</c:v>
                </c:pt>
                <c:pt idx="580">
                  <c:v>228.00264987233393</c:v>
                </c:pt>
                <c:pt idx="581">
                  <c:v>228.46697251296089</c:v>
                </c:pt>
                <c:pt idx="582">
                  <c:v>228.71939581966308</c:v>
                </c:pt>
                <c:pt idx="583">
                  <c:v>228.9887305927617</c:v>
                </c:pt>
                <c:pt idx="584">
                  <c:v>229.07709154394232</c:v>
                </c:pt>
                <c:pt idx="585">
                  <c:v>229.36589218924496</c:v>
                </c:pt>
                <c:pt idx="586">
                  <c:v>229.4300426566339</c:v>
                </c:pt>
                <c:pt idx="587">
                  <c:v>229.55042523370147</c:v>
                </c:pt>
                <c:pt idx="588">
                  <c:v>229.72886004663744</c:v>
                </c:pt>
                <c:pt idx="589">
                  <c:v>229.83067375702032</c:v>
                </c:pt>
                <c:pt idx="590">
                  <c:v>230.30991389614653</c:v>
                </c:pt>
                <c:pt idx="591">
                  <c:v>230.74330681380982</c:v>
                </c:pt>
                <c:pt idx="592">
                  <c:v>231.16691609324425</c:v>
                </c:pt>
                <c:pt idx="593">
                  <c:v>231.47931462677107</c:v>
                </c:pt>
                <c:pt idx="594">
                  <c:v>231.6008931116933</c:v>
                </c:pt>
                <c:pt idx="595">
                  <c:v>232.01225753504232</c:v>
                </c:pt>
                <c:pt idx="596">
                  <c:v>232.74374972974732</c:v>
                </c:pt>
                <c:pt idx="597">
                  <c:v>233.14494617545122</c:v>
                </c:pt>
                <c:pt idx="598">
                  <c:v>233.29331919846493</c:v>
                </c:pt>
                <c:pt idx="599">
                  <c:v>233.53402839432229</c:v>
                </c:pt>
                <c:pt idx="600">
                  <c:v>233.83733296690136</c:v>
                </c:pt>
                <c:pt idx="601">
                  <c:v>234.97056442549754</c:v>
                </c:pt>
                <c:pt idx="602">
                  <c:v>235.14887999021332</c:v>
                </c:pt>
                <c:pt idx="603">
                  <c:v>235.84123453569802</c:v>
                </c:pt>
                <c:pt idx="604">
                  <c:v>236.19653430727041</c:v>
                </c:pt>
                <c:pt idx="605">
                  <c:v>236.49201790625182</c:v>
                </c:pt>
                <c:pt idx="606">
                  <c:v>237.05652132545092</c:v>
                </c:pt>
                <c:pt idx="607">
                  <c:v>237.27383478864243</c:v>
                </c:pt>
                <c:pt idx="608">
                  <c:v>237.4978632321685</c:v>
                </c:pt>
                <c:pt idx="609">
                  <c:v>237.67675714049486</c:v>
                </c:pt>
                <c:pt idx="610">
                  <c:v>237.9624002700308</c:v>
                </c:pt>
                <c:pt idx="611">
                  <c:v>237.98056306015613</c:v>
                </c:pt>
                <c:pt idx="612">
                  <c:v>238.35526672884433</c:v>
                </c:pt>
                <c:pt idx="613">
                  <c:v>238.53610183639728</c:v>
                </c:pt>
                <c:pt idx="614">
                  <c:v>239.25593366701554</c:v>
                </c:pt>
                <c:pt idx="615">
                  <c:v>240.11550088756144</c:v>
                </c:pt>
                <c:pt idx="616">
                  <c:v>240.17305379941106</c:v>
                </c:pt>
                <c:pt idx="617">
                  <c:v>240.32311862018861</c:v>
                </c:pt>
                <c:pt idx="618">
                  <c:v>240.50321881221797</c:v>
                </c:pt>
                <c:pt idx="619">
                  <c:v>240.66934771729854</c:v>
                </c:pt>
                <c:pt idx="620">
                  <c:v>240.70313957856104</c:v>
                </c:pt>
                <c:pt idx="621">
                  <c:v>240.71071922243755</c:v>
                </c:pt>
                <c:pt idx="622">
                  <c:v>240.75187257577619</c:v>
                </c:pt>
                <c:pt idx="623">
                  <c:v>240.79668536004152</c:v>
                </c:pt>
                <c:pt idx="624">
                  <c:v>241.31660299896953</c:v>
                </c:pt>
                <c:pt idx="625">
                  <c:v>241.55249767995042</c:v>
                </c:pt>
                <c:pt idx="626">
                  <c:v>241.7988776075025</c:v>
                </c:pt>
                <c:pt idx="627">
                  <c:v>242.35666473035948</c:v>
                </c:pt>
                <c:pt idx="628">
                  <c:v>243.0067014263829</c:v>
                </c:pt>
                <c:pt idx="629">
                  <c:v>243.06720419234148</c:v>
                </c:pt>
                <c:pt idx="630">
                  <c:v>243.27715027407936</c:v>
                </c:pt>
                <c:pt idx="631">
                  <c:v>243.34682221095557</c:v>
                </c:pt>
                <c:pt idx="632">
                  <c:v>243.78706891571341</c:v>
                </c:pt>
                <c:pt idx="633">
                  <c:v>244.07830410778141</c:v>
                </c:pt>
                <c:pt idx="634">
                  <c:v>244.17310611903298</c:v>
                </c:pt>
                <c:pt idx="635">
                  <c:v>244.85708728689622</c:v>
                </c:pt>
                <c:pt idx="636">
                  <c:v>244.93605067972146</c:v>
                </c:pt>
                <c:pt idx="637">
                  <c:v>244.94039529916293</c:v>
                </c:pt>
                <c:pt idx="638">
                  <c:v>244.96432998106806</c:v>
                </c:pt>
                <c:pt idx="639">
                  <c:v>245.15755031775657</c:v>
                </c:pt>
                <c:pt idx="640">
                  <c:v>245.38480210334421</c:v>
                </c:pt>
                <c:pt idx="641">
                  <c:v>245.78224422609665</c:v>
                </c:pt>
                <c:pt idx="642">
                  <c:v>245.96817783027831</c:v>
                </c:pt>
                <c:pt idx="643">
                  <c:v>246.03520710232951</c:v>
                </c:pt>
                <c:pt idx="644">
                  <c:v>246.15710251991351</c:v>
                </c:pt>
                <c:pt idx="645">
                  <c:v>246.2261805502601</c:v>
                </c:pt>
                <c:pt idx="646">
                  <c:v>246.50459869532833</c:v>
                </c:pt>
                <c:pt idx="647">
                  <c:v>246.52682908144959</c:v>
                </c:pt>
                <c:pt idx="648">
                  <c:v>246.7830180024248</c:v>
                </c:pt>
                <c:pt idx="649">
                  <c:v>246.82848326232218</c:v>
                </c:pt>
                <c:pt idx="650">
                  <c:v>246.98112511311626</c:v>
                </c:pt>
                <c:pt idx="651">
                  <c:v>247.01983801185756</c:v>
                </c:pt>
                <c:pt idx="652">
                  <c:v>247.28232258338736</c:v>
                </c:pt>
                <c:pt idx="653">
                  <c:v>247.46907845041324</c:v>
                </c:pt>
                <c:pt idx="654">
                  <c:v>247.48165030680013</c:v>
                </c:pt>
                <c:pt idx="655">
                  <c:v>247.58734118912221</c:v>
                </c:pt>
                <c:pt idx="656">
                  <c:v>248.27671602464025</c:v>
                </c:pt>
                <c:pt idx="657">
                  <c:v>248.41419404957475</c:v>
                </c:pt>
                <c:pt idx="658">
                  <c:v>248.4876572897162</c:v>
                </c:pt>
                <c:pt idx="659">
                  <c:v>248.54650936781448</c:v>
                </c:pt>
                <c:pt idx="660">
                  <c:v>248.68476022178325</c:v>
                </c:pt>
                <c:pt idx="661">
                  <c:v>248.98814839163771</c:v>
                </c:pt>
                <c:pt idx="662">
                  <c:v>249.18839651770699</c:v>
                </c:pt>
                <c:pt idx="663">
                  <c:v>249.40639422812825</c:v>
                </c:pt>
                <c:pt idx="664">
                  <c:v>249.45214170844696</c:v>
                </c:pt>
                <c:pt idx="665">
                  <c:v>249.5661348875438</c:v>
                </c:pt>
                <c:pt idx="666">
                  <c:v>249.78083901165934</c:v>
                </c:pt>
                <c:pt idx="667">
                  <c:v>250.17491834016272</c:v>
                </c:pt>
                <c:pt idx="668">
                  <c:v>250.71850714316906</c:v>
                </c:pt>
                <c:pt idx="669">
                  <c:v>250.96310377130382</c:v>
                </c:pt>
                <c:pt idx="670">
                  <c:v>251.46639496253934</c:v>
                </c:pt>
                <c:pt idx="671">
                  <c:v>251.60489685979047</c:v>
                </c:pt>
                <c:pt idx="672">
                  <c:v>251.83282032357147</c:v>
                </c:pt>
                <c:pt idx="673">
                  <c:v>252.02854017484481</c:v>
                </c:pt>
                <c:pt idx="674">
                  <c:v>252.09275850782143</c:v>
                </c:pt>
                <c:pt idx="675">
                  <c:v>252.24818924612404</c:v>
                </c:pt>
                <c:pt idx="676">
                  <c:v>252.34509887080034</c:v>
                </c:pt>
                <c:pt idx="677">
                  <c:v>252.35007727509128</c:v>
                </c:pt>
                <c:pt idx="678">
                  <c:v>252.78273113165608</c:v>
                </c:pt>
                <c:pt idx="679">
                  <c:v>253.03022345065591</c:v>
                </c:pt>
                <c:pt idx="680">
                  <c:v>253.31358366524302</c:v>
                </c:pt>
                <c:pt idx="681">
                  <c:v>253.78261959936444</c:v>
                </c:pt>
                <c:pt idx="682">
                  <c:v>253.85789296637282</c:v>
                </c:pt>
                <c:pt idx="683">
                  <c:v>253.92318202178856</c:v>
                </c:pt>
                <c:pt idx="684">
                  <c:v>254.2431885857518</c:v>
                </c:pt>
                <c:pt idx="685">
                  <c:v>254.69718987404048</c:v>
                </c:pt>
                <c:pt idx="686">
                  <c:v>255.03490207570022</c:v>
                </c:pt>
                <c:pt idx="687">
                  <c:v>255.20735589161561</c:v>
                </c:pt>
                <c:pt idx="688">
                  <c:v>255.55608818181014</c:v>
                </c:pt>
                <c:pt idx="689">
                  <c:v>255.65438828983503</c:v>
                </c:pt>
                <c:pt idx="690">
                  <c:v>255.81330238445514</c:v>
                </c:pt>
                <c:pt idx="691">
                  <c:v>256.06463338578664</c:v>
                </c:pt>
                <c:pt idx="692">
                  <c:v>256.17079918988713</c:v>
                </c:pt>
                <c:pt idx="693">
                  <c:v>256.42394307388372</c:v>
                </c:pt>
                <c:pt idx="694">
                  <c:v>256.78147060545291</c:v>
                </c:pt>
                <c:pt idx="695">
                  <c:v>257.70072600870304</c:v>
                </c:pt>
                <c:pt idx="696">
                  <c:v>257.87305970731688</c:v>
                </c:pt>
                <c:pt idx="697">
                  <c:v>258.08550799083372</c:v>
                </c:pt>
                <c:pt idx="698">
                  <c:v>258.19191119225604</c:v>
                </c:pt>
                <c:pt idx="699">
                  <c:v>258.23292508870026</c:v>
                </c:pt>
                <c:pt idx="700">
                  <c:v>258.39333460574449</c:v>
                </c:pt>
                <c:pt idx="701">
                  <c:v>258.62240490232006</c:v>
                </c:pt>
                <c:pt idx="702">
                  <c:v>259.21400151691137</c:v>
                </c:pt>
                <c:pt idx="703">
                  <c:v>259.28919034233775</c:v>
                </c:pt>
                <c:pt idx="704">
                  <c:v>259.78685777906628</c:v>
                </c:pt>
                <c:pt idx="705">
                  <c:v>259.80806037444586</c:v>
                </c:pt>
                <c:pt idx="706">
                  <c:v>259.83496380745163</c:v>
                </c:pt>
                <c:pt idx="707">
                  <c:v>260.12757555219275</c:v>
                </c:pt>
                <c:pt idx="708">
                  <c:v>260.19205825963849</c:v>
                </c:pt>
                <c:pt idx="709">
                  <c:v>260.6824602139568</c:v>
                </c:pt>
                <c:pt idx="710">
                  <c:v>260.84825075642095</c:v>
                </c:pt>
                <c:pt idx="711">
                  <c:v>260.92359460728869</c:v>
                </c:pt>
                <c:pt idx="712">
                  <c:v>261.33078720902847</c:v>
                </c:pt>
                <c:pt idx="713">
                  <c:v>261.99972702544153</c:v>
                </c:pt>
                <c:pt idx="714">
                  <c:v>262.21778092073009</c:v>
                </c:pt>
                <c:pt idx="715">
                  <c:v>262.55932703886396</c:v>
                </c:pt>
                <c:pt idx="716">
                  <c:v>263.2077070520337</c:v>
                </c:pt>
                <c:pt idx="717">
                  <c:v>264.03505918329938</c:v>
                </c:pt>
                <c:pt idx="718">
                  <c:v>264.13654500518055</c:v>
                </c:pt>
                <c:pt idx="719">
                  <c:v>264.32506608049226</c:v>
                </c:pt>
                <c:pt idx="720">
                  <c:v>264.34842625715839</c:v>
                </c:pt>
                <c:pt idx="721">
                  <c:v>264.36456866672199</c:v>
                </c:pt>
                <c:pt idx="722">
                  <c:v>264.40065088046595</c:v>
                </c:pt>
                <c:pt idx="723">
                  <c:v>264.53577204158933</c:v>
                </c:pt>
                <c:pt idx="724">
                  <c:v>264.54898470237219</c:v>
                </c:pt>
                <c:pt idx="725">
                  <c:v>264.88758540830963</c:v>
                </c:pt>
                <c:pt idx="726">
                  <c:v>265.0125408091136</c:v>
                </c:pt>
                <c:pt idx="727">
                  <c:v>265.14570031999392</c:v>
                </c:pt>
                <c:pt idx="728">
                  <c:v>265.21212847630176</c:v>
                </c:pt>
                <c:pt idx="729">
                  <c:v>265.88086272614231</c:v>
                </c:pt>
                <c:pt idx="730">
                  <c:v>265.98166693418591</c:v>
                </c:pt>
                <c:pt idx="731">
                  <c:v>266.03530818251807</c:v>
                </c:pt>
                <c:pt idx="732">
                  <c:v>266.11240311311997</c:v>
                </c:pt>
                <c:pt idx="733">
                  <c:v>266.15023718843588</c:v>
                </c:pt>
                <c:pt idx="734">
                  <c:v>266.16159381800423</c:v>
                </c:pt>
                <c:pt idx="735">
                  <c:v>267.36446825322912</c:v>
                </c:pt>
                <c:pt idx="736">
                  <c:v>267.47829443784684</c:v>
                </c:pt>
                <c:pt idx="737">
                  <c:v>267.52273034527587</c:v>
                </c:pt>
                <c:pt idx="738">
                  <c:v>267.63873146203218</c:v>
                </c:pt>
                <c:pt idx="739">
                  <c:v>267.71627138642771</c:v>
                </c:pt>
                <c:pt idx="740">
                  <c:v>268.62427951602331</c:v>
                </c:pt>
                <c:pt idx="741">
                  <c:v>269.54083731344627</c:v>
                </c:pt>
                <c:pt idx="742">
                  <c:v>269.83612906123261</c:v>
                </c:pt>
                <c:pt idx="743">
                  <c:v>270.09670755462946</c:v>
                </c:pt>
                <c:pt idx="744">
                  <c:v>270.1103286234474</c:v>
                </c:pt>
                <c:pt idx="745">
                  <c:v>270.28519955946047</c:v>
                </c:pt>
                <c:pt idx="746">
                  <c:v>270.5238737396773</c:v>
                </c:pt>
                <c:pt idx="747">
                  <c:v>270.68151409140296</c:v>
                </c:pt>
                <c:pt idx="748">
                  <c:v>270.98977662844675</c:v>
                </c:pt>
                <c:pt idx="749">
                  <c:v>271.34208581173743</c:v>
                </c:pt>
                <c:pt idx="750">
                  <c:v>271.66291511198602</c:v>
                </c:pt>
                <c:pt idx="751">
                  <c:v>272.11944099226218</c:v>
                </c:pt>
                <c:pt idx="752">
                  <c:v>272.1635396985713</c:v>
                </c:pt>
                <c:pt idx="753">
                  <c:v>272.16638755643856</c:v>
                </c:pt>
                <c:pt idx="754">
                  <c:v>272.29534222042264</c:v>
                </c:pt>
                <c:pt idx="755">
                  <c:v>272.59194433228885</c:v>
                </c:pt>
                <c:pt idx="756">
                  <c:v>272.85564116367084</c:v>
                </c:pt>
                <c:pt idx="757">
                  <c:v>273.03404552747463</c:v>
                </c:pt>
                <c:pt idx="758">
                  <c:v>273.39642456372974</c:v>
                </c:pt>
                <c:pt idx="759">
                  <c:v>273.63322015996863</c:v>
                </c:pt>
                <c:pt idx="760">
                  <c:v>273.74263603878683</c:v>
                </c:pt>
                <c:pt idx="761">
                  <c:v>273.75160946383045</c:v>
                </c:pt>
                <c:pt idx="762">
                  <c:v>273.85223059779673</c:v>
                </c:pt>
                <c:pt idx="763">
                  <c:v>274.10370636538937</c:v>
                </c:pt>
                <c:pt idx="764">
                  <c:v>274.17942949097085</c:v>
                </c:pt>
                <c:pt idx="765">
                  <c:v>274.20851570017646</c:v>
                </c:pt>
                <c:pt idx="766">
                  <c:v>274.72247798799299</c:v>
                </c:pt>
                <c:pt idx="767">
                  <c:v>274.86003115954281</c:v>
                </c:pt>
                <c:pt idx="768">
                  <c:v>275.11728962783081</c:v>
                </c:pt>
                <c:pt idx="769">
                  <c:v>275.1527605951253</c:v>
                </c:pt>
                <c:pt idx="770">
                  <c:v>275.25193633784511</c:v>
                </c:pt>
                <c:pt idx="771">
                  <c:v>275.45885073464711</c:v>
                </c:pt>
                <c:pt idx="772">
                  <c:v>275.60013826207989</c:v>
                </c:pt>
                <c:pt idx="773">
                  <c:v>275.7356314702306</c:v>
                </c:pt>
                <c:pt idx="774">
                  <c:v>275.82575467562719</c:v>
                </c:pt>
                <c:pt idx="775">
                  <c:v>277.10596332168973</c:v>
                </c:pt>
                <c:pt idx="776">
                  <c:v>278.00888160693421</c:v>
                </c:pt>
                <c:pt idx="777">
                  <c:v>278.16343666060948</c:v>
                </c:pt>
                <c:pt idx="778">
                  <c:v>278.36397146055054</c:v>
                </c:pt>
                <c:pt idx="779">
                  <c:v>280.1668565259759</c:v>
                </c:pt>
                <c:pt idx="780">
                  <c:v>280.20506738886843</c:v>
                </c:pt>
                <c:pt idx="781">
                  <c:v>280.53226279005412</c:v>
                </c:pt>
                <c:pt idx="782">
                  <c:v>281.61219557148121</c:v>
                </c:pt>
                <c:pt idx="783">
                  <c:v>281.89623947058396</c:v>
                </c:pt>
                <c:pt idx="784">
                  <c:v>282.04473492849604</c:v>
                </c:pt>
                <c:pt idx="785">
                  <c:v>282.26566894087193</c:v>
                </c:pt>
                <c:pt idx="786">
                  <c:v>282.35147138223095</c:v>
                </c:pt>
                <c:pt idx="787">
                  <c:v>282.40501191861642</c:v>
                </c:pt>
                <c:pt idx="788">
                  <c:v>282.94669821740939</c:v>
                </c:pt>
                <c:pt idx="789">
                  <c:v>283.62878972623173</c:v>
                </c:pt>
                <c:pt idx="790">
                  <c:v>283.95774547388896</c:v>
                </c:pt>
                <c:pt idx="791">
                  <c:v>284.26357591262126</c:v>
                </c:pt>
                <c:pt idx="792">
                  <c:v>284.6332078200187</c:v>
                </c:pt>
                <c:pt idx="793">
                  <c:v>285.04263362805909</c:v>
                </c:pt>
                <c:pt idx="794">
                  <c:v>285.30631708638197</c:v>
                </c:pt>
                <c:pt idx="795">
                  <c:v>285.30896778487386</c:v>
                </c:pt>
                <c:pt idx="796">
                  <c:v>285.76951398992708</c:v>
                </c:pt>
                <c:pt idx="797">
                  <c:v>286.01875249943578</c:v>
                </c:pt>
                <c:pt idx="798">
                  <c:v>286.87815669334049</c:v>
                </c:pt>
                <c:pt idx="799">
                  <c:v>286.89288321060735</c:v>
                </c:pt>
                <c:pt idx="800">
                  <c:v>287.14134291233574</c:v>
                </c:pt>
                <c:pt idx="801">
                  <c:v>287.17892494457374</c:v>
                </c:pt>
                <c:pt idx="802">
                  <c:v>287.4481079366941</c:v>
                </c:pt>
                <c:pt idx="803">
                  <c:v>287.50701730947401</c:v>
                </c:pt>
                <c:pt idx="804">
                  <c:v>287.53094304314482</c:v>
                </c:pt>
                <c:pt idx="805">
                  <c:v>287.62701262922781</c:v>
                </c:pt>
                <c:pt idx="806">
                  <c:v>287.77225418136783</c:v>
                </c:pt>
                <c:pt idx="807">
                  <c:v>287.81798518318288</c:v>
                </c:pt>
                <c:pt idx="808">
                  <c:v>287.89716101421487</c:v>
                </c:pt>
                <c:pt idx="809">
                  <c:v>288.23188975452786</c:v>
                </c:pt>
                <c:pt idx="810">
                  <c:v>288.93042334564126</c:v>
                </c:pt>
                <c:pt idx="811">
                  <c:v>288.9378457832247</c:v>
                </c:pt>
                <c:pt idx="812">
                  <c:v>290.11470554040392</c:v>
                </c:pt>
                <c:pt idx="813">
                  <c:v>290.44392430782204</c:v>
                </c:pt>
                <c:pt idx="814">
                  <c:v>290.85329738528566</c:v>
                </c:pt>
                <c:pt idx="815">
                  <c:v>290.89241700824311</c:v>
                </c:pt>
                <c:pt idx="816">
                  <c:v>291.17419430830267</c:v>
                </c:pt>
                <c:pt idx="817">
                  <c:v>291.26868447392792</c:v>
                </c:pt>
                <c:pt idx="818">
                  <c:v>291.4852089575071</c:v>
                </c:pt>
                <c:pt idx="819">
                  <c:v>291.83720906807241</c:v>
                </c:pt>
                <c:pt idx="820">
                  <c:v>291.91510671987857</c:v>
                </c:pt>
                <c:pt idx="821">
                  <c:v>293.11001015654642</c:v>
                </c:pt>
                <c:pt idx="822">
                  <c:v>293.25004946972399</c:v>
                </c:pt>
                <c:pt idx="823">
                  <c:v>293.28949630856283</c:v>
                </c:pt>
                <c:pt idx="824">
                  <c:v>293.36327010563139</c:v>
                </c:pt>
                <c:pt idx="825">
                  <c:v>293.50610626487077</c:v>
                </c:pt>
                <c:pt idx="826">
                  <c:v>293.66813597935061</c:v>
                </c:pt>
                <c:pt idx="827">
                  <c:v>293.79241738086807</c:v>
                </c:pt>
                <c:pt idx="828">
                  <c:v>293.87345026439812</c:v>
                </c:pt>
                <c:pt idx="829">
                  <c:v>293.92738035503174</c:v>
                </c:pt>
                <c:pt idx="830">
                  <c:v>294.07666895208865</c:v>
                </c:pt>
                <c:pt idx="831">
                  <c:v>294.17665703047601</c:v>
                </c:pt>
                <c:pt idx="832">
                  <c:v>294.22991565496096</c:v>
                </c:pt>
                <c:pt idx="833">
                  <c:v>294.55099963664827</c:v>
                </c:pt>
                <c:pt idx="834">
                  <c:v>294.62409791516586</c:v>
                </c:pt>
                <c:pt idx="835">
                  <c:v>294.82648364074271</c:v>
                </c:pt>
                <c:pt idx="836">
                  <c:v>295.66921024258204</c:v>
                </c:pt>
                <c:pt idx="837">
                  <c:v>295.83610394899739</c:v>
                </c:pt>
                <c:pt idx="838">
                  <c:v>296.51908327893329</c:v>
                </c:pt>
                <c:pt idx="839">
                  <c:v>296.80787615273181</c:v>
                </c:pt>
                <c:pt idx="840">
                  <c:v>297.68289749897872</c:v>
                </c:pt>
                <c:pt idx="841">
                  <c:v>297.71887231561783</c:v>
                </c:pt>
                <c:pt idx="842">
                  <c:v>297.76503530409343</c:v>
                </c:pt>
                <c:pt idx="843">
                  <c:v>299.35452257605232</c:v>
                </c:pt>
                <c:pt idx="844">
                  <c:v>300.13800327615542</c:v>
                </c:pt>
                <c:pt idx="845">
                  <c:v>300.1757882960145</c:v>
                </c:pt>
                <c:pt idx="846">
                  <c:v>300.64803749954604</c:v>
                </c:pt>
                <c:pt idx="847">
                  <c:v>300.84307510640122</c:v>
                </c:pt>
                <c:pt idx="848">
                  <c:v>301.72324295901922</c:v>
                </c:pt>
                <c:pt idx="849">
                  <c:v>302.00110771112463</c:v>
                </c:pt>
                <c:pt idx="850">
                  <c:v>302.15662420947928</c:v>
                </c:pt>
                <c:pt idx="851">
                  <c:v>302.42535757920996</c:v>
                </c:pt>
                <c:pt idx="852">
                  <c:v>302.4994603322408</c:v>
                </c:pt>
                <c:pt idx="853">
                  <c:v>302.62630195733806</c:v>
                </c:pt>
                <c:pt idx="854">
                  <c:v>303.45174126738925</c:v>
                </c:pt>
                <c:pt idx="855">
                  <c:v>303.73748715074396</c:v>
                </c:pt>
                <c:pt idx="856">
                  <c:v>304.47068321639313</c:v>
                </c:pt>
                <c:pt idx="857">
                  <c:v>305.11809413308902</c:v>
                </c:pt>
                <c:pt idx="858">
                  <c:v>305.95634746619203</c:v>
                </c:pt>
                <c:pt idx="859">
                  <c:v>306.05523240130162</c:v>
                </c:pt>
                <c:pt idx="860">
                  <c:v>306.10289941252768</c:v>
                </c:pt>
                <c:pt idx="861">
                  <c:v>306.32679952997449</c:v>
                </c:pt>
                <c:pt idx="862">
                  <c:v>306.8125182684999</c:v>
                </c:pt>
                <c:pt idx="863">
                  <c:v>306.91925516310505</c:v>
                </c:pt>
                <c:pt idx="864">
                  <c:v>307.38849540540252</c:v>
                </c:pt>
                <c:pt idx="865">
                  <c:v>307.85665012460629</c:v>
                </c:pt>
                <c:pt idx="866">
                  <c:v>308.36966402767024</c:v>
                </c:pt>
                <c:pt idx="867">
                  <c:v>308.99150345091186</c:v>
                </c:pt>
                <c:pt idx="868">
                  <c:v>309.13546640077425</c:v>
                </c:pt>
                <c:pt idx="869">
                  <c:v>309.49443642400195</c:v>
                </c:pt>
                <c:pt idx="870">
                  <c:v>310.21245303573232</c:v>
                </c:pt>
                <c:pt idx="871">
                  <c:v>310.41757869717969</c:v>
                </c:pt>
                <c:pt idx="872">
                  <c:v>310.57986559153966</c:v>
                </c:pt>
                <c:pt idx="873">
                  <c:v>310.65795825813944</c:v>
                </c:pt>
                <c:pt idx="874">
                  <c:v>310.73325952027005</c:v>
                </c:pt>
                <c:pt idx="875">
                  <c:v>311.54289721674121</c:v>
                </c:pt>
                <c:pt idx="876">
                  <c:v>311.54510740145554</c:v>
                </c:pt>
                <c:pt idx="877">
                  <c:v>311.5859977089209</c:v>
                </c:pt>
                <c:pt idx="878">
                  <c:v>312.05969684348855</c:v>
                </c:pt>
                <c:pt idx="879">
                  <c:v>312.85355336874528</c:v>
                </c:pt>
                <c:pt idx="880">
                  <c:v>312.85765726361308</c:v>
                </c:pt>
                <c:pt idx="881">
                  <c:v>312.86551725421208</c:v>
                </c:pt>
                <c:pt idx="882">
                  <c:v>313.10989801847336</c:v>
                </c:pt>
                <c:pt idx="883">
                  <c:v>314.55591191773726</c:v>
                </c:pt>
                <c:pt idx="884">
                  <c:v>314.57390291376123</c:v>
                </c:pt>
                <c:pt idx="885">
                  <c:v>314.99697828460364</c:v>
                </c:pt>
                <c:pt idx="886">
                  <c:v>315.70361598038482</c:v>
                </c:pt>
                <c:pt idx="887">
                  <c:v>316.31755005652815</c:v>
                </c:pt>
                <c:pt idx="888">
                  <c:v>316.97169424457945</c:v>
                </c:pt>
                <c:pt idx="889">
                  <c:v>317.48753071218266</c:v>
                </c:pt>
                <c:pt idx="890">
                  <c:v>317.54843589239982</c:v>
                </c:pt>
                <c:pt idx="891">
                  <c:v>317.7832945627066</c:v>
                </c:pt>
                <c:pt idx="892">
                  <c:v>318.81968884808413</c:v>
                </c:pt>
                <c:pt idx="893">
                  <c:v>318.88069921383078</c:v>
                </c:pt>
                <c:pt idx="894">
                  <c:v>318.96782269265486</c:v>
                </c:pt>
                <c:pt idx="895">
                  <c:v>319.13295689090569</c:v>
                </c:pt>
                <c:pt idx="896">
                  <c:v>319.72681763527169</c:v>
                </c:pt>
                <c:pt idx="897">
                  <c:v>319.86253745988233</c:v>
                </c:pt>
                <c:pt idx="898">
                  <c:v>319.91703468513276</c:v>
                </c:pt>
                <c:pt idx="899">
                  <c:v>320.09558455672465</c:v>
                </c:pt>
                <c:pt idx="900">
                  <c:v>320.25811301917383</c:v>
                </c:pt>
                <c:pt idx="901">
                  <c:v>321.37261527183557</c:v>
                </c:pt>
                <c:pt idx="902">
                  <c:v>321.57883555335621</c:v>
                </c:pt>
                <c:pt idx="903">
                  <c:v>322.10790510002471</c:v>
                </c:pt>
                <c:pt idx="904">
                  <c:v>322.4792551398607</c:v>
                </c:pt>
                <c:pt idx="905">
                  <c:v>322.65121562211721</c:v>
                </c:pt>
                <c:pt idx="906">
                  <c:v>323.95600286524302</c:v>
                </c:pt>
                <c:pt idx="907">
                  <c:v>324.27544107944044</c:v>
                </c:pt>
                <c:pt idx="908">
                  <c:v>324.38515122427987</c:v>
                </c:pt>
                <c:pt idx="909">
                  <c:v>324.73305857186449</c:v>
                </c:pt>
                <c:pt idx="910">
                  <c:v>324.80105124469469</c:v>
                </c:pt>
                <c:pt idx="911">
                  <c:v>326.72762181348673</c:v>
                </c:pt>
                <c:pt idx="912">
                  <c:v>327.29604043682389</c:v>
                </c:pt>
                <c:pt idx="913">
                  <c:v>328.70035916696577</c:v>
                </c:pt>
                <c:pt idx="914">
                  <c:v>329.16263511253982</c:v>
                </c:pt>
                <c:pt idx="915">
                  <c:v>331.28114139509165</c:v>
                </c:pt>
                <c:pt idx="916">
                  <c:v>332.02492129210077</c:v>
                </c:pt>
                <c:pt idx="917">
                  <c:v>333.52016615586876</c:v>
                </c:pt>
                <c:pt idx="918">
                  <c:v>333.5352147683011</c:v>
                </c:pt>
                <c:pt idx="919">
                  <c:v>333.60397241208273</c:v>
                </c:pt>
                <c:pt idx="920">
                  <c:v>333.68528436144572</c:v>
                </c:pt>
                <c:pt idx="921">
                  <c:v>334.09996670568523</c:v>
                </c:pt>
                <c:pt idx="922">
                  <c:v>334.67653569554886</c:v>
                </c:pt>
                <c:pt idx="923">
                  <c:v>338.85780409482084</c:v>
                </c:pt>
                <c:pt idx="924">
                  <c:v>339.06852512033788</c:v>
                </c:pt>
                <c:pt idx="925">
                  <c:v>341.59680080815127</c:v>
                </c:pt>
                <c:pt idx="926">
                  <c:v>342.71333085533917</c:v>
                </c:pt>
                <c:pt idx="927">
                  <c:v>342.83894769982015</c:v>
                </c:pt>
                <c:pt idx="928">
                  <c:v>343.02909295220616</c:v>
                </c:pt>
                <c:pt idx="929">
                  <c:v>343.40552812040528</c:v>
                </c:pt>
                <c:pt idx="930">
                  <c:v>345.83100352638581</c:v>
                </c:pt>
                <c:pt idx="931">
                  <c:v>346.07560633273891</c:v>
                </c:pt>
                <c:pt idx="932">
                  <c:v>346.49927383837593</c:v>
                </c:pt>
                <c:pt idx="933">
                  <c:v>348.97646652912397</c:v>
                </c:pt>
                <c:pt idx="934">
                  <c:v>348.99323380395094</c:v>
                </c:pt>
                <c:pt idx="935">
                  <c:v>350.21894989153816</c:v>
                </c:pt>
                <c:pt idx="936">
                  <c:v>352.88947938676881</c:v>
                </c:pt>
                <c:pt idx="937">
                  <c:v>353.46620897937271</c:v>
                </c:pt>
                <c:pt idx="938">
                  <c:v>354.30274610110558</c:v>
                </c:pt>
                <c:pt idx="939">
                  <c:v>355.72241245900869</c:v>
                </c:pt>
                <c:pt idx="940">
                  <c:v>356.01065909129642</c:v>
                </c:pt>
                <c:pt idx="941">
                  <c:v>356.50493172883091</c:v>
                </c:pt>
                <c:pt idx="942">
                  <c:v>359.11327896281659</c:v>
                </c:pt>
                <c:pt idx="943">
                  <c:v>361.41790065725331</c:v>
                </c:pt>
                <c:pt idx="944">
                  <c:v>362.4816545985135</c:v>
                </c:pt>
                <c:pt idx="945">
                  <c:v>362.89209935723261</c:v>
                </c:pt>
                <c:pt idx="946">
                  <c:v>363.24486442434835</c:v>
                </c:pt>
                <c:pt idx="947">
                  <c:v>364.332095363137</c:v>
                </c:pt>
                <c:pt idx="948">
                  <c:v>366.12492771441191</c:v>
                </c:pt>
                <c:pt idx="949">
                  <c:v>367.13254410101041</c:v>
                </c:pt>
                <c:pt idx="950">
                  <c:v>367.94699780055919</c:v>
                </c:pt>
                <c:pt idx="951">
                  <c:v>369.68917156804014</c:v>
                </c:pt>
                <c:pt idx="952">
                  <c:v>372.06390111892381</c:v>
                </c:pt>
                <c:pt idx="953">
                  <c:v>372.3297038134138</c:v>
                </c:pt>
                <c:pt idx="954">
                  <c:v>372.97618641819531</c:v>
                </c:pt>
                <c:pt idx="955">
                  <c:v>376.33149445645313</c:v>
                </c:pt>
                <c:pt idx="956">
                  <c:v>377.72580525465145</c:v>
                </c:pt>
                <c:pt idx="957">
                  <c:v>378.23961959585517</c:v>
                </c:pt>
                <c:pt idx="958">
                  <c:v>378.90339576323595</c:v>
                </c:pt>
                <c:pt idx="959">
                  <c:v>379.67726292319179</c:v>
                </c:pt>
                <c:pt idx="960">
                  <c:v>380.69564544947309</c:v>
                </c:pt>
                <c:pt idx="961">
                  <c:v>381.62176343716038</c:v>
                </c:pt>
                <c:pt idx="962">
                  <c:v>381.71696368184411</c:v>
                </c:pt>
                <c:pt idx="963">
                  <c:v>382.5092550585556</c:v>
                </c:pt>
                <c:pt idx="964">
                  <c:v>384.37785891984885</c:v>
                </c:pt>
                <c:pt idx="965">
                  <c:v>384.50224426323985</c:v>
                </c:pt>
                <c:pt idx="966">
                  <c:v>384.88296277765778</c:v>
                </c:pt>
                <c:pt idx="967">
                  <c:v>387.03890818617765</c:v>
                </c:pt>
                <c:pt idx="968">
                  <c:v>392.93796465796333</c:v>
                </c:pt>
                <c:pt idx="969">
                  <c:v>393.55614227172589</c:v>
                </c:pt>
                <c:pt idx="970">
                  <c:v>394.11793700969389</c:v>
                </c:pt>
                <c:pt idx="971">
                  <c:v>394.48039159926662</c:v>
                </c:pt>
                <c:pt idx="972">
                  <c:v>400.81844907323824</c:v>
                </c:pt>
                <c:pt idx="973">
                  <c:v>401.90304193017994</c:v>
                </c:pt>
                <c:pt idx="974">
                  <c:v>408.07398107169115</c:v>
                </c:pt>
                <c:pt idx="975">
                  <c:v>409.84768083734286</c:v>
                </c:pt>
                <c:pt idx="976">
                  <c:v>413.36605862969577</c:v>
                </c:pt>
                <c:pt idx="977">
                  <c:v>413.9942902657304</c:v>
                </c:pt>
                <c:pt idx="978">
                  <c:v>414.77298149924923</c:v>
                </c:pt>
                <c:pt idx="979">
                  <c:v>415.40609867906016</c:v>
                </c:pt>
                <c:pt idx="980">
                  <c:v>425.45475399275773</c:v>
                </c:pt>
                <c:pt idx="981">
                  <c:v>427.2247392508815</c:v>
                </c:pt>
                <c:pt idx="982">
                  <c:v>430.28755841625468</c:v>
                </c:pt>
                <c:pt idx="983">
                  <c:v>435.02070663847235</c:v>
                </c:pt>
                <c:pt idx="984">
                  <c:v>435.53879675186334</c:v>
                </c:pt>
                <c:pt idx="985">
                  <c:v>438.69323915378754</c:v>
                </c:pt>
                <c:pt idx="986">
                  <c:v>438.98893394627117</c:v>
                </c:pt>
                <c:pt idx="987">
                  <c:v>440.97001060527185</c:v>
                </c:pt>
                <c:pt idx="988">
                  <c:v>441.87347993722653</c:v>
                </c:pt>
                <c:pt idx="989">
                  <c:v>446.64257229037742</c:v>
                </c:pt>
                <c:pt idx="990">
                  <c:v>453.38501691163447</c:v>
                </c:pt>
                <c:pt idx="991">
                  <c:v>453.73977835496498</c:v>
                </c:pt>
                <c:pt idx="992">
                  <c:v>458.41920966604812</c:v>
                </c:pt>
                <c:pt idx="993">
                  <c:v>458.84253337896871</c:v>
                </c:pt>
                <c:pt idx="994">
                  <c:v>492.66280927895718</c:v>
                </c:pt>
                <c:pt idx="995">
                  <c:v>494.31731835481798</c:v>
                </c:pt>
                <c:pt idx="996">
                  <c:v>496.7656291650228</c:v>
                </c:pt>
                <c:pt idx="997">
                  <c:v>500.55830308538532</c:v>
                </c:pt>
                <c:pt idx="998">
                  <c:v>500.70252918297018</c:v>
                </c:pt>
                <c:pt idx="999">
                  <c:v>575.40246067141879</c:v>
                </c:pt>
              </c:numCache>
            </c:numRef>
          </c:xVal>
          <c:yVal>
            <c:numRef>
              <c:f>'Iter No Test'!$AO$3:$AO$1002</c:f>
              <c:numCache>
                <c:formatCode>General</c:formatCode>
                <c:ptCount val="1000"/>
                <c:pt idx="0">
                  <c:v>0</c:v>
                </c:pt>
                <c:pt idx="1">
                  <c:v>1.001001001001001E-3</c:v>
                </c:pt>
                <c:pt idx="2">
                  <c:v>2.002002002002002E-3</c:v>
                </c:pt>
                <c:pt idx="3">
                  <c:v>3.003003003003003E-3</c:v>
                </c:pt>
                <c:pt idx="4">
                  <c:v>4.004004004004004E-3</c:v>
                </c:pt>
                <c:pt idx="5">
                  <c:v>5.005005005005005E-3</c:v>
                </c:pt>
                <c:pt idx="6">
                  <c:v>6.006006006006006E-3</c:v>
                </c:pt>
                <c:pt idx="7">
                  <c:v>7.0070070070070069E-3</c:v>
                </c:pt>
                <c:pt idx="8">
                  <c:v>8.0080080080080079E-3</c:v>
                </c:pt>
                <c:pt idx="9">
                  <c:v>9.0090090090090089E-3</c:v>
                </c:pt>
                <c:pt idx="10">
                  <c:v>1.001001001001001E-2</c:v>
                </c:pt>
                <c:pt idx="11">
                  <c:v>1.1011011011011011E-2</c:v>
                </c:pt>
                <c:pt idx="12">
                  <c:v>1.2012012012012012E-2</c:v>
                </c:pt>
                <c:pt idx="13">
                  <c:v>1.3013013013013013E-2</c:v>
                </c:pt>
                <c:pt idx="14">
                  <c:v>1.4014014014014014E-2</c:v>
                </c:pt>
                <c:pt idx="15">
                  <c:v>1.5015015015015015E-2</c:v>
                </c:pt>
                <c:pt idx="16">
                  <c:v>1.6016016016016016E-2</c:v>
                </c:pt>
                <c:pt idx="17">
                  <c:v>1.7017017017017015E-2</c:v>
                </c:pt>
                <c:pt idx="18">
                  <c:v>1.8018018018018014E-2</c:v>
                </c:pt>
                <c:pt idx="19">
                  <c:v>1.9019019019019014E-2</c:v>
                </c:pt>
                <c:pt idx="20">
                  <c:v>2.0020020020020013E-2</c:v>
                </c:pt>
                <c:pt idx="21">
                  <c:v>2.1021021021021012E-2</c:v>
                </c:pt>
                <c:pt idx="22">
                  <c:v>2.2022022022022011E-2</c:v>
                </c:pt>
                <c:pt idx="23">
                  <c:v>2.3023023023023011E-2</c:v>
                </c:pt>
                <c:pt idx="24">
                  <c:v>2.402402402402401E-2</c:v>
                </c:pt>
                <c:pt idx="25">
                  <c:v>2.5025025025025009E-2</c:v>
                </c:pt>
                <c:pt idx="26">
                  <c:v>2.6026026026026008E-2</c:v>
                </c:pt>
                <c:pt idx="27">
                  <c:v>2.7027027027027008E-2</c:v>
                </c:pt>
                <c:pt idx="28">
                  <c:v>2.8028028028028007E-2</c:v>
                </c:pt>
                <c:pt idx="29">
                  <c:v>2.9029029029029006E-2</c:v>
                </c:pt>
                <c:pt idx="30">
                  <c:v>3.0030030030030005E-2</c:v>
                </c:pt>
                <c:pt idx="31">
                  <c:v>3.1031031031031005E-2</c:v>
                </c:pt>
                <c:pt idx="32">
                  <c:v>3.2032032032032004E-2</c:v>
                </c:pt>
                <c:pt idx="33">
                  <c:v>3.3033033033033003E-2</c:v>
                </c:pt>
                <c:pt idx="34">
                  <c:v>3.4034034034034003E-2</c:v>
                </c:pt>
                <c:pt idx="35">
                  <c:v>3.5035035035035002E-2</c:v>
                </c:pt>
                <c:pt idx="36">
                  <c:v>3.6036036036036001E-2</c:v>
                </c:pt>
                <c:pt idx="37">
                  <c:v>3.7037037037037E-2</c:v>
                </c:pt>
                <c:pt idx="38">
                  <c:v>3.8038038038038E-2</c:v>
                </c:pt>
                <c:pt idx="39">
                  <c:v>3.9039039039038999E-2</c:v>
                </c:pt>
                <c:pt idx="40">
                  <c:v>4.0040040040039998E-2</c:v>
                </c:pt>
                <c:pt idx="41">
                  <c:v>4.1041041041040997E-2</c:v>
                </c:pt>
                <c:pt idx="42">
                  <c:v>4.2042042042041997E-2</c:v>
                </c:pt>
                <c:pt idx="43">
                  <c:v>4.3043043043042996E-2</c:v>
                </c:pt>
                <c:pt idx="44">
                  <c:v>4.4044044044043995E-2</c:v>
                </c:pt>
                <c:pt idx="45">
                  <c:v>4.5045045045044994E-2</c:v>
                </c:pt>
                <c:pt idx="46">
                  <c:v>4.6046046046045994E-2</c:v>
                </c:pt>
                <c:pt idx="47">
                  <c:v>4.7047047047046993E-2</c:v>
                </c:pt>
                <c:pt idx="48">
                  <c:v>4.8048048048047992E-2</c:v>
                </c:pt>
                <c:pt idx="49">
                  <c:v>4.9049049049048991E-2</c:v>
                </c:pt>
                <c:pt idx="50">
                  <c:v>5.0050050050049991E-2</c:v>
                </c:pt>
                <c:pt idx="51">
                  <c:v>5.105105105105099E-2</c:v>
                </c:pt>
                <c:pt idx="52">
                  <c:v>5.2052052052051989E-2</c:v>
                </c:pt>
                <c:pt idx="53">
                  <c:v>5.3053053053052988E-2</c:v>
                </c:pt>
                <c:pt idx="54">
                  <c:v>5.4054054054053988E-2</c:v>
                </c:pt>
                <c:pt idx="55">
                  <c:v>5.5055055055054987E-2</c:v>
                </c:pt>
                <c:pt idx="56">
                  <c:v>5.6056056056055986E-2</c:v>
                </c:pt>
                <c:pt idx="57">
                  <c:v>5.7057057057056985E-2</c:v>
                </c:pt>
                <c:pt idx="58">
                  <c:v>5.8058058058057985E-2</c:v>
                </c:pt>
                <c:pt idx="59">
                  <c:v>5.9059059059058984E-2</c:v>
                </c:pt>
                <c:pt idx="60">
                  <c:v>6.0060060060059983E-2</c:v>
                </c:pt>
                <c:pt idx="61">
                  <c:v>6.1061061061060982E-2</c:v>
                </c:pt>
                <c:pt idx="62">
                  <c:v>6.2062062062061982E-2</c:v>
                </c:pt>
                <c:pt idx="63">
                  <c:v>6.3063063063062988E-2</c:v>
                </c:pt>
                <c:pt idx="64">
                  <c:v>6.4064064064063994E-2</c:v>
                </c:pt>
                <c:pt idx="65">
                  <c:v>6.5065065065065E-2</c:v>
                </c:pt>
                <c:pt idx="66">
                  <c:v>6.6066066066066007E-2</c:v>
                </c:pt>
                <c:pt idx="67">
                  <c:v>6.7067067067067013E-2</c:v>
                </c:pt>
                <c:pt idx="68">
                  <c:v>6.8068068068068019E-2</c:v>
                </c:pt>
                <c:pt idx="69">
                  <c:v>6.9069069069069025E-2</c:v>
                </c:pt>
                <c:pt idx="70">
                  <c:v>7.0070070070070031E-2</c:v>
                </c:pt>
                <c:pt idx="71">
                  <c:v>7.1071071071071037E-2</c:v>
                </c:pt>
                <c:pt idx="72">
                  <c:v>7.2072072072072044E-2</c:v>
                </c:pt>
                <c:pt idx="73">
                  <c:v>7.307307307307305E-2</c:v>
                </c:pt>
                <c:pt idx="74">
                  <c:v>7.4074074074074056E-2</c:v>
                </c:pt>
                <c:pt idx="75">
                  <c:v>7.5075075075075062E-2</c:v>
                </c:pt>
                <c:pt idx="76">
                  <c:v>7.6076076076076068E-2</c:v>
                </c:pt>
                <c:pt idx="77">
                  <c:v>7.7077077077077075E-2</c:v>
                </c:pt>
                <c:pt idx="78">
                  <c:v>7.8078078078078081E-2</c:v>
                </c:pt>
                <c:pt idx="79">
                  <c:v>7.9079079079079087E-2</c:v>
                </c:pt>
                <c:pt idx="80">
                  <c:v>8.0080080080080093E-2</c:v>
                </c:pt>
                <c:pt idx="81">
                  <c:v>8.1081081081081099E-2</c:v>
                </c:pt>
                <c:pt idx="82">
                  <c:v>8.2082082082082106E-2</c:v>
                </c:pt>
                <c:pt idx="83">
                  <c:v>8.3083083083083112E-2</c:v>
                </c:pt>
                <c:pt idx="84">
                  <c:v>8.4084084084084118E-2</c:v>
                </c:pt>
                <c:pt idx="85">
                  <c:v>8.5085085085085124E-2</c:v>
                </c:pt>
                <c:pt idx="86">
                  <c:v>8.608608608608613E-2</c:v>
                </c:pt>
                <c:pt idx="87">
                  <c:v>8.7087087087087137E-2</c:v>
                </c:pt>
                <c:pt idx="88">
                  <c:v>8.8088088088088143E-2</c:v>
                </c:pt>
                <c:pt idx="89">
                  <c:v>8.9089089089089149E-2</c:v>
                </c:pt>
                <c:pt idx="90">
                  <c:v>9.0090090090090155E-2</c:v>
                </c:pt>
                <c:pt idx="91">
                  <c:v>9.1091091091091161E-2</c:v>
                </c:pt>
                <c:pt idx="92">
                  <c:v>9.2092092092092168E-2</c:v>
                </c:pt>
                <c:pt idx="93">
                  <c:v>9.3093093093093174E-2</c:v>
                </c:pt>
                <c:pt idx="94">
                  <c:v>9.409409409409418E-2</c:v>
                </c:pt>
                <c:pt idx="95">
                  <c:v>9.5095095095095186E-2</c:v>
                </c:pt>
                <c:pt idx="96">
                  <c:v>9.6096096096096192E-2</c:v>
                </c:pt>
                <c:pt idx="97">
                  <c:v>9.7097097097097199E-2</c:v>
                </c:pt>
                <c:pt idx="98">
                  <c:v>9.8098098098098205E-2</c:v>
                </c:pt>
                <c:pt idx="99">
                  <c:v>9.9099099099099211E-2</c:v>
                </c:pt>
                <c:pt idx="100">
                  <c:v>0.10010010010010022</c:v>
                </c:pt>
                <c:pt idx="101">
                  <c:v>0.10110110110110122</c:v>
                </c:pt>
                <c:pt idx="102">
                  <c:v>0.10210210210210223</c:v>
                </c:pt>
                <c:pt idx="103">
                  <c:v>0.10310310310310324</c:v>
                </c:pt>
                <c:pt idx="104">
                  <c:v>0.10410410410410424</c:v>
                </c:pt>
                <c:pt idx="105">
                  <c:v>0.10510510510510525</c:v>
                </c:pt>
                <c:pt idx="106">
                  <c:v>0.10610610610610625</c:v>
                </c:pt>
                <c:pt idx="107">
                  <c:v>0.10710710710710726</c:v>
                </c:pt>
                <c:pt idx="108">
                  <c:v>0.10810810810810827</c:v>
                </c:pt>
                <c:pt idx="109">
                  <c:v>0.10910910910910927</c:v>
                </c:pt>
                <c:pt idx="110">
                  <c:v>0.11011011011011028</c:v>
                </c:pt>
                <c:pt idx="111">
                  <c:v>0.11111111111111129</c:v>
                </c:pt>
                <c:pt idx="112">
                  <c:v>0.11211211211211229</c:v>
                </c:pt>
                <c:pt idx="113">
                  <c:v>0.1131131131131133</c:v>
                </c:pt>
                <c:pt idx="114">
                  <c:v>0.1141141141141143</c:v>
                </c:pt>
                <c:pt idx="115">
                  <c:v>0.11511511511511531</c:v>
                </c:pt>
                <c:pt idx="116">
                  <c:v>0.11611611611611632</c:v>
                </c:pt>
                <c:pt idx="117">
                  <c:v>0.11711711711711732</c:v>
                </c:pt>
                <c:pt idx="118">
                  <c:v>0.11811811811811833</c:v>
                </c:pt>
                <c:pt idx="119">
                  <c:v>0.11911911911911933</c:v>
                </c:pt>
                <c:pt idx="120">
                  <c:v>0.12012012012012034</c:v>
                </c:pt>
                <c:pt idx="121">
                  <c:v>0.12112112112112135</c:v>
                </c:pt>
                <c:pt idx="122">
                  <c:v>0.12212212212212235</c:v>
                </c:pt>
                <c:pt idx="123">
                  <c:v>0.12312312312312336</c:v>
                </c:pt>
                <c:pt idx="124">
                  <c:v>0.12412412412412437</c:v>
                </c:pt>
                <c:pt idx="125">
                  <c:v>0.12512512512512536</c:v>
                </c:pt>
                <c:pt idx="126">
                  <c:v>0.12612612612612636</c:v>
                </c:pt>
                <c:pt idx="127">
                  <c:v>0.12712712712712737</c:v>
                </c:pt>
                <c:pt idx="128">
                  <c:v>0.12812812812812838</c:v>
                </c:pt>
                <c:pt idx="129">
                  <c:v>0.12912912912912938</c:v>
                </c:pt>
                <c:pt idx="130">
                  <c:v>0.13013013013013039</c:v>
                </c:pt>
                <c:pt idx="131">
                  <c:v>0.1311311311311314</c:v>
                </c:pt>
                <c:pt idx="132">
                  <c:v>0.1321321321321324</c:v>
                </c:pt>
                <c:pt idx="133">
                  <c:v>0.13313313313313341</c:v>
                </c:pt>
                <c:pt idx="134">
                  <c:v>0.13413413413413441</c:v>
                </c:pt>
                <c:pt idx="135">
                  <c:v>0.13513513513513542</c:v>
                </c:pt>
                <c:pt idx="136">
                  <c:v>0.13613613613613643</c:v>
                </c:pt>
                <c:pt idx="137">
                  <c:v>0.13713713713713743</c:v>
                </c:pt>
                <c:pt idx="138">
                  <c:v>0.13813813813813844</c:v>
                </c:pt>
                <c:pt idx="139">
                  <c:v>0.13913913913913944</c:v>
                </c:pt>
                <c:pt idx="140">
                  <c:v>0.14014014014014045</c:v>
                </c:pt>
                <c:pt idx="141">
                  <c:v>0.14114114114114146</c:v>
                </c:pt>
                <c:pt idx="142">
                  <c:v>0.14214214214214246</c:v>
                </c:pt>
                <c:pt idx="143">
                  <c:v>0.14314314314314347</c:v>
                </c:pt>
                <c:pt idx="144">
                  <c:v>0.14414414414414448</c:v>
                </c:pt>
                <c:pt idx="145">
                  <c:v>0.14514514514514548</c:v>
                </c:pt>
                <c:pt idx="146">
                  <c:v>0.14614614614614649</c:v>
                </c:pt>
                <c:pt idx="147">
                  <c:v>0.14714714714714749</c:v>
                </c:pt>
                <c:pt idx="148">
                  <c:v>0.1481481481481485</c:v>
                </c:pt>
                <c:pt idx="149">
                  <c:v>0.14914914914914951</c:v>
                </c:pt>
                <c:pt idx="150">
                  <c:v>0.15015015015015051</c:v>
                </c:pt>
                <c:pt idx="151">
                  <c:v>0.15115115115115152</c:v>
                </c:pt>
                <c:pt idx="152">
                  <c:v>0.15215215215215253</c:v>
                </c:pt>
                <c:pt idx="153">
                  <c:v>0.15315315315315353</c:v>
                </c:pt>
                <c:pt idx="154">
                  <c:v>0.15415415415415454</c:v>
                </c:pt>
                <c:pt idx="155">
                  <c:v>0.15515515515515554</c:v>
                </c:pt>
                <c:pt idx="156">
                  <c:v>0.15615615615615655</c:v>
                </c:pt>
                <c:pt idx="157">
                  <c:v>0.15715715715715756</c:v>
                </c:pt>
                <c:pt idx="158">
                  <c:v>0.15815815815815856</c:v>
                </c:pt>
                <c:pt idx="159">
                  <c:v>0.15915915915915957</c:v>
                </c:pt>
                <c:pt idx="160">
                  <c:v>0.16016016016016058</c:v>
                </c:pt>
                <c:pt idx="161">
                  <c:v>0.16116116116116158</c:v>
                </c:pt>
                <c:pt idx="162">
                  <c:v>0.16216216216216259</c:v>
                </c:pt>
                <c:pt idx="163">
                  <c:v>0.16316316316316359</c:v>
                </c:pt>
                <c:pt idx="164">
                  <c:v>0.1641641641641646</c:v>
                </c:pt>
                <c:pt idx="165">
                  <c:v>0.16516516516516561</c:v>
                </c:pt>
                <c:pt idx="166">
                  <c:v>0.16616616616616661</c:v>
                </c:pt>
                <c:pt idx="167">
                  <c:v>0.16716716716716762</c:v>
                </c:pt>
                <c:pt idx="168">
                  <c:v>0.16816816816816862</c:v>
                </c:pt>
                <c:pt idx="169">
                  <c:v>0.16916916916916963</c:v>
                </c:pt>
                <c:pt idx="170">
                  <c:v>0.17017017017017064</c:v>
                </c:pt>
                <c:pt idx="171">
                  <c:v>0.17117117117117164</c:v>
                </c:pt>
                <c:pt idx="172">
                  <c:v>0.17217217217217265</c:v>
                </c:pt>
                <c:pt idx="173">
                  <c:v>0.17317317317317366</c:v>
                </c:pt>
                <c:pt idx="174">
                  <c:v>0.17417417417417466</c:v>
                </c:pt>
                <c:pt idx="175">
                  <c:v>0.17517517517517567</c:v>
                </c:pt>
                <c:pt idx="176">
                  <c:v>0.17617617617617667</c:v>
                </c:pt>
                <c:pt idx="177">
                  <c:v>0.17717717717717768</c:v>
                </c:pt>
                <c:pt idx="178">
                  <c:v>0.17817817817817869</c:v>
                </c:pt>
                <c:pt idx="179">
                  <c:v>0.17917917917917969</c:v>
                </c:pt>
                <c:pt idx="180">
                  <c:v>0.1801801801801807</c:v>
                </c:pt>
                <c:pt idx="181">
                  <c:v>0.18118118118118171</c:v>
                </c:pt>
                <c:pt idx="182">
                  <c:v>0.18218218218218271</c:v>
                </c:pt>
                <c:pt idx="183">
                  <c:v>0.18318318318318372</c:v>
                </c:pt>
                <c:pt idx="184">
                  <c:v>0.18418418418418472</c:v>
                </c:pt>
                <c:pt idx="185">
                  <c:v>0.18518518518518573</c:v>
                </c:pt>
                <c:pt idx="186">
                  <c:v>0.18618618618618674</c:v>
                </c:pt>
                <c:pt idx="187">
                  <c:v>0.18718718718718774</c:v>
                </c:pt>
                <c:pt idx="188">
                  <c:v>0.18818818818818875</c:v>
                </c:pt>
                <c:pt idx="189">
                  <c:v>0.18918918918918975</c:v>
                </c:pt>
                <c:pt idx="190">
                  <c:v>0.19019019019019076</c:v>
                </c:pt>
                <c:pt idx="191">
                  <c:v>0.19119119119119177</c:v>
                </c:pt>
                <c:pt idx="192">
                  <c:v>0.19219219219219277</c:v>
                </c:pt>
                <c:pt idx="193">
                  <c:v>0.19319319319319378</c:v>
                </c:pt>
                <c:pt idx="194">
                  <c:v>0.19419419419419479</c:v>
                </c:pt>
                <c:pt idx="195">
                  <c:v>0.19519519519519579</c:v>
                </c:pt>
                <c:pt idx="196">
                  <c:v>0.1961961961961968</c:v>
                </c:pt>
                <c:pt idx="197">
                  <c:v>0.1971971971971978</c:v>
                </c:pt>
                <c:pt idx="198">
                  <c:v>0.19819819819819881</c:v>
                </c:pt>
                <c:pt idx="199">
                  <c:v>0.19919919919919982</c:v>
                </c:pt>
                <c:pt idx="200">
                  <c:v>0.20020020020020082</c:v>
                </c:pt>
                <c:pt idx="201">
                  <c:v>0.20120120120120183</c:v>
                </c:pt>
                <c:pt idx="202">
                  <c:v>0.20220220220220284</c:v>
                </c:pt>
                <c:pt idx="203">
                  <c:v>0.20320320320320384</c:v>
                </c:pt>
                <c:pt idx="204">
                  <c:v>0.20420420420420485</c:v>
                </c:pt>
                <c:pt idx="205">
                  <c:v>0.20520520520520585</c:v>
                </c:pt>
                <c:pt idx="206">
                  <c:v>0.20620620620620686</c:v>
                </c:pt>
                <c:pt idx="207">
                  <c:v>0.20720720720720787</c:v>
                </c:pt>
                <c:pt idx="208">
                  <c:v>0.20820820820820887</c:v>
                </c:pt>
                <c:pt idx="209">
                  <c:v>0.20920920920920988</c:v>
                </c:pt>
                <c:pt idx="210">
                  <c:v>0.21021021021021088</c:v>
                </c:pt>
                <c:pt idx="211">
                  <c:v>0.21121121121121189</c:v>
                </c:pt>
                <c:pt idx="212">
                  <c:v>0.2122122122122129</c:v>
                </c:pt>
                <c:pt idx="213">
                  <c:v>0.2132132132132139</c:v>
                </c:pt>
                <c:pt idx="214">
                  <c:v>0.21421421421421491</c:v>
                </c:pt>
                <c:pt idx="215">
                  <c:v>0.21521521521521592</c:v>
                </c:pt>
                <c:pt idx="216">
                  <c:v>0.21621621621621692</c:v>
                </c:pt>
                <c:pt idx="217">
                  <c:v>0.21721721721721793</c:v>
                </c:pt>
                <c:pt idx="218">
                  <c:v>0.21821821821821893</c:v>
                </c:pt>
                <c:pt idx="219">
                  <c:v>0.21921921921921994</c:v>
                </c:pt>
                <c:pt idx="220">
                  <c:v>0.22022022022022095</c:v>
                </c:pt>
                <c:pt idx="221">
                  <c:v>0.22122122122122195</c:v>
                </c:pt>
                <c:pt idx="222">
                  <c:v>0.22222222222222296</c:v>
                </c:pt>
                <c:pt idx="223">
                  <c:v>0.22322322322322397</c:v>
                </c:pt>
                <c:pt idx="224">
                  <c:v>0.22422422422422497</c:v>
                </c:pt>
                <c:pt idx="225">
                  <c:v>0.22522522522522598</c:v>
                </c:pt>
                <c:pt idx="226">
                  <c:v>0.22622622622622698</c:v>
                </c:pt>
                <c:pt idx="227">
                  <c:v>0.22722722722722799</c:v>
                </c:pt>
                <c:pt idx="228">
                  <c:v>0.228228228228229</c:v>
                </c:pt>
                <c:pt idx="229">
                  <c:v>0.22922922922923</c:v>
                </c:pt>
                <c:pt idx="230">
                  <c:v>0.23023023023023101</c:v>
                </c:pt>
                <c:pt idx="231">
                  <c:v>0.23123123123123202</c:v>
                </c:pt>
                <c:pt idx="232">
                  <c:v>0.23223223223223302</c:v>
                </c:pt>
                <c:pt idx="233">
                  <c:v>0.23323323323323403</c:v>
                </c:pt>
                <c:pt idx="234">
                  <c:v>0.23423423423423503</c:v>
                </c:pt>
                <c:pt idx="235">
                  <c:v>0.23523523523523604</c:v>
                </c:pt>
                <c:pt idx="236">
                  <c:v>0.23623623623623705</c:v>
                </c:pt>
                <c:pt idx="237">
                  <c:v>0.23723723723723805</c:v>
                </c:pt>
                <c:pt idx="238">
                  <c:v>0.23823823823823906</c:v>
                </c:pt>
                <c:pt idx="239">
                  <c:v>0.23923923923924006</c:v>
                </c:pt>
                <c:pt idx="240">
                  <c:v>0.24024024024024107</c:v>
                </c:pt>
                <c:pt idx="241">
                  <c:v>0.24124124124124208</c:v>
                </c:pt>
                <c:pt idx="242">
                  <c:v>0.24224224224224308</c:v>
                </c:pt>
                <c:pt idx="243">
                  <c:v>0.24324324324324409</c:v>
                </c:pt>
                <c:pt idx="244">
                  <c:v>0.2442442442442451</c:v>
                </c:pt>
                <c:pt idx="245">
                  <c:v>0.2452452452452461</c:v>
                </c:pt>
                <c:pt idx="246">
                  <c:v>0.24624624624624711</c:v>
                </c:pt>
                <c:pt idx="247">
                  <c:v>0.24724724724724811</c:v>
                </c:pt>
                <c:pt idx="248">
                  <c:v>0.24824824824824912</c:v>
                </c:pt>
                <c:pt idx="249">
                  <c:v>0.24924924924925013</c:v>
                </c:pt>
                <c:pt idx="250">
                  <c:v>0.25025025025025111</c:v>
                </c:pt>
                <c:pt idx="251">
                  <c:v>0.25125125125125208</c:v>
                </c:pt>
                <c:pt idx="252">
                  <c:v>0.25225225225225306</c:v>
                </c:pt>
                <c:pt idx="253">
                  <c:v>0.25325325325325404</c:v>
                </c:pt>
                <c:pt idx="254">
                  <c:v>0.25425425425425502</c:v>
                </c:pt>
                <c:pt idx="255">
                  <c:v>0.255255255255256</c:v>
                </c:pt>
                <c:pt idx="256">
                  <c:v>0.25625625625625698</c:v>
                </c:pt>
                <c:pt idx="257">
                  <c:v>0.25725725725725795</c:v>
                </c:pt>
                <c:pt idx="258">
                  <c:v>0.25825825825825893</c:v>
                </c:pt>
                <c:pt idx="259">
                  <c:v>0.25925925925925991</c:v>
                </c:pt>
                <c:pt idx="260">
                  <c:v>0.26026026026026089</c:v>
                </c:pt>
                <c:pt idx="261">
                  <c:v>0.26126126126126187</c:v>
                </c:pt>
                <c:pt idx="262">
                  <c:v>0.26226226226226285</c:v>
                </c:pt>
                <c:pt idx="263">
                  <c:v>0.26326326326326382</c:v>
                </c:pt>
                <c:pt idx="264">
                  <c:v>0.2642642642642648</c:v>
                </c:pt>
                <c:pt idx="265">
                  <c:v>0.26526526526526578</c:v>
                </c:pt>
                <c:pt idx="266">
                  <c:v>0.26626626626626676</c:v>
                </c:pt>
                <c:pt idx="267">
                  <c:v>0.26726726726726774</c:v>
                </c:pt>
                <c:pt idx="268">
                  <c:v>0.26826826826826872</c:v>
                </c:pt>
                <c:pt idx="269">
                  <c:v>0.2692692692692697</c:v>
                </c:pt>
                <c:pt idx="270">
                  <c:v>0.27027027027027067</c:v>
                </c:pt>
                <c:pt idx="271">
                  <c:v>0.27127127127127165</c:v>
                </c:pt>
                <c:pt idx="272">
                  <c:v>0.27227227227227263</c:v>
                </c:pt>
                <c:pt idx="273">
                  <c:v>0.27327327327327361</c:v>
                </c:pt>
                <c:pt idx="274">
                  <c:v>0.27427427427427459</c:v>
                </c:pt>
                <c:pt idx="275">
                  <c:v>0.27527527527527557</c:v>
                </c:pt>
                <c:pt idx="276">
                  <c:v>0.27627627627627654</c:v>
                </c:pt>
                <c:pt idx="277">
                  <c:v>0.27727727727727752</c:v>
                </c:pt>
                <c:pt idx="278">
                  <c:v>0.2782782782782785</c:v>
                </c:pt>
                <c:pt idx="279">
                  <c:v>0.27927927927927948</c:v>
                </c:pt>
                <c:pt idx="280">
                  <c:v>0.28028028028028046</c:v>
                </c:pt>
                <c:pt idx="281">
                  <c:v>0.28128128128128144</c:v>
                </c:pt>
                <c:pt idx="282">
                  <c:v>0.28228228228228242</c:v>
                </c:pt>
                <c:pt idx="283">
                  <c:v>0.28328328328328339</c:v>
                </c:pt>
                <c:pt idx="284">
                  <c:v>0.28428428428428437</c:v>
                </c:pt>
                <c:pt idx="285">
                  <c:v>0.28528528528528535</c:v>
                </c:pt>
                <c:pt idx="286">
                  <c:v>0.28628628628628633</c:v>
                </c:pt>
                <c:pt idx="287">
                  <c:v>0.28728728728728731</c:v>
                </c:pt>
                <c:pt idx="288">
                  <c:v>0.28828828828828829</c:v>
                </c:pt>
                <c:pt idx="289">
                  <c:v>0.28928928928928926</c:v>
                </c:pt>
                <c:pt idx="290">
                  <c:v>0.29029029029029024</c:v>
                </c:pt>
                <c:pt idx="291">
                  <c:v>0.29129129129129122</c:v>
                </c:pt>
                <c:pt idx="292">
                  <c:v>0.2922922922922922</c:v>
                </c:pt>
                <c:pt idx="293">
                  <c:v>0.29329329329329318</c:v>
                </c:pt>
                <c:pt idx="294">
                  <c:v>0.29429429429429416</c:v>
                </c:pt>
                <c:pt idx="295">
                  <c:v>0.29529529529529513</c:v>
                </c:pt>
                <c:pt idx="296">
                  <c:v>0.29629629629629611</c:v>
                </c:pt>
                <c:pt idx="297">
                  <c:v>0.29729729729729709</c:v>
                </c:pt>
                <c:pt idx="298">
                  <c:v>0.29829829829829807</c:v>
                </c:pt>
                <c:pt idx="299">
                  <c:v>0.29929929929929905</c:v>
                </c:pt>
                <c:pt idx="300">
                  <c:v>0.30030030030030003</c:v>
                </c:pt>
                <c:pt idx="301">
                  <c:v>0.30130130130130101</c:v>
                </c:pt>
                <c:pt idx="302">
                  <c:v>0.30230230230230198</c:v>
                </c:pt>
                <c:pt idx="303">
                  <c:v>0.30330330330330296</c:v>
                </c:pt>
                <c:pt idx="304">
                  <c:v>0.30430430430430394</c:v>
                </c:pt>
                <c:pt idx="305">
                  <c:v>0.30530530530530492</c:v>
                </c:pt>
                <c:pt idx="306">
                  <c:v>0.3063063063063059</c:v>
                </c:pt>
                <c:pt idx="307">
                  <c:v>0.30730730730730688</c:v>
                </c:pt>
                <c:pt idx="308">
                  <c:v>0.30830830830830785</c:v>
                </c:pt>
                <c:pt idx="309">
                  <c:v>0.30930930930930883</c:v>
                </c:pt>
                <c:pt idx="310">
                  <c:v>0.31031031031030981</c:v>
                </c:pt>
                <c:pt idx="311">
                  <c:v>0.31131131131131079</c:v>
                </c:pt>
                <c:pt idx="312">
                  <c:v>0.31231231231231177</c:v>
                </c:pt>
                <c:pt idx="313">
                  <c:v>0.31331331331331275</c:v>
                </c:pt>
                <c:pt idx="314">
                  <c:v>0.31431431431431373</c:v>
                </c:pt>
                <c:pt idx="315">
                  <c:v>0.3153153153153147</c:v>
                </c:pt>
                <c:pt idx="316">
                  <c:v>0.31631631631631568</c:v>
                </c:pt>
                <c:pt idx="317">
                  <c:v>0.31731731731731666</c:v>
                </c:pt>
                <c:pt idx="318">
                  <c:v>0.31831831831831764</c:v>
                </c:pt>
                <c:pt idx="319">
                  <c:v>0.31931931931931862</c:v>
                </c:pt>
                <c:pt idx="320">
                  <c:v>0.3203203203203196</c:v>
                </c:pt>
                <c:pt idx="321">
                  <c:v>0.32132132132132057</c:v>
                </c:pt>
                <c:pt idx="322">
                  <c:v>0.32232232232232155</c:v>
                </c:pt>
                <c:pt idx="323">
                  <c:v>0.32332332332332253</c:v>
                </c:pt>
                <c:pt idx="324">
                  <c:v>0.32432432432432351</c:v>
                </c:pt>
                <c:pt idx="325">
                  <c:v>0.32532532532532449</c:v>
                </c:pt>
                <c:pt idx="326">
                  <c:v>0.32632632632632547</c:v>
                </c:pt>
                <c:pt idx="327">
                  <c:v>0.32732732732732644</c:v>
                </c:pt>
                <c:pt idx="328">
                  <c:v>0.32832832832832742</c:v>
                </c:pt>
                <c:pt idx="329">
                  <c:v>0.3293293293293284</c:v>
                </c:pt>
                <c:pt idx="330">
                  <c:v>0.33033033033032938</c:v>
                </c:pt>
                <c:pt idx="331">
                  <c:v>0.33133133133133036</c:v>
                </c:pt>
                <c:pt idx="332">
                  <c:v>0.33233233233233134</c:v>
                </c:pt>
                <c:pt idx="333">
                  <c:v>0.33333333333333232</c:v>
                </c:pt>
                <c:pt idx="334">
                  <c:v>0.33433433433433329</c:v>
                </c:pt>
                <c:pt idx="335">
                  <c:v>0.33533533533533427</c:v>
                </c:pt>
                <c:pt idx="336">
                  <c:v>0.33633633633633525</c:v>
                </c:pt>
                <c:pt idx="337">
                  <c:v>0.33733733733733623</c:v>
                </c:pt>
                <c:pt idx="338">
                  <c:v>0.33833833833833721</c:v>
                </c:pt>
                <c:pt idx="339">
                  <c:v>0.33933933933933819</c:v>
                </c:pt>
                <c:pt idx="340">
                  <c:v>0.34034034034033916</c:v>
                </c:pt>
                <c:pt idx="341">
                  <c:v>0.34134134134134014</c:v>
                </c:pt>
                <c:pt idx="342">
                  <c:v>0.34234234234234112</c:v>
                </c:pt>
                <c:pt idx="343">
                  <c:v>0.3433433433433421</c:v>
                </c:pt>
                <c:pt idx="344">
                  <c:v>0.34434434434434308</c:v>
                </c:pt>
                <c:pt idx="345">
                  <c:v>0.34534534534534406</c:v>
                </c:pt>
                <c:pt idx="346">
                  <c:v>0.34634634634634504</c:v>
                </c:pt>
                <c:pt idx="347">
                  <c:v>0.34734734734734601</c:v>
                </c:pt>
                <c:pt idx="348">
                  <c:v>0.34834834834834699</c:v>
                </c:pt>
                <c:pt idx="349">
                  <c:v>0.34934934934934797</c:v>
                </c:pt>
                <c:pt idx="350">
                  <c:v>0.35035035035034895</c:v>
                </c:pt>
                <c:pt idx="351">
                  <c:v>0.35135135135134993</c:v>
                </c:pt>
                <c:pt idx="352">
                  <c:v>0.35235235235235091</c:v>
                </c:pt>
                <c:pt idx="353">
                  <c:v>0.35335335335335188</c:v>
                </c:pt>
                <c:pt idx="354">
                  <c:v>0.35435435435435286</c:v>
                </c:pt>
                <c:pt idx="355">
                  <c:v>0.35535535535535384</c:v>
                </c:pt>
                <c:pt idx="356">
                  <c:v>0.35635635635635482</c:v>
                </c:pt>
                <c:pt idx="357">
                  <c:v>0.3573573573573558</c:v>
                </c:pt>
                <c:pt idx="358">
                  <c:v>0.35835835835835678</c:v>
                </c:pt>
                <c:pt idx="359">
                  <c:v>0.35935935935935776</c:v>
                </c:pt>
                <c:pt idx="360">
                  <c:v>0.36036036036035873</c:v>
                </c:pt>
                <c:pt idx="361">
                  <c:v>0.36136136136135971</c:v>
                </c:pt>
                <c:pt idx="362">
                  <c:v>0.36236236236236069</c:v>
                </c:pt>
                <c:pt idx="363">
                  <c:v>0.36336336336336167</c:v>
                </c:pt>
                <c:pt idx="364">
                  <c:v>0.36436436436436265</c:v>
                </c:pt>
                <c:pt idx="365">
                  <c:v>0.36536536536536363</c:v>
                </c:pt>
                <c:pt idx="366">
                  <c:v>0.3663663663663646</c:v>
                </c:pt>
                <c:pt idx="367">
                  <c:v>0.36736736736736558</c:v>
                </c:pt>
                <c:pt idx="368">
                  <c:v>0.36836836836836656</c:v>
                </c:pt>
                <c:pt idx="369">
                  <c:v>0.36936936936936754</c:v>
                </c:pt>
                <c:pt idx="370">
                  <c:v>0.37037037037036852</c:v>
                </c:pt>
                <c:pt idx="371">
                  <c:v>0.3713713713713695</c:v>
                </c:pt>
                <c:pt idx="372">
                  <c:v>0.37237237237237047</c:v>
                </c:pt>
                <c:pt idx="373">
                  <c:v>0.37337337337337145</c:v>
                </c:pt>
                <c:pt idx="374">
                  <c:v>0.37437437437437243</c:v>
                </c:pt>
                <c:pt idx="375">
                  <c:v>0.37537537537537341</c:v>
                </c:pt>
                <c:pt idx="376">
                  <c:v>0.37637637637637439</c:v>
                </c:pt>
                <c:pt idx="377">
                  <c:v>0.37737737737737537</c:v>
                </c:pt>
                <c:pt idx="378">
                  <c:v>0.37837837837837635</c:v>
                </c:pt>
                <c:pt idx="379">
                  <c:v>0.37937937937937732</c:v>
                </c:pt>
                <c:pt idx="380">
                  <c:v>0.3803803803803783</c:v>
                </c:pt>
                <c:pt idx="381">
                  <c:v>0.38138138138137928</c:v>
                </c:pt>
                <c:pt idx="382">
                  <c:v>0.38238238238238026</c:v>
                </c:pt>
                <c:pt idx="383">
                  <c:v>0.38338338338338124</c:v>
                </c:pt>
                <c:pt idx="384">
                  <c:v>0.38438438438438222</c:v>
                </c:pt>
                <c:pt idx="385">
                  <c:v>0.38538538538538319</c:v>
                </c:pt>
                <c:pt idx="386">
                  <c:v>0.38638638638638417</c:v>
                </c:pt>
                <c:pt idx="387">
                  <c:v>0.38738738738738515</c:v>
                </c:pt>
                <c:pt idx="388">
                  <c:v>0.38838838838838613</c:v>
                </c:pt>
                <c:pt idx="389">
                  <c:v>0.38938938938938711</c:v>
                </c:pt>
                <c:pt idx="390">
                  <c:v>0.39039039039038809</c:v>
                </c:pt>
                <c:pt idx="391">
                  <c:v>0.39139139139138907</c:v>
                </c:pt>
                <c:pt idx="392">
                  <c:v>0.39239239239239004</c:v>
                </c:pt>
                <c:pt idx="393">
                  <c:v>0.39339339339339102</c:v>
                </c:pt>
                <c:pt idx="394">
                  <c:v>0.394394394394392</c:v>
                </c:pt>
                <c:pt idx="395">
                  <c:v>0.39539539539539298</c:v>
                </c:pt>
                <c:pt idx="396">
                  <c:v>0.39639639639639396</c:v>
                </c:pt>
                <c:pt idx="397">
                  <c:v>0.39739739739739494</c:v>
                </c:pt>
                <c:pt idx="398">
                  <c:v>0.39839839839839591</c:v>
                </c:pt>
                <c:pt idx="399">
                  <c:v>0.39939939939939689</c:v>
                </c:pt>
                <c:pt idx="400">
                  <c:v>0.40040040040039787</c:v>
                </c:pt>
                <c:pt idx="401">
                  <c:v>0.40140140140139885</c:v>
                </c:pt>
                <c:pt idx="402">
                  <c:v>0.40240240240239983</c:v>
                </c:pt>
                <c:pt idx="403">
                  <c:v>0.40340340340340081</c:v>
                </c:pt>
                <c:pt idx="404">
                  <c:v>0.40440440440440178</c:v>
                </c:pt>
                <c:pt idx="405">
                  <c:v>0.40540540540540276</c:v>
                </c:pt>
                <c:pt idx="406">
                  <c:v>0.40640640640640374</c:v>
                </c:pt>
                <c:pt idx="407">
                  <c:v>0.40740740740740472</c:v>
                </c:pt>
                <c:pt idx="408">
                  <c:v>0.4084084084084057</c:v>
                </c:pt>
                <c:pt idx="409">
                  <c:v>0.40940940940940668</c:v>
                </c:pt>
                <c:pt idx="410">
                  <c:v>0.41041041041040766</c:v>
                </c:pt>
                <c:pt idx="411">
                  <c:v>0.41141141141140863</c:v>
                </c:pt>
                <c:pt idx="412">
                  <c:v>0.41241241241240961</c:v>
                </c:pt>
                <c:pt idx="413">
                  <c:v>0.41341341341341059</c:v>
                </c:pt>
                <c:pt idx="414">
                  <c:v>0.41441441441441157</c:v>
                </c:pt>
                <c:pt idx="415">
                  <c:v>0.41541541541541255</c:v>
                </c:pt>
                <c:pt idx="416">
                  <c:v>0.41641641641641353</c:v>
                </c:pt>
                <c:pt idx="417">
                  <c:v>0.4174174174174145</c:v>
                </c:pt>
                <c:pt idx="418">
                  <c:v>0.41841841841841548</c:v>
                </c:pt>
                <c:pt idx="419">
                  <c:v>0.41941941941941646</c:v>
                </c:pt>
                <c:pt idx="420">
                  <c:v>0.42042042042041744</c:v>
                </c:pt>
                <c:pt idx="421">
                  <c:v>0.42142142142141842</c:v>
                </c:pt>
                <c:pt idx="422">
                  <c:v>0.4224224224224194</c:v>
                </c:pt>
                <c:pt idx="423">
                  <c:v>0.42342342342342038</c:v>
                </c:pt>
                <c:pt idx="424">
                  <c:v>0.42442442442442135</c:v>
                </c:pt>
                <c:pt idx="425">
                  <c:v>0.42542542542542233</c:v>
                </c:pt>
                <c:pt idx="426">
                  <c:v>0.42642642642642331</c:v>
                </c:pt>
                <c:pt idx="427">
                  <c:v>0.42742742742742429</c:v>
                </c:pt>
                <c:pt idx="428">
                  <c:v>0.42842842842842527</c:v>
                </c:pt>
                <c:pt idx="429">
                  <c:v>0.42942942942942625</c:v>
                </c:pt>
                <c:pt idx="430">
                  <c:v>0.43043043043042722</c:v>
                </c:pt>
                <c:pt idx="431">
                  <c:v>0.4314314314314282</c:v>
                </c:pt>
                <c:pt idx="432">
                  <c:v>0.43243243243242918</c:v>
                </c:pt>
                <c:pt idx="433">
                  <c:v>0.43343343343343016</c:v>
                </c:pt>
                <c:pt idx="434">
                  <c:v>0.43443443443443114</c:v>
                </c:pt>
                <c:pt idx="435">
                  <c:v>0.43543543543543212</c:v>
                </c:pt>
                <c:pt idx="436">
                  <c:v>0.4364364364364331</c:v>
                </c:pt>
                <c:pt idx="437">
                  <c:v>0.43743743743743407</c:v>
                </c:pt>
                <c:pt idx="438">
                  <c:v>0.43843843843843505</c:v>
                </c:pt>
                <c:pt idx="439">
                  <c:v>0.43943943943943603</c:v>
                </c:pt>
                <c:pt idx="440">
                  <c:v>0.44044044044043701</c:v>
                </c:pt>
                <c:pt idx="441">
                  <c:v>0.44144144144143799</c:v>
                </c:pt>
                <c:pt idx="442">
                  <c:v>0.44244244244243897</c:v>
                </c:pt>
                <c:pt idx="443">
                  <c:v>0.44344344344343994</c:v>
                </c:pt>
                <c:pt idx="444">
                  <c:v>0.44444444444444092</c:v>
                </c:pt>
                <c:pt idx="445">
                  <c:v>0.4454454454454419</c:v>
                </c:pt>
                <c:pt idx="446">
                  <c:v>0.44644644644644288</c:v>
                </c:pt>
                <c:pt idx="447">
                  <c:v>0.44744744744744386</c:v>
                </c:pt>
                <c:pt idx="448">
                  <c:v>0.44844844844844484</c:v>
                </c:pt>
                <c:pt idx="449">
                  <c:v>0.44944944944944581</c:v>
                </c:pt>
                <c:pt idx="450">
                  <c:v>0.45045045045044679</c:v>
                </c:pt>
                <c:pt idx="451">
                  <c:v>0.45145145145144777</c:v>
                </c:pt>
                <c:pt idx="452">
                  <c:v>0.45245245245244875</c:v>
                </c:pt>
                <c:pt idx="453">
                  <c:v>0.45345345345344973</c:v>
                </c:pt>
                <c:pt idx="454">
                  <c:v>0.45445445445445071</c:v>
                </c:pt>
                <c:pt idx="455">
                  <c:v>0.45545545545545169</c:v>
                </c:pt>
                <c:pt idx="456">
                  <c:v>0.45645645645645266</c:v>
                </c:pt>
                <c:pt idx="457">
                  <c:v>0.45745745745745364</c:v>
                </c:pt>
                <c:pt idx="458">
                  <c:v>0.45845845845845462</c:v>
                </c:pt>
                <c:pt idx="459">
                  <c:v>0.4594594594594556</c:v>
                </c:pt>
                <c:pt idx="460">
                  <c:v>0.46046046046045658</c:v>
                </c:pt>
                <c:pt idx="461">
                  <c:v>0.46146146146145756</c:v>
                </c:pt>
                <c:pt idx="462">
                  <c:v>0.46246246246245853</c:v>
                </c:pt>
                <c:pt idx="463">
                  <c:v>0.46346346346345951</c:v>
                </c:pt>
                <c:pt idx="464">
                  <c:v>0.46446446446446049</c:v>
                </c:pt>
                <c:pt idx="465">
                  <c:v>0.46546546546546147</c:v>
                </c:pt>
                <c:pt idx="466">
                  <c:v>0.46646646646646245</c:v>
                </c:pt>
                <c:pt idx="467">
                  <c:v>0.46746746746746343</c:v>
                </c:pt>
                <c:pt idx="468">
                  <c:v>0.46846846846846441</c:v>
                </c:pt>
                <c:pt idx="469">
                  <c:v>0.46946946946946538</c:v>
                </c:pt>
                <c:pt idx="470">
                  <c:v>0.47047047047046636</c:v>
                </c:pt>
                <c:pt idx="471">
                  <c:v>0.47147147147146734</c:v>
                </c:pt>
                <c:pt idx="472">
                  <c:v>0.47247247247246832</c:v>
                </c:pt>
                <c:pt idx="473">
                  <c:v>0.4734734734734693</c:v>
                </c:pt>
                <c:pt idx="474">
                  <c:v>0.47447447447447028</c:v>
                </c:pt>
                <c:pt idx="475">
                  <c:v>0.47547547547547125</c:v>
                </c:pt>
                <c:pt idx="476">
                  <c:v>0.47647647647647223</c:v>
                </c:pt>
                <c:pt idx="477">
                  <c:v>0.47747747747747321</c:v>
                </c:pt>
                <c:pt idx="478">
                  <c:v>0.47847847847847419</c:v>
                </c:pt>
                <c:pt idx="479">
                  <c:v>0.47947947947947517</c:v>
                </c:pt>
                <c:pt idx="480">
                  <c:v>0.48048048048047615</c:v>
                </c:pt>
                <c:pt idx="481">
                  <c:v>0.48148148148147712</c:v>
                </c:pt>
                <c:pt idx="482">
                  <c:v>0.4824824824824781</c:v>
                </c:pt>
                <c:pt idx="483">
                  <c:v>0.48348348348347908</c:v>
                </c:pt>
                <c:pt idx="484">
                  <c:v>0.48448448448448006</c:v>
                </c:pt>
                <c:pt idx="485">
                  <c:v>0.48548548548548104</c:v>
                </c:pt>
                <c:pt idx="486">
                  <c:v>0.48648648648648202</c:v>
                </c:pt>
                <c:pt idx="487">
                  <c:v>0.487487487487483</c:v>
                </c:pt>
                <c:pt idx="488">
                  <c:v>0.48848848848848397</c:v>
                </c:pt>
                <c:pt idx="489">
                  <c:v>0.48948948948948495</c:v>
                </c:pt>
                <c:pt idx="490">
                  <c:v>0.49049049049048593</c:v>
                </c:pt>
                <c:pt idx="491">
                  <c:v>0.49149149149148691</c:v>
                </c:pt>
                <c:pt idx="492">
                  <c:v>0.49249249249248789</c:v>
                </c:pt>
                <c:pt idx="493">
                  <c:v>0.49349349349348887</c:v>
                </c:pt>
                <c:pt idx="494">
                  <c:v>0.49449449449448984</c:v>
                </c:pt>
                <c:pt idx="495">
                  <c:v>0.49549549549549082</c:v>
                </c:pt>
                <c:pt idx="496">
                  <c:v>0.4964964964964918</c:v>
                </c:pt>
                <c:pt idx="497">
                  <c:v>0.49749749749749278</c:v>
                </c:pt>
                <c:pt idx="498">
                  <c:v>0.49849849849849376</c:v>
                </c:pt>
                <c:pt idx="499">
                  <c:v>0.49949949949949474</c:v>
                </c:pt>
                <c:pt idx="500">
                  <c:v>0.50050050050049577</c:v>
                </c:pt>
                <c:pt idx="501">
                  <c:v>0.50150150150149675</c:v>
                </c:pt>
                <c:pt idx="502">
                  <c:v>0.50250250250249773</c:v>
                </c:pt>
                <c:pt idx="503">
                  <c:v>0.50350350350349871</c:v>
                </c:pt>
                <c:pt idx="504">
                  <c:v>0.50450450450449968</c:v>
                </c:pt>
                <c:pt idx="505">
                  <c:v>0.50550550550550066</c:v>
                </c:pt>
                <c:pt idx="506">
                  <c:v>0.50650650650650164</c:v>
                </c:pt>
                <c:pt idx="507">
                  <c:v>0.50750750750750262</c:v>
                </c:pt>
                <c:pt idx="508">
                  <c:v>0.5085085085085036</c:v>
                </c:pt>
                <c:pt idx="509">
                  <c:v>0.50950950950950458</c:v>
                </c:pt>
                <c:pt idx="510">
                  <c:v>0.51051051051050556</c:v>
                </c:pt>
                <c:pt idx="511">
                  <c:v>0.51151151151150653</c:v>
                </c:pt>
                <c:pt idx="512">
                  <c:v>0.51251251251250751</c:v>
                </c:pt>
                <c:pt idx="513">
                  <c:v>0.51351351351350849</c:v>
                </c:pt>
                <c:pt idx="514">
                  <c:v>0.51451451451450947</c:v>
                </c:pt>
                <c:pt idx="515">
                  <c:v>0.51551551551551045</c:v>
                </c:pt>
                <c:pt idx="516">
                  <c:v>0.51651651651651143</c:v>
                </c:pt>
                <c:pt idx="517">
                  <c:v>0.5175175175175124</c:v>
                </c:pt>
                <c:pt idx="518">
                  <c:v>0.51851851851851338</c:v>
                </c:pt>
                <c:pt idx="519">
                  <c:v>0.51951951951951436</c:v>
                </c:pt>
                <c:pt idx="520">
                  <c:v>0.52052052052051534</c:v>
                </c:pt>
                <c:pt idx="521">
                  <c:v>0.52152152152151632</c:v>
                </c:pt>
                <c:pt idx="522">
                  <c:v>0.5225225225225173</c:v>
                </c:pt>
                <c:pt idx="523">
                  <c:v>0.52352352352351827</c:v>
                </c:pt>
                <c:pt idx="524">
                  <c:v>0.52452452452451925</c:v>
                </c:pt>
                <c:pt idx="525">
                  <c:v>0.52552552552552023</c:v>
                </c:pt>
                <c:pt idx="526">
                  <c:v>0.52652652652652121</c:v>
                </c:pt>
                <c:pt idx="527">
                  <c:v>0.52752752752752219</c:v>
                </c:pt>
                <c:pt idx="528">
                  <c:v>0.52852852852852317</c:v>
                </c:pt>
                <c:pt idx="529">
                  <c:v>0.52952952952952415</c:v>
                </c:pt>
                <c:pt idx="530">
                  <c:v>0.53053053053052512</c:v>
                </c:pt>
                <c:pt idx="531">
                  <c:v>0.5315315315315261</c:v>
                </c:pt>
                <c:pt idx="532">
                  <c:v>0.53253253253252708</c:v>
                </c:pt>
                <c:pt idx="533">
                  <c:v>0.53353353353352806</c:v>
                </c:pt>
                <c:pt idx="534">
                  <c:v>0.53453453453452904</c:v>
                </c:pt>
                <c:pt idx="535">
                  <c:v>0.53553553553553002</c:v>
                </c:pt>
                <c:pt idx="536">
                  <c:v>0.53653653653653099</c:v>
                </c:pt>
                <c:pt idx="537">
                  <c:v>0.53753753753753197</c:v>
                </c:pt>
                <c:pt idx="538">
                  <c:v>0.53853853853853295</c:v>
                </c:pt>
                <c:pt idx="539">
                  <c:v>0.53953953953953393</c:v>
                </c:pt>
                <c:pt idx="540">
                  <c:v>0.54054054054053491</c:v>
                </c:pt>
                <c:pt idx="541">
                  <c:v>0.54154154154153589</c:v>
                </c:pt>
                <c:pt idx="542">
                  <c:v>0.54254254254253687</c:v>
                </c:pt>
                <c:pt idx="543">
                  <c:v>0.54354354354353784</c:v>
                </c:pt>
                <c:pt idx="544">
                  <c:v>0.54454454454453882</c:v>
                </c:pt>
                <c:pt idx="545">
                  <c:v>0.5455455455455398</c:v>
                </c:pt>
                <c:pt idx="546">
                  <c:v>0.54654654654654078</c:v>
                </c:pt>
                <c:pt idx="547">
                  <c:v>0.54754754754754176</c:v>
                </c:pt>
                <c:pt idx="548">
                  <c:v>0.54854854854854274</c:v>
                </c:pt>
                <c:pt idx="549">
                  <c:v>0.54954954954954371</c:v>
                </c:pt>
                <c:pt idx="550">
                  <c:v>0.55055055055054469</c:v>
                </c:pt>
                <c:pt idx="551">
                  <c:v>0.55155155155154567</c:v>
                </c:pt>
                <c:pt idx="552">
                  <c:v>0.55255255255254665</c:v>
                </c:pt>
                <c:pt idx="553">
                  <c:v>0.55355355355354763</c:v>
                </c:pt>
                <c:pt idx="554">
                  <c:v>0.55455455455454861</c:v>
                </c:pt>
                <c:pt idx="555">
                  <c:v>0.55555555555554959</c:v>
                </c:pt>
                <c:pt idx="556">
                  <c:v>0.55655655655655056</c:v>
                </c:pt>
                <c:pt idx="557">
                  <c:v>0.55755755755755154</c:v>
                </c:pt>
                <c:pt idx="558">
                  <c:v>0.55855855855855252</c:v>
                </c:pt>
                <c:pt idx="559">
                  <c:v>0.5595595595595535</c:v>
                </c:pt>
                <c:pt idx="560">
                  <c:v>0.56056056056055448</c:v>
                </c:pt>
                <c:pt idx="561">
                  <c:v>0.56156156156155546</c:v>
                </c:pt>
                <c:pt idx="562">
                  <c:v>0.56256256256255643</c:v>
                </c:pt>
                <c:pt idx="563">
                  <c:v>0.56356356356355741</c:v>
                </c:pt>
                <c:pt idx="564">
                  <c:v>0.56456456456455839</c:v>
                </c:pt>
                <c:pt idx="565">
                  <c:v>0.56556556556555937</c:v>
                </c:pt>
                <c:pt idx="566">
                  <c:v>0.56656656656656035</c:v>
                </c:pt>
                <c:pt idx="567">
                  <c:v>0.56756756756756133</c:v>
                </c:pt>
                <c:pt idx="568">
                  <c:v>0.5685685685685623</c:v>
                </c:pt>
                <c:pt idx="569">
                  <c:v>0.56956956956956328</c:v>
                </c:pt>
                <c:pt idx="570">
                  <c:v>0.57057057057056426</c:v>
                </c:pt>
                <c:pt idx="571">
                  <c:v>0.57157157157156524</c:v>
                </c:pt>
                <c:pt idx="572">
                  <c:v>0.57257257257256622</c:v>
                </c:pt>
                <c:pt idx="573">
                  <c:v>0.5735735735735672</c:v>
                </c:pt>
                <c:pt idx="574">
                  <c:v>0.57457457457456818</c:v>
                </c:pt>
                <c:pt idx="575">
                  <c:v>0.57557557557556915</c:v>
                </c:pt>
                <c:pt idx="576">
                  <c:v>0.57657657657657013</c:v>
                </c:pt>
                <c:pt idx="577">
                  <c:v>0.57757757757757111</c:v>
                </c:pt>
                <c:pt idx="578">
                  <c:v>0.57857857857857209</c:v>
                </c:pt>
                <c:pt idx="579">
                  <c:v>0.57957957957957307</c:v>
                </c:pt>
                <c:pt idx="580">
                  <c:v>0.58058058058057405</c:v>
                </c:pt>
                <c:pt idx="581">
                  <c:v>0.58158158158157502</c:v>
                </c:pt>
                <c:pt idx="582">
                  <c:v>0.582582582582576</c:v>
                </c:pt>
                <c:pt idx="583">
                  <c:v>0.58358358358357698</c:v>
                </c:pt>
                <c:pt idx="584">
                  <c:v>0.58458458458457796</c:v>
                </c:pt>
                <c:pt idx="585">
                  <c:v>0.58558558558557894</c:v>
                </c:pt>
                <c:pt idx="586">
                  <c:v>0.58658658658657992</c:v>
                </c:pt>
                <c:pt idx="587">
                  <c:v>0.5875875875875809</c:v>
                </c:pt>
                <c:pt idx="588">
                  <c:v>0.58858858858858187</c:v>
                </c:pt>
                <c:pt idx="589">
                  <c:v>0.58958958958958285</c:v>
                </c:pt>
                <c:pt idx="590">
                  <c:v>0.59059059059058383</c:v>
                </c:pt>
                <c:pt idx="591">
                  <c:v>0.59159159159158481</c:v>
                </c:pt>
                <c:pt idx="592">
                  <c:v>0.59259259259258579</c:v>
                </c:pt>
                <c:pt idx="593">
                  <c:v>0.59359359359358677</c:v>
                </c:pt>
                <c:pt idx="594">
                  <c:v>0.59459459459458774</c:v>
                </c:pt>
                <c:pt idx="595">
                  <c:v>0.59559559559558872</c:v>
                </c:pt>
                <c:pt idx="596">
                  <c:v>0.5965965965965897</c:v>
                </c:pt>
                <c:pt idx="597">
                  <c:v>0.59759759759759068</c:v>
                </c:pt>
                <c:pt idx="598">
                  <c:v>0.59859859859859166</c:v>
                </c:pt>
                <c:pt idx="599">
                  <c:v>0.59959959959959264</c:v>
                </c:pt>
                <c:pt idx="600">
                  <c:v>0.60060060060059361</c:v>
                </c:pt>
                <c:pt idx="601">
                  <c:v>0.60160160160159459</c:v>
                </c:pt>
                <c:pt idx="602">
                  <c:v>0.60260260260259557</c:v>
                </c:pt>
                <c:pt idx="603">
                  <c:v>0.60360360360359655</c:v>
                </c:pt>
                <c:pt idx="604">
                  <c:v>0.60460460460459753</c:v>
                </c:pt>
                <c:pt idx="605">
                  <c:v>0.60560560560559851</c:v>
                </c:pt>
                <c:pt idx="606">
                  <c:v>0.60660660660659949</c:v>
                </c:pt>
                <c:pt idx="607">
                  <c:v>0.60760760760760046</c:v>
                </c:pt>
                <c:pt idx="608">
                  <c:v>0.60860860860860144</c:v>
                </c:pt>
                <c:pt idx="609">
                  <c:v>0.60960960960960242</c:v>
                </c:pt>
                <c:pt idx="610">
                  <c:v>0.6106106106106034</c:v>
                </c:pt>
                <c:pt idx="611">
                  <c:v>0.61161161161160438</c:v>
                </c:pt>
                <c:pt idx="612">
                  <c:v>0.61261261261260536</c:v>
                </c:pt>
                <c:pt idx="613">
                  <c:v>0.61361361361360633</c:v>
                </c:pt>
                <c:pt idx="614">
                  <c:v>0.61461461461460731</c:v>
                </c:pt>
                <c:pt idx="615">
                  <c:v>0.61561561561560829</c:v>
                </c:pt>
                <c:pt idx="616">
                  <c:v>0.61661661661660927</c:v>
                </c:pt>
                <c:pt idx="617">
                  <c:v>0.61761761761761025</c:v>
                </c:pt>
                <c:pt idx="618">
                  <c:v>0.61861861861861123</c:v>
                </c:pt>
                <c:pt idx="619">
                  <c:v>0.61961961961961221</c:v>
                </c:pt>
                <c:pt idx="620">
                  <c:v>0.62062062062061318</c:v>
                </c:pt>
                <c:pt idx="621">
                  <c:v>0.62162162162161416</c:v>
                </c:pt>
                <c:pt idx="622">
                  <c:v>0.62262262262261514</c:v>
                </c:pt>
                <c:pt idx="623">
                  <c:v>0.62362362362361612</c:v>
                </c:pt>
                <c:pt idx="624">
                  <c:v>0.6246246246246171</c:v>
                </c:pt>
                <c:pt idx="625">
                  <c:v>0.62562562562561808</c:v>
                </c:pt>
                <c:pt idx="626">
                  <c:v>0.62662662662661905</c:v>
                </c:pt>
                <c:pt idx="627">
                  <c:v>0.62762762762762003</c:v>
                </c:pt>
                <c:pt idx="628">
                  <c:v>0.62862862862862101</c:v>
                </c:pt>
                <c:pt idx="629">
                  <c:v>0.62962962962962199</c:v>
                </c:pt>
                <c:pt idx="630">
                  <c:v>0.63063063063062297</c:v>
                </c:pt>
                <c:pt idx="631">
                  <c:v>0.63163163163162395</c:v>
                </c:pt>
                <c:pt idx="632">
                  <c:v>0.63263263263262492</c:v>
                </c:pt>
                <c:pt idx="633">
                  <c:v>0.6336336336336259</c:v>
                </c:pt>
                <c:pt idx="634">
                  <c:v>0.63463463463462688</c:v>
                </c:pt>
                <c:pt idx="635">
                  <c:v>0.63563563563562786</c:v>
                </c:pt>
                <c:pt idx="636">
                  <c:v>0.63663663663662884</c:v>
                </c:pt>
                <c:pt idx="637">
                  <c:v>0.63763763763762982</c:v>
                </c:pt>
                <c:pt idx="638">
                  <c:v>0.6386386386386308</c:v>
                </c:pt>
                <c:pt idx="639">
                  <c:v>0.63963963963963177</c:v>
                </c:pt>
                <c:pt idx="640">
                  <c:v>0.64064064064063275</c:v>
                </c:pt>
                <c:pt idx="641">
                  <c:v>0.64164164164163373</c:v>
                </c:pt>
                <c:pt idx="642">
                  <c:v>0.64264264264263471</c:v>
                </c:pt>
                <c:pt idx="643">
                  <c:v>0.64364364364363569</c:v>
                </c:pt>
                <c:pt idx="644">
                  <c:v>0.64464464464463667</c:v>
                </c:pt>
                <c:pt idx="645">
                  <c:v>0.64564564564563764</c:v>
                </c:pt>
                <c:pt idx="646">
                  <c:v>0.64664664664663862</c:v>
                </c:pt>
                <c:pt idx="647">
                  <c:v>0.6476476476476396</c:v>
                </c:pt>
                <c:pt idx="648">
                  <c:v>0.64864864864864058</c:v>
                </c:pt>
                <c:pt idx="649">
                  <c:v>0.64964964964964156</c:v>
                </c:pt>
                <c:pt idx="650">
                  <c:v>0.65065065065064254</c:v>
                </c:pt>
                <c:pt idx="651">
                  <c:v>0.65165165165164352</c:v>
                </c:pt>
                <c:pt idx="652">
                  <c:v>0.65265265265264449</c:v>
                </c:pt>
                <c:pt idx="653">
                  <c:v>0.65365365365364547</c:v>
                </c:pt>
                <c:pt idx="654">
                  <c:v>0.65465465465464645</c:v>
                </c:pt>
                <c:pt idx="655">
                  <c:v>0.65565565565564743</c:v>
                </c:pt>
                <c:pt idx="656">
                  <c:v>0.65665665665664841</c:v>
                </c:pt>
                <c:pt idx="657">
                  <c:v>0.65765765765764939</c:v>
                </c:pt>
                <c:pt idx="658">
                  <c:v>0.65865865865865036</c:v>
                </c:pt>
                <c:pt idx="659">
                  <c:v>0.65965965965965134</c:v>
                </c:pt>
                <c:pt idx="660">
                  <c:v>0.66066066066065232</c:v>
                </c:pt>
                <c:pt idx="661">
                  <c:v>0.6616616616616533</c:v>
                </c:pt>
                <c:pt idx="662">
                  <c:v>0.66266266266265428</c:v>
                </c:pt>
                <c:pt idx="663">
                  <c:v>0.66366366366365526</c:v>
                </c:pt>
                <c:pt idx="664">
                  <c:v>0.66466466466465624</c:v>
                </c:pt>
                <c:pt idx="665">
                  <c:v>0.66566566566565721</c:v>
                </c:pt>
                <c:pt idx="666">
                  <c:v>0.66666666666665819</c:v>
                </c:pt>
                <c:pt idx="667">
                  <c:v>0.66766766766765917</c:v>
                </c:pt>
                <c:pt idx="668">
                  <c:v>0.66866866866866015</c:v>
                </c:pt>
                <c:pt idx="669">
                  <c:v>0.66966966966966113</c:v>
                </c:pt>
                <c:pt idx="670">
                  <c:v>0.67067067067066211</c:v>
                </c:pt>
                <c:pt idx="671">
                  <c:v>0.67167167167166308</c:v>
                </c:pt>
                <c:pt idx="672">
                  <c:v>0.67267267267266406</c:v>
                </c:pt>
                <c:pt idx="673">
                  <c:v>0.67367367367366504</c:v>
                </c:pt>
                <c:pt idx="674">
                  <c:v>0.67467467467466602</c:v>
                </c:pt>
                <c:pt idx="675">
                  <c:v>0.675675675675667</c:v>
                </c:pt>
                <c:pt idx="676">
                  <c:v>0.67667667667666798</c:v>
                </c:pt>
                <c:pt idx="677">
                  <c:v>0.67767767767766895</c:v>
                </c:pt>
                <c:pt idx="678">
                  <c:v>0.67867867867866993</c:v>
                </c:pt>
                <c:pt idx="679">
                  <c:v>0.67967967967967091</c:v>
                </c:pt>
                <c:pt idx="680">
                  <c:v>0.68068068068067189</c:v>
                </c:pt>
                <c:pt idx="681">
                  <c:v>0.68168168168167287</c:v>
                </c:pt>
                <c:pt idx="682">
                  <c:v>0.68268268268267385</c:v>
                </c:pt>
                <c:pt idx="683">
                  <c:v>0.68368368368367483</c:v>
                </c:pt>
                <c:pt idx="684">
                  <c:v>0.6846846846846758</c:v>
                </c:pt>
                <c:pt idx="685">
                  <c:v>0.68568568568567678</c:v>
                </c:pt>
                <c:pt idx="686">
                  <c:v>0.68668668668667776</c:v>
                </c:pt>
                <c:pt idx="687">
                  <c:v>0.68768768768767874</c:v>
                </c:pt>
                <c:pt idx="688">
                  <c:v>0.68868868868867972</c:v>
                </c:pt>
                <c:pt idx="689">
                  <c:v>0.6896896896896807</c:v>
                </c:pt>
                <c:pt idx="690">
                  <c:v>0.69069069069068167</c:v>
                </c:pt>
                <c:pt idx="691">
                  <c:v>0.69169169169168265</c:v>
                </c:pt>
                <c:pt idx="692">
                  <c:v>0.69269269269268363</c:v>
                </c:pt>
                <c:pt idx="693">
                  <c:v>0.69369369369368461</c:v>
                </c:pt>
                <c:pt idx="694">
                  <c:v>0.69469469469468559</c:v>
                </c:pt>
                <c:pt idx="695">
                  <c:v>0.69569569569568657</c:v>
                </c:pt>
                <c:pt idx="696">
                  <c:v>0.69669669669668755</c:v>
                </c:pt>
                <c:pt idx="697">
                  <c:v>0.69769769769768852</c:v>
                </c:pt>
                <c:pt idx="698">
                  <c:v>0.6986986986986895</c:v>
                </c:pt>
                <c:pt idx="699">
                  <c:v>0.69969969969969048</c:v>
                </c:pt>
                <c:pt idx="700">
                  <c:v>0.70070070070069146</c:v>
                </c:pt>
                <c:pt idx="701">
                  <c:v>0.70170170170169244</c:v>
                </c:pt>
                <c:pt idx="702">
                  <c:v>0.70270270270269342</c:v>
                </c:pt>
                <c:pt idx="703">
                  <c:v>0.70370370370369439</c:v>
                </c:pt>
                <c:pt idx="704">
                  <c:v>0.70470470470469537</c:v>
                </c:pt>
                <c:pt idx="705">
                  <c:v>0.70570570570569635</c:v>
                </c:pt>
                <c:pt idx="706">
                  <c:v>0.70670670670669733</c:v>
                </c:pt>
                <c:pt idx="707">
                  <c:v>0.70770770770769831</c:v>
                </c:pt>
                <c:pt idx="708">
                  <c:v>0.70870870870869929</c:v>
                </c:pt>
                <c:pt idx="709">
                  <c:v>0.70970970970970026</c:v>
                </c:pt>
                <c:pt idx="710">
                  <c:v>0.71071071071070124</c:v>
                </c:pt>
                <c:pt idx="711">
                  <c:v>0.71171171171170222</c:v>
                </c:pt>
                <c:pt idx="712">
                  <c:v>0.7127127127127032</c:v>
                </c:pt>
                <c:pt idx="713">
                  <c:v>0.71371371371370418</c:v>
                </c:pt>
                <c:pt idx="714">
                  <c:v>0.71471471471470516</c:v>
                </c:pt>
                <c:pt idx="715">
                  <c:v>0.71571571571570614</c:v>
                </c:pt>
                <c:pt idx="716">
                  <c:v>0.71671671671670711</c:v>
                </c:pt>
                <c:pt idx="717">
                  <c:v>0.71771771771770809</c:v>
                </c:pt>
                <c:pt idx="718">
                  <c:v>0.71871871871870907</c:v>
                </c:pt>
                <c:pt idx="719">
                  <c:v>0.71971971971971005</c:v>
                </c:pt>
                <c:pt idx="720">
                  <c:v>0.72072072072071103</c:v>
                </c:pt>
                <c:pt idx="721">
                  <c:v>0.72172172172171201</c:v>
                </c:pt>
                <c:pt idx="722">
                  <c:v>0.72272272272271298</c:v>
                </c:pt>
                <c:pt idx="723">
                  <c:v>0.72372372372371396</c:v>
                </c:pt>
                <c:pt idx="724">
                  <c:v>0.72472472472471494</c:v>
                </c:pt>
                <c:pt idx="725">
                  <c:v>0.72572572572571592</c:v>
                </c:pt>
                <c:pt idx="726">
                  <c:v>0.7267267267267169</c:v>
                </c:pt>
                <c:pt idx="727">
                  <c:v>0.72772772772771788</c:v>
                </c:pt>
                <c:pt idx="728">
                  <c:v>0.72872872872871886</c:v>
                </c:pt>
                <c:pt idx="729">
                  <c:v>0.72972972972971983</c:v>
                </c:pt>
                <c:pt idx="730">
                  <c:v>0.73073073073072081</c:v>
                </c:pt>
                <c:pt idx="731">
                  <c:v>0.73173173173172179</c:v>
                </c:pt>
                <c:pt idx="732">
                  <c:v>0.73273273273272277</c:v>
                </c:pt>
                <c:pt idx="733">
                  <c:v>0.73373373373372375</c:v>
                </c:pt>
                <c:pt idx="734">
                  <c:v>0.73473473473472473</c:v>
                </c:pt>
                <c:pt idx="735">
                  <c:v>0.7357357357357257</c:v>
                </c:pt>
                <c:pt idx="736">
                  <c:v>0.73673673673672668</c:v>
                </c:pt>
                <c:pt idx="737">
                  <c:v>0.73773773773772766</c:v>
                </c:pt>
                <c:pt idx="738">
                  <c:v>0.73873873873872864</c:v>
                </c:pt>
                <c:pt idx="739">
                  <c:v>0.73973973973972962</c:v>
                </c:pt>
                <c:pt idx="740">
                  <c:v>0.7407407407407306</c:v>
                </c:pt>
                <c:pt idx="741">
                  <c:v>0.74174174174173158</c:v>
                </c:pt>
                <c:pt idx="742">
                  <c:v>0.74274274274273255</c:v>
                </c:pt>
                <c:pt idx="743">
                  <c:v>0.74374374374373353</c:v>
                </c:pt>
                <c:pt idx="744">
                  <c:v>0.74474474474473451</c:v>
                </c:pt>
                <c:pt idx="745">
                  <c:v>0.74574574574573549</c:v>
                </c:pt>
                <c:pt idx="746">
                  <c:v>0.74674674674673647</c:v>
                </c:pt>
                <c:pt idx="747">
                  <c:v>0.74774774774773745</c:v>
                </c:pt>
                <c:pt idx="748">
                  <c:v>0.74874874874873842</c:v>
                </c:pt>
                <c:pt idx="749">
                  <c:v>0.7497497497497394</c:v>
                </c:pt>
                <c:pt idx="750">
                  <c:v>0.75075075075074038</c:v>
                </c:pt>
                <c:pt idx="751">
                  <c:v>0.75175175175174136</c:v>
                </c:pt>
                <c:pt idx="752">
                  <c:v>0.75275275275274234</c:v>
                </c:pt>
                <c:pt idx="753">
                  <c:v>0.75375375375374332</c:v>
                </c:pt>
                <c:pt idx="754">
                  <c:v>0.75475475475474429</c:v>
                </c:pt>
                <c:pt idx="755">
                  <c:v>0.75575575575574527</c:v>
                </c:pt>
                <c:pt idx="756">
                  <c:v>0.75675675675674625</c:v>
                </c:pt>
                <c:pt idx="757">
                  <c:v>0.75775775775774723</c:v>
                </c:pt>
                <c:pt idx="758">
                  <c:v>0.75875875875874821</c:v>
                </c:pt>
                <c:pt idx="759">
                  <c:v>0.75975975975974919</c:v>
                </c:pt>
                <c:pt idx="760">
                  <c:v>0.76076076076075017</c:v>
                </c:pt>
                <c:pt idx="761">
                  <c:v>0.76176176176175114</c:v>
                </c:pt>
                <c:pt idx="762">
                  <c:v>0.76276276276275212</c:v>
                </c:pt>
                <c:pt idx="763">
                  <c:v>0.7637637637637531</c:v>
                </c:pt>
                <c:pt idx="764">
                  <c:v>0.76476476476475408</c:v>
                </c:pt>
                <c:pt idx="765">
                  <c:v>0.76576576576575506</c:v>
                </c:pt>
                <c:pt idx="766">
                  <c:v>0.76676676676675604</c:v>
                </c:pt>
                <c:pt idx="767">
                  <c:v>0.76776776776775701</c:v>
                </c:pt>
                <c:pt idx="768">
                  <c:v>0.76876876876875799</c:v>
                </c:pt>
                <c:pt idx="769">
                  <c:v>0.76976976976975897</c:v>
                </c:pt>
                <c:pt idx="770">
                  <c:v>0.77077077077075995</c:v>
                </c:pt>
                <c:pt idx="771">
                  <c:v>0.77177177177176093</c:v>
                </c:pt>
                <c:pt idx="772">
                  <c:v>0.77277277277276191</c:v>
                </c:pt>
                <c:pt idx="773">
                  <c:v>0.77377377377376289</c:v>
                </c:pt>
                <c:pt idx="774">
                  <c:v>0.77477477477476386</c:v>
                </c:pt>
                <c:pt idx="775">
                  <c:v>0.77577577577576484</c:v>
                </c:pt>
                <c:pt idx="776">
                  <c:v>0.77677677677676582</c:v>
                </c:pt>
                <c:pt idx="777">
                  <c:v>0.7777777777777668</c:v>
                </c:pt>
                <c:pt idx="778">
                  <c:v>0.77877877877876778</c:v>
                </c:pt>
                <c:pt idx="779">
                  <c:v>0.77977977977976876</c:v>
                </c:pt>
                <c:pt idx="780">
                  <c:v>0.78078078078076973</c:v>
                </c:pt>
                <c:pt idx="781">
                  <c:v>0.78178178178177071</c:v>
                </c:pt>
                <c:pt idx="782">
                  <c:v>0.78278278278277169</c:v>
                </c:pt>
                <c:pt idx="783">
                  <c:v>0.78378378378377267</c:v>
                </c:pt>
                <c:pt idx="784">
                  <c:v>0.78478478478477365</c:v>
                </c:pt>
                <c:pt idx="785">
                  <c:v>0.78578578578577463</c:v>
                </c:pt>
                <c:pt idx="786">
                  <c:v>0.7867867867867756</c:v>
                </c:pt>
                <c:pt idx="787">
                  <c:v>0.78778778778777658</c:v>
                </c:pt>
                <c:pt idx="788">
                  <c:v>0.78878878878877756</c:v>
                </c:pt>
                <c:pt idx="789">
                  <c:v>0.78978978978977854</c:v>
                </c:pt>
                <c:pt idx="790">
                  <c:v>0.79079079079077952</c:v>
                </c:pt>
                <c:pt idx="791">
                  <c:v>0.7917917917917805</c:v>
                </c:pt>
                <c:pt idx="792">
                  <c:v>0.79279279279278148</c:v>
                </c:pt>
                <c:pt idx="793">
                  <c:v>0.79379379379378245</c:v>
                </c:pt>
                <c:pt idx="794">
                  <c:v>0.79479479479478343</c:v>
                </c:pt>
                <c:pt idx="795">
                  <c:v>0.79579579579578441</c:v>
                </c:pt>
                <c:pt idx="796">
                  <c:v>0.79679679679678539</c:v>
                </c:pt>
                <c:pt idx="797">
                  <c:v>0.79779779779778637</c:v>
                </c:pt>
                <c:pt idx="798">
                  <c:v>0.79879879879878735</c:v>
                </c:pt>
                <c:pt idx="799">
                  <c:v>0.79979979979978832</c:v>
                </c:pt>
                <c:pt idx="800">
                  <c:v>0.8008008008007893</c:v>
                </c:pt>
                <c:pt idx="801">
                  <c:v>0.80180180180179028</c:v>
                </c:pt>
                <c:pt idx="802">
                  <c:v>0.80280280280279126</c:v>
                </c:pt>
                <c:pt idx="803">
                  <c:v>0.80380380380379224</c:v>
                </c:pt>
                <c:pt idx="804">
                  <c:v>0.80480480480479322</c:v>
                </c:pt>
                <c:pt idx="805">
                  <c:v>0.8058058058057942</c:v>
                </c:pt>
                <c:pt idx="806">
                  <c:v>0.80680680680679517</c:v>
                </c:pt>
                <c:pt idx="807">
                  <c:v>0.80780780780779615</c:v>
                </c:pt>
                <c:pt idx="808">
                  <c:v>0.80880880880879713</c:v>
                </c:pt>
                <c:pt idx="809">
                  <c:v>0.80980980980979811</c:v>
                </c:pt>
                <c:pt idx="810">
                  <c:v>0.81081081081079909</c:v>
                </c:pt>
                <c:pt idx="811">
                  <c:v>0.81181181181180007</c:v>
                </c:pt>
                <c:pt idx="812">
                  <c:v>0.81281281281280104</c:v>
                </c:pt>
                <c:pt idx="813">
                  <c:v>0.81381381381380202</c:v>
                </c:pt>
                <c:pt idx="814">
                  <c:v>0.814814814814803</c:v>
                </c:pt>
                <c:pt idx="815">
                  <c:v>0.81581581581580398</c:v>
                </c:pt>
                <c:pt idx="816">
                  <c:v>0.81681681681680496</c:v>
                </c:pt>
                <c:pt idx="817">
                  <c:v>0.81781781781780594</c:v>
                </c:pt>
                <c:pt idx="818">
                  <c:v>0.81881881881880691</c:v>
                </c:pt>
                <c:pt idx="819">
                  <c:v>0.81981981981980789</c:v>
                </c:pt>
                <c:pt idx="820">
                  <c:v>0.82082082082080887</c:v>
                </c:pt>
                <c:pt idx="821">
                  <c:v>0.82182182182180985</c:v>
                </c:pt>
                <c:pt idx="822">
                  <c:v>0.82282282282281083</c:v>
                </c:pt>
                <c:pt idx="823">
                  <c:v>0.82382382382381181</c:v>
                </c:pt>
                <c:pt idx="824">
                  <c:v>0.82482482482481279</c:v>
                </c:pt>
                <c:pt idx="825">
                  <c:v>0.82582582582581376</c:v>
                </c:pt>
                <c:pt idx="826">
                  <c:v>0.82682682682681474</c:v>
                </c:pt>
                <c:pt idx="827">
                  <c:v>0.82782782782781572</c:v>
                </c:pt>
                <c:pt idx="828">
                  <c:v>0.8288288288288167</c:v>
                </c:pt>
                <c:pt idx="829">
                  <c:v>0.82982982982981768</c:v>
                </c:pt>
                <c:pt idx="830">
                  <c:v>0.83083083083081866</c:v>
                </c:pt>
                <c:pt idx="831">
                  <c:v>0.83183183183181963</c:v>
                </c:pt>
                <c:pt idx="832">
                  <c:v>0.83283283283282061</c:v>
                </c:pt>
                <c:pt idx="833">
                  <c:v>0.83383383383382159</c:v>
                </c:pt>
                <c:pt idx="834">
                  <c:v>0.83483483483482257</c:v>
                </c:pt>
                <c:pt idx="835">
                  <c:v>0.83583583583582355</c:v>
                </c:pt>
                <c:pt idx="836">
                  <c:v>0.83683683683682453</c:v>
                </c:pt>
                <c:pt idx="837">
                  <c:v>0.83783783783782551</c:v>
                </c:pt>
                <c:pt idx="838">
                  <c:v>0.83883883883882648</c:v>
                </c:pt>
                <c:pt idx="839">
                  <c:v>0.83983983983982746</c:v>
                </c:pt>
                <c:pt idx="840">
                  <c:v>0.84084084084082844</c:v>
                </c:pt>
                <c:pt idx="841">
                  <c:v>0.84184184184182942</c:v>
                </c:pt>
                <c:pt idx="842">
                  <c:v>0.8428428428428304</c:v>
                </c:pt>
                <c:pt idx="843">
                  <c:v>0.84384384384383138</c:v>
                </c:pt>
                <c:pt idx="844">
                  <c:v>0.84484484484483235</c:v>
                </c:pt>
                <c:pt idx="845">
                  <c:v>0.84584584584583333</c:v>
                </c:pt>
                <c:pt idx="846">
                  <c:v>0.84684684684683431</c:v>
                </c:pt>
                <c:pt idx="847">
                  <c:v>0.84784784784783529</c:v>
                </c:pt>
                <c:pt idx="848">
                  <c:v>0.84884884884883627</c:v>
                </c:pt>
                <c:pt idx="849">
                  <c:v>0.84984984984983725</c:v>
                </c:pt>
                <c:pt idx="850">
                  <c:v>0.85085085085083823</c:v>
                </c:pt>
                <c:pt idx="851">
                  <c:v>0.8518518518518392</c:v>
                </c:pt>
                <c:pt idx="852">
                  <c:v>0.85285285285284018</c:v>
                </c:pt>
                <c:pt idx="853">
                  <c:v>0.85385385385384116</c:v>
                </c:pt>
                <c:pt idx="854">
                  <c:v>0.85485485485484214</c:v>
                </c:pt>
                <c:pt idx="855">
                  <c:v>0.85585585585584312</c:v>
                </c:pt>
                <c:pt idx="856">
                  <c:v>0.8568568568568441</c:v>
                </c:pt>
                <c:pt idx="857">
                  <c:v>0.85785785785784507</c:v>
                </c:pt>
                <c:pt idx="858">
                  <c:v>0.85885885885884605</c:v>
                </c:pt>
                <c:pt idx="859">
                  <c:v>0.85985985985984703</c:v>
                </c:pt>
                <c:pt idx="860">
                  <c:v>0.86086086086084801</c:v>
                </c:pt>
                <c:pt idx="861">
                  <c:v>0.86186186186184899</c:v>
                </c:pt>
                <c:pt idx="862">
                  <c:v>0.86286286286284997</c:v>
                </c:pt>
                <c:pt idx="863">
                  <c:v>0.86386386386385094</c:v>
                </c:pt>
                <c:pt idx="864">
                  <c:v>0.86486486486485192</c:v>
                </c:pt>
                <c:pt idx="865">
                  <c:v>0.8658658658658529</c:v>
                </c:pt>
                <c:pt idx="866">
                  <c:v>0.86686686686685388</c:v>
                </c:pt>
                <c:pt idx="867">
                  <c:v>0.86786786786785486</c:v>
                </c:pt>
                <c:pt idx="868">
                  <c:v>0.86886886886885584</c:v>
                </c:pt>
                <c:pt idx="869">
                  <c:v>0.86986986986985682</c:v>
                </c:pt>
                <c:pt idx="870">
                  <c:v>0.87087087087085779</c:v>
                </c:pt>
                <c:pt idx="871">
                  <c:v>0.87187187187185877</c:v>
                </c:pt>
                <c:pt idx="872">
                  <c:v>0.87287287287285975</c:v>
                </c:pt>
                <c:pt idx="873">
                  <c:v>0.87387387387386073</c:v>
                </c:pt>
                <c:pt idx="874">
                  <c:v>0.87487487487486171</c:v>
                </c:pt>
                <c:pt idx="875">
                  <c:v>0.87587587587586269</c:v>
                </c:pt>
                <c:pt idx="876">
                  <c:v>0.87687687687686366</c:v>
                </c:pt>
                <c:pt idx="877">
                  <c:v>0.87787787787786464</c:v>
                </c:pt>
                <c:pt idx="878">
                  <c:v>0.87887887887886562</c:v>
                </c:pt>
                <c:pt idx="879">
                  <c:v>0.8798798798798666</c:v>
                </c:pt>
                <c:pt idx="880">
                  <c:v>0.88088088088086758</c:v>
                </c:pt>
                <c:pt idx="881">
                  <c:v>0.88188188188186856</c:v>
                </c:pt>
                <c:pt idx="882">
                  <c:v>0.88288288288286954</c:v>
                </c:pt>
                <c:pt idx="883">
                  <c:v>0.88388388388387051</c:v>
                </c:pt>
                <c:pt idx="884">
                  <c:v>0.88488488488487149</c:v>
                </c:pt>
                <c:pt idx="885">
                  <c:v>0.88588588588587247</c:v>
                </c:pt>
                <c:pt idx="886">
                  <c:v>0.88688688688687345</c:v>
                </c:pt>
                <c:pt idx="887">
                  <c:v>0.88788788788787443</c:v>
                </c:pt>
                <c:pt idx="888">
                  <c:v>0.88888888888887541</c:v>
                </c:pt>
                <c:pt idx="889">
                  <c:v>0.88988988988987638</c:v>
                </c:pt>
                <c:pt idx="890">
                  <c:v>0.89089089089087736</c:v>
                </c:pt>
                <c:pt idx="891">
                  <c:v>0.89189189189187834</c:v>
                </c:pt>
                <c:pt idx="892">
                  <c:v>0.89289289289287932</c:v>
                </c:pt>
                <c:pt idx="893">
                  <c:v>0.8938938938938803</c:v>
                </c:pt>
                <c:pt idx="894">
                  <c:v>0.89489489489488128</c:v>
                </c:pt>
                <c:pt idx="895">
                  <c:v>0.89589589589588225</c:v>
                </c:pt>
                <c:pt idx="896">
                  <c:v>0.89689689689688323</c:v>
                </c:pt>
                <c:pt idx="897">
                  <c:v>0.89789789789788421</c:v>
                </c:pt>
                <c:pt idx="898">
                  <c:v>0.89889889889888519</c:v>
                </c:pt>
                <c:pt idx="899">
                  <c:v>0.89989989989988617</c:v>
                </c:pt>
                <c:pt idx="900">
                  <c:v>0.90090090090088715</c:v>
                </c:pt>
                <c:pt idx="901">
                  <c:v>0.90190190190188813</c:v>
                </c:pt>
                <c:pt idx="902">
                  <c:v>0.9029029029028891</c:v>
                </c:pt>
                <c:pt idx="903">
                  <c:v>0.90390390390389008</c:v>
                </c:pt>
                <c:pt idx="904">
                  <c:v>0.90490490490489106</c:v>
                </c:pt>
                <c:pt idx="905">
                  <c:v>0.90590590590589204</c:v>
                </c:pt>
                <c:pt idx="906">
                  <c:v>0.90690690690689302</c:v>
                </c:pt>
                <c:pt idx="907">
                  <c:v>0.907907907907894</c:v>
                </c:pt>
                <c:pt idx="908">
                  <c:v>0.90890890890889497</c:v>
                </c:pt>
                <c:pt idx="909">
                  <c:v>0.90990990990989595</c:v>
                </c:pt>
                <c:pt idx="910">
                  <c:v>0.91091091091089693</c:v>
                </c:pt>
                <c:pt idx="911">
                  <c:v>0.91191191191189791</c:v>
                </c:pt>
                <c:pt idx="912">
                  <c:v>0.91291291291289889</c:v>
                </c:pt>
                <c:pt idx="913">
                  <c:v>0.91391391391389987</c:v>
                </c:pt>
                <c:pt idx="914">
                  <c:v>0.91491491491490085</c:v>
                </c:pt>
                <c:pt idx="915">
                  <c:v>0.91591591591590182</c:v>
                </c:pt>
                <c:pt idx="916">
                  <c:v>0.9169169169169028</c:v>
                </c:pt>
                <c:pt idx="917">
                  <c:v>0.91791791791790378</c:v>
                </c:pt>
                <c:pt idx="918">
                  <c:v>0.91891891891890476</c:v>
                </c:pt>
                <c:pt idx="919">
                  <c:v>0.91991991991990574</c:v>
                </c:pt>
                <c:pt idx="920">
                  <c:v>0.92092092092090672</c:v>
                </c:pt>
                <c:pt idx="921">
                  <c:v>0.92192192192190769</c:v>
                </c:pt>
                <c:pt idx="922">
                  <c:v>0.92292292292290867</c:v>
                </c:pt>
                <c:pt idx="923">
                  <c:v>0.92392392392390965</c:v>
                </c:pt>
                <c:pt idx="924">
                  <c:v>0.92492492492491063</c:v>
                </c:pt>
                <c:pt idx="925">
                  <c:v>0.92592592592591161</c:v>
                </c:pt>
                <c:pt idx="926">
                  <c:v>0.92692692692691259</c:v>
                </c:pt>
                <c:pt idx="927">
                  <c:v>0.92792792792791357</c:v>
                </c:pt>
                <c:pt idx="928">
                  <c:v>0.92892892892891454</c:v>
                </c:pt>
                <c:pt idx="929">
                  <c:v>0.92992992992991552</c:v>
                </c:pt>
                <c:pt idx="930">
                  <c:v>0.9309309309309165</c:v>
                </c:pt>
                <c:pt idx="931">
                  <c:v>0.93193193193191748</c:v>
                </c:pt>
                <c:pt idx="932">
                  <c:v>0.93293293293291846</c:v>
                </c:pt>
                <c:pt idx="933">
                  <c:v>0.93393393393391944</c:v>
                </c:pt>
                <c:pt idx="934">
                  <c:v>0.93493493493492041</c:v>
                </c:pt>
                <c:pt idx="935">
                  <c:v>0.93593593593592139</c:v>
                </c:pt>
                <c:pt idx="936">
                  <c:v>0.93693693693692237</c:v>
                </c:pt>
                <c:pt idx="937">
                  <c:v>0.93793793793792335</c:v>
                </c:pt>
                <c:pt idx="938">
                  <c:v>0.93893893893892433</c:v>
                </c:pt>
                <c:pt idx="939">
                  <c:v>0.93993993993992531</c:v>
                </c:pt>
                <c:pt idx="940">
                  <c:v>0.94094094094092628</c:v>
                </c:pt>
                <c:pt idx="941">
                  <c:v>0.94194194194192726</c:v>
                </c:pt>
                <c:pt idx="942">
                  <c:v>0.94294294294292824</c:v>
                </c:pt>
                <c:pt idx="943">
                  <c:v>0.94394394394392922</c:v>
                </c:pt>
                <c:pt idx="944">
                  <c:v>0.9449449449449302</c:v>
                </c:pt>
                <c:pt idx="945">
                  <c:v>0.94594594594593118</c:v>
                </c:pt>
                <c:pt idx="946">
                  <c:v>0.94694694694693216</c:v>
                </c:pt>
                <c:pt idx="947">
                  <c:v>0.94794794794793313</c:v>
                </c:pt>
                <c:pt idx="948">
                  <c:v>0.94894894894893411</c:v>
                </c:pt>
                <c:pt idx="949">
                  <c:v>0.94994994994993509</c:v>
                </c:pt>
                <c:pt idx="950">
                  <c:v>0.95095095095093607</c:v>
                </c:pt>
                <c:pt idx="951">
                  <c:v>0.95195195195193705</c:v>
                </c:pt>
                <c:pt idx="952">
                  <c:v>0.95295295295293803</c:v>
                </c:pt>
                <c:pt idx="953">
                  <c:v>0.953953953953939</c:v>
                </c:pt>
                <c:pt idx="954">
                  <c:v>0.95495495495493998</c:v>
                </c:pt>
                <c:pt idx="955">
                  <c:v>0.95595595595594096</c:v>
                </c:pt>
                <c:pt idx="956">
                  <c:v>0.95695695695694194</c:v>
                </c:pt>
                <c:pt idx="957">
                  <c:v>0.95795795795794292</c:v>
                </c:pt>
                <c:pt idx="958">
                  <c:v>0.9589589589589439</c:v>
                </c:pt>
                <c:pt idx="959">
                  <c:v>0.95995995995994488</c:v>
                </c:pt>
                <c:pt idx="960">
                  <c:v>0.96096096096094585</c:v>
                </c:pt>
                <c:pt idx="961">
                  <c:v>0.96196196196194683</c:v>
                </c:pt>
                <c:pt idx="962">
                  <c:v>0.96296296296294781</c:v>
                </c:pt>
                <c:pt idx="963">
                  <c:v>0.96396396396394879</c:v>
                </c:pt>
                <c:pt idx="964">
                  <c:v>0.96496496496494977</c:v>
                </c:pt>
                <c:pt idx="965">
                  <c:v>0.96596596596595075</c:v>
                </c:pt>
                <c:pt idx="966">
                  <c:v>0.96696696696695172</c:v>
                </c:pt>
                <c:pt idx="967">
                  <c:v>0.9679679679679527</c:v>
                </c:pt>
                <c:pt idx="968">
                  <c:v>0.96896896896895368</c:v>
                </c:pt>
                <c:pt idx="969">
                  <c:v>0.96996996996995466</c:v>
                </c:pt>
                <c:pt idx="970">
                  <c:v>0.97097097097095564</c:v>
                </c:pt>
                <c:pt idx="971">
                  <c:v>0.97197197197195662</c:v>
                </c:pt>
                <c:pt idx="972">
                  <c:v>0.97297297297295759</c:v>
                </c:pt>
                <c:pt idx="973">
                  <c:v>0.97397397397395857</c:v>
                </c:pt>
                <c:pt idx="974">
                  <c:v>0.97497497497495955</c:v>
                </c:pt>
                <c:pt idx="975">
                  <c:v>0.97597597597596053</c:v>
                </c:pt>
                <c:pt idx="976">
                  <c:v>0.97697697697696151</c:v>
                </c:pt>
                <c:pt idx="977">
                  <c:v>0.97797797797796249</c:v>
                </c:pt>
                <c:pt idx="978">
                  <c:v>0.97897897897896347</c:v>
                </c:pt>
                <c:pt idx="979">
                  <c:v>0.97997997997996444</c:v>
                </c:pt>
                <c:pt idx="980">
                  <c:v>0.98098098098096542</c:v>
                </c:pt>
                <c:pt idx="981">
                  <c:v>0.9819819819819664</c:v>
                </c:pt>
                <c:pt idx="982">
                  <c:v>0.98298298298296738</c:v>
                </c:pt>
                <c:pt idx="983">
                  <c:v>0.98398398398396836</c:v>
                </c:pt>
                <c:pt idx="984">
                  <c:v>0.98498498498496934</c:v>
                </c:pt>
                <c:pt idx="985">
                  <c:v>0.98598598598597031</c:v>
                </c:pt>
                <c:pt idx="986">
                  <c:v>0.98698698698697129</c:v>
                </c:pt>
                <c:pt idx="987">
                  <c:v>0.98798798798797227</c:v>
                </c:pt>
                <c:pt idx="988">
                  <c:v>0.98898898898897325</c:v>
                </c:pt>
                <c:pt idx="989">
                  <c:v>0.98998998998997423</c:v>
                </c:pt>
                <c:pt idx="990">
                  <c:v>0.99099099099097521</c:v>
                </c:pt>
                <c:pt idx="991">
                  <c:v>0.99199199199197619</c:v>
                </c:pt>
                <c:pt idx="992">
                  <c:v>0.99299299299297716</c:v>
                </c:pt>
                <c:pt idx="993">
                  <c:v>0.99399399399397814</c:v>
                </c:pt>
                <c:pt idx="994">
                  <c:v>0.99499499499497912</c:v>
                </c:pt>
                <c:pt idx="995">
                  <c:v>0.9959959959959801</c:v>
                </c:pt>
                <c:pt idx="996">
                  <c:v>0.99699699699698108</c:v>
                </c:pt>
                <c:pt idx="997">
                  <c:v>0.99799799799798206</c:v>
                </c:pt>
                <c:pt idx="998">
                  <c:v>0.99899899899898303</c:v>
                </c:pt>
                <c:pt idx="999">
                  <c:v>0.99999999999998401</c:v>
                </c:pt>
              </c:numCache>
            </c:numRef>
          </c:yVal>
          <c:smooth val="1"/>
        </c:ser>
        <c:axId val="162151808"/>
        <c:axId val="162165888"/>
      </c:scatterChart>
      <c:valAx>
        <c:axId val="162151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65888"/>
        <c:crosses val="autoZero"/>
        <c:crossBetween val="midCat"/>
      </c:valAx>
      <c:valAx>
        <c:axId val="1621658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7553017944535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51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419100</xdr:colOff>
      <xdr:row>5</xdr:row>
      <xdr:rowOff>0</xdr:rowOff>
    </xdr:from>
    <xdr:to>
      <xdr:col>44</xdr:col>
      <xdr:colOff>476250</xdr:colOff>
      <xdr:row>22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152400</xdr:colOff>
      <xdr:row>5</xdr:row>
      <xdr:rowOff>9525</xdr:rowOff>
    </xdr:from>
    <xdr:to>
      <xdr:col>34</xdr:col>
      <xdr:colOff>400050</xdr:colOff>
      <xdr:row>22</xdr:row>
      <xdr:rowOff>133350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showGridLines="0" topLeftCell="P1" zoomScale="75" workbookViewId="0">
      <selection activeCell="AN29" sqref="AN29"/>
    </sheetView>
  </sheetViews>
  <sheetFormatPr defaultRowHeight="12"/>
  <sheetData>
    <row r="1" spans="1:25">
      <c r="A1" t="s">
        <v>67</v>
      </c>
    </row>
    <row r="2" spans="1:25">
      <c r="A2" t="s">
        <v>39</v>
      </c>
      <c r="B2" t="str">
        <f ca="1">ADDRESS(ROW(Model!$B$19),COLUMN(Model!$B$19),4,,_xll.WSNAME(Model!$B$19))</f>
        <v>Model!B19</v>
      </c>
      <c r="C2" t="str">
        <f ca="1">ADDRESS(ROW(Model!$B$19),COLUMN(Model!$B$19),4,,_xll.WSNAME(Model!$B$19))</f>
        <v>Model!B19</v>
      </c>
      <c r="D2" t="str">
        <f ca="1">ADDRESS(ROW(Model!$B$19),COLUMN(Model!$B$19),4,,_xll.WSNAME(Model!$B$19))</f>
        <v>Model!B19</v>
      </c>
      <c r="E2" t="str">
        <f ca="1">ADDRESS(ROW(Model!$B$19),COLUMN(Model!$B$19),4,,_xll.WSNAME(Model!$B$19))</f>
        <v>Model!B19</v>
      </c>
    </row>
    <row r="3" spans="1:25">
      <c r="A3" t="s">
        <v>5</v>
      </c>
      <c r="B3">
        <f>AVERAGE(B9:B508)</f>
        <v>289.3319889721331</v>
      </c>
      <c r="C3">
        <f>AVERAGE(C9:C508)</f>
        <v>209.33428135580965</v>
      </c>
      <c r="D3">
        <f>AVERAGE(D9:D508)</f>
        <v>129.33657373948637</v>
      </c>
      <c r="E3">
        <f>AVERAGE(E9:E508)</f>
        <v>49.338866123163029</v>
      </c>
    </row>
    <row r="4" spans="1:25">
      <c r="A4" t="s">
        <v>16</v>
      </c>
      <c r="B4">
        <f>STDEV(B9:B508)</f>
        <v>92.263018113627282</v>
      </c>
      <c r="C4">
        <f>STDEV(C9:C508)</f>
        <v>88.965758026347899</v>
      </c>
      <c r="D4">
        <f>STDEV(D9:D508)</f>
        <v>85.833077214534285</v>
      </c>
      <c r="E4">
        <f>STDEV(E9:E508)</f>
        <v>82.883639158619246</v>
      </c>
    </row>
    <row r="5" spans="1:25">
      <c r="A5" t="s">
        <v>17</v>
      </c>
      <c r="B5">
        <f>100*B4/B3</f>
        <v>31.88828806707355</v>
      </c>
      <c r="C5">
        <f>100*C4/C3</f>
        <v>42.499373466274754</v>
      </c>
      <c r="D5">
        <f>100*D4/D3</f>
        <v>66.364118619240571</v>
      </c>
      <c r="E5">
        <f>100*E4/E3</f>
        <v>167.98853656612107</v>
      </c>
    </row>
    <row r="6" spans="1:25">
      <c r="A6" t="s">
        <v>18</v>
      </c>
      <c r="B6">
        <f>MIN(B9:B508)</f>
        <v>63.580362380286331</v>
      </c>
      <c r="C6">
        <f>MIN(C9:C508)</f>
        <v>-9.4505833824257195</v>
      </c>
      <c r="D6">
        <f>MIN(D9:D508)</f>
        <v>-82.481529145137785</v>
      </c>
      <c r="E6">
        <f>MIN(E9:E508)</f>
        <v>-155.51247490784982</v>
      </c>
      <c r="H6" t="str">
        <f>SimDataScen!$B$8</f>
        <v>Profit: 1</v>
      </c>
      <c r="I6" t="s">
        <v>31</v>
      </c>
      <c r="J6" t="str">
        <f>SimDataScen!$C$8</f>
        <v>Profit: 2</v>
      </c>
      <c r="K6" t="s">
        <v>31</v>
      </c>
      <c r="L6" t="str">
        <f>SimDataScen!$D$8</f>
        <v>Profit: 3</v>
      </c>
      <c r="M6" t="s">
        <v>31</v>
      </c>
      <c r="N6" t="str">
        <f>SimDataScen!$E$8</f>
        <v>Profit: 4</v>
      </c>
      <c r="O6" t="s">
        <v>31</v>
      </c>
      <c r="Q6" t="s">
        <v>68</v>
      </c>
    </row>
    <row r="7" spans="1:25">
      <c r="A7" t="s">
        <v>19</v>
      </c>
      <c r="B7">
        <f>MAX(B9:B508)</f>
        <v>579.67663613214268</v>
      </c>
      <c r="C7">
        <f>MAX(C9:C508)</f>
        <v>490.65540553697429</v>
      </c>
      <c r="D7">
        <f>MAX(D9:D508)</f>
        <v>401.6341749418059</v>
      </c>
      <c r="E7">
        <f>MAX(E9:E508)</f>
        <v>312.61294434663751</v>
      </c>
      <c r="H7">
        <f>SMALL(SimDataScen!$B$9:$B$508,1)</f>
        <v>63.580362380286331</v>
      </c>
      <c r="I7">
        <v>0</v>
      </c>
      <c r="J7">
        <f>SMALL(SimDataScen!$C$9:$C$508,1)</f>
        <v>-9.4505833824257195</v>
      </c>
      <c r="K7">
        <v>0</v>
      </c>
      <c r="L7">
        <f>SMALL(SimDataScen!$D$9:$D$508,1)</f>
        <v>-82.481529145137785</v>
      </c>
      <c r="M7">
        <v>0</v>
      </c>
      <c r="N7">
        <f>SMALL(SimDataScen!$E$9:$E$508,1)</f>
        <v>-155.51247490784982</v>
      </c>
      <c r="O7">
        <v>0</v>
      </c>
      <c r="R7" t="str">
        <f>SimDataScen!$B$8</f>
        <v>Profit: 1</v>
      </c>
      <c r="T7" t="str">
        <f>SimDataScen!$C$8</f>
        <v>Profit: 2</v>
      </c>
      <c r="V7" t="str">
        <f>SimDataScen!$D$8</f>
        <v>Profit: 3</v>
      </c>
      <c r="X7" t="str">
        <f>SimDataScen!$E$8</f>
        <v>Profit: 4</v>
      </c>
    </row>
    <row r="8" spans="1:25">
      <c r="A8" t="s">
        <v>20</v>
      </c>
      <c r="B8" t="str">
        <f>Model!$A$19&amp;": "&amp;1</f>
        <v>Profit: 1</v>
      </c>
      <c r="C8" t="str">
        <f>Model!$A$19&amp;": "&amp;2</f>
        <v>Profit: 2</v>
      </c>
      <c r="D8" t="str">
        <f>Model!$A$19&amp;": "&amp;3</f>
        <v>Profit: 3</v>
      </c>
      <c r="E8" t="str">
        <f>Model!$A$19&amp;": "&amp;4</f>
        <v>Profit: 4</v>
      </c>
      <c r="H8">
        <f>SMALL(SimDataScen!$B$9:$B$508,2)</f>
        <v>94.258033145381859</v>
      </c>
      <c r="I8">
        <f>1/(COUNT(SimDataScen!$B$9:$B$508)-1)+$I$7</f>
        <v>2.004008016032064E-3</v>
      </c>
      <c r="J8">
        <f>SMALL(SimDataScen!$C$9:$C$508,2)</f>
        <v>12.277570086761216</v>
      </c>
      <c r="K8">
        <f>1/(COUNT(SimDataScen!$C$9:$C$508)-1)+$K$7</f>
        <v>2.004008016032064E-3</v>
      </c>
      <c r="L8">
        <f>SMALL(SimDataScen!$D$9:$D$508,2)</f>
        <v>-70.353020462115865</v>
      </c>
      <c r="M8">
        <f>1/(COUNT(SimDataScen!$D$9:$D$508)-1)+$M$7</f>
        <v>2.004008016032064E-3</v>
      </c>
      <c r="N8">
        <f>SMALL(SimDataScen!$E$9:$E$508,2)</f>
        <v>-152.98361101099295</v>
      </c>
      <c r="O8">
        <f>1/(COUNT(SimDataScen!$E$9:$E$508)-1)+$O$7</f>
        <v>2.004008016032064E-3</v>
      </c>
      <c r="Q8" t="s">
        <v>69</v>
      </c>
      <c r="R8">
        <f>MIN(SimDataScen!$B$9:$B$508)</f>
        <v>63.580362380286331</v>
      </c>
      <c r="T8">
        <f>MIN(SimDataScen!$C$9:$C$508)</f>
        <v>-9.4505833824257195</v>
      </c>
      <c r="V8">
        <f>MIN(SimDataScen!$D$9:$D$508)</f>
        <v>-82.481529145137785</v>
      </c>
      <c r="X8">
        <f>MIN(SimDataScen!$E$9:$E$508)</f>
        <v>-155.51247490784982</v>
      </c>
    </row>
    <row r="9" spans="1:25">
      <c r="A9">
        <v>1</v>
      </c>
      <c r="B9">
        <v>165.0733405457878</v>
      </c>
      <c r="C9">
        <v>94.795642643846733</v>
      </c>
      <c r="D9">
        <v>24.517944741905637</v>
      </c>
      <c r="E9">
        <v>-45.75975316003543</v>
      </c>
      <c r="H9">
        <f>SMALL(SimDataScen!$B$9:$B$508,3)</f>
        <v>94.908160635638296</v>
      </c>
      <c r="I9">
        <f>1/(COUNT(SimDataScen!$B$9:$B$508)-1)+$I$8</f>
        <v>4.0080160320641279E-3</v>
      </c>
      <c r="J9">
        <f>SMALL(SimDataScen!$C$9:$C$508,3)</f>
        <v>20.238653084197466</v>
      </c>
      <c r="K9">
        <f>1/(COUNT(SimDataScen!$C$9:$C$508)-1)+$K$8</f>
        <v>4.0080160320641279E-3</v>
      </c>
      <c r="L9">
        <f>SMALL(SimDataScen!$D$9:$D$508,3)</f>
        <v>-58.567961568968812</v>
      </c>
      <c r="M9">
        <f>1/(COUNT(SimDataScen!$D$9:$D$508)-1)+$M$8</f>
        <v>4.0080160320641279E-3</v>
      </c>
      <c r="N9">
        <f>SMALL(SimDataScen!$E$9:$E$508,3)</f>
        <v>-138.83497816869365</v>
      </c>
      <c r="O9">
        <f>1/(COUNT(SimDataScen!$E$9:$E$508)-1)+$O$8</f>
        <v>4.0080160320641279E-3</v>
      </c>
      <c r="Q9" t="s">
        <v>70</v>
      </c>
      <c r="R9">
        <f>MAX(SimDataScen!$B$9:$B$508)</f>
        <v>579.67663613214268</v>
      </c>
      <c r="T9">
        <f>MAX(SimDataScen!$C$9:$C$508)</f>
        <v>490.65540553697429</v>
      </c>
      <c r="V9">
        <f>MAX(SimDataScen!$D$9:$D$508)</f>
        <v>401.6341749418059</v>
      </c>
      <c r="X9">
        <f>MAX(SimDataScen!$E$9:$E$508)</f>
        <v>312.61294434663751</v>
      </c>
    </row>
    <row r="10" spans="1:25">
      <c r="A10">
        <v>2</v>
      </c>
      <c r="B10">
        <v>191.09957420274043</v>
      </c>
      <c r="C10">
        <v>116.56978818510927</v>
      </c>
      <c r="D10">
        <v>42.040002167478121</v>
      </c>
      <c r="E10">
        <v>-32.489783850153032</v>
      </c>
      <c r="H10">
        <f>SMALL(SimDataScen!$B$9:$B$508,4)</f>
        <v>101.41868532801837</v>
      </c>
      <c r="I10">
        <f>1/(COUNT(SimDataScen!$B$9:$B$508)-1)+$I$9</f>
        <v>6.0120240480961915E-3</v>
      </c>
      <c r="J10">
        <f>SMALL(SimDataScen!$C$9:$C$508,4)</f>
        <v>21.699055030756043</v>
      </c>
      <c r="K10">
        <f>1/(COUNT(SimDataScen!$C$9:$C$508)-1)+$K$9</f>
        <v>6.0120240480961915E-3</v>
      </c>
      <c r="L10">
        <f>SMALL(SimDataScen!$D$9:$D$508,4)</f>
        <v>-53.780726976986927</v>
      </c>
      <c r="M10">
        <f>1/(COUNT(SimDataScen!$D$9:$D$508)-1)+$M$9</f>
        <v>6.0120240480961915E-3</v>
      </c>
      <c r="N10">
        <f>SMALL(SimDataScen!$E$9:$E$508,4)</f>
        <v>-127.80010703817132</v>
      </c>
      <c r="O10">
        <f>1/(COUNT(SimDataScen!$E$9:$E$508)-1)+$O$9</f>
        <v>6.0120240480961915E-3</v>
      </c>
      <c r="Q10" t="s">
        <v>71</v>
      </c>
      <c r="R10">
        <f>_xll.BANDWIDTH(SimDataScen!$B$9:$B$508)</f>
        <v>27.725166089080588</v>
      </c>
      <c r="T10">
        <f>_xll.BANDWIDTH(SimDataScen!$C$9:$C$508)</f>
        <v>26.346521673398346</v>
      </c>
      <c r="V10">
        <f>_xll.BANDWIDTH(SimDataScen!$D$9:$D$508)</f>
        <v>24.944631497142112</v>
      </c>
      <c r="X10">
        <f>_xll.BANDWIDTH(SimDataScen!$E$9:$E$508)</f>
        <v>24.248792684258074</v>
      </c>
    </row>
    <row r="11" spans="1:25">
      <c r="A11">
        <v>3</v>
      </c>
      <c r="B11">
        <v>287.47531144821119</v>
      </c>
      <c r="C11">
        <v>208.6915856148745</v>
      </c>
      <c r="D11">
        <v>129.90785978153781</v>
      </c>
      <c r="E11">
        <v>51.124133948201148</v>
      </c>
      <c r="H11">
        <f>SMALL(SimDataScen!$B$9:$B$508,5)</f>
        <v>101.96607163048088</v>
      </c>
      <c r="I11">
        <f>1/(COUNT(SimDataScen!$B$9:$B$508)-1)+$I$10</f>
        <v>8.0160320641282558E-3</v>
      </c>
      <c r="J11">
        <f>SMALL(SimDataScen!$C$9:$C$508,5)</f>
        <v>29.955244950195237</v>
      </c>
      <c r="K11">
        <f>1/(COUNT(SimDataScen!$C$9:$C$508)-1)+$K$10</f>
        <v>8.0160320641282558E-3</v>
      </c>
      <c r="L11">
        <f>SMALL(SimDataScen!$D$9:$D$508,5)</f>
        <v>-46.776664049858255</v>
      </c>
      <c r="M11">
        <f>1/(COUNT(SimDataScen!$D$9:$D$508)-1)+$M$10</f>
        <v>8.0160320641282558E-3</v>
      </c>
      <c r="N11">
        <f>SMALL(SimDataScen!$E$9:$E$508,5)</f>
        <v>-123.50857304991172</v>
      </c>
      <c r="O11">
        <f>1/(COUNT(SimDataScen!$E$9:$E$508)-1)+$O$10</f>
        <v>8.0160320641282558E-3</v>
      </c>
      <c r="Q11" t="s">
        <v>72</v>
      </c>
      <c r="R11" t="s">
        <v>77</v>
      </c>
      <c r="T11" t="s">
        <v>77</v>
      </c>
      <c r="V11" t="s">
        <v>77</v>
      </c>
      <c r="X11" t="s">
        <v>77</v>
      </c>
    </row>
    <row r="12" spans="1:25">
      <c r="A12">
        <v>4</v>
      </c>
      <c r="B12">
        <v>317.82522094746497</v>
      </c>
      <c r="C12">
        <v>239.58416141566221</v>
      </c>
      <c r="D12">
        <v>161.34310188385945</v>
      </c>
      <c r="E12">
        <v>83.102042352056685</v>
      </c>
      <c r="H12">
        <f>SMALL(SimDataScen!$B$9:$B$508,6)</f>
        <v>103.06396741280439</v>
      </c>
      <c r="I12">
        <f>1/(COUNT(SimDataScen!$B$9:$B$508)-1)+$I$11</f>
        <v>1.002004008016032E-2</v>
      </c>
      <c r="J12">
        <f>SMALL(SimDataScen!$C$9:$C$508,6)</f>
        <v>32.11990978704987</v>
      </c>
      <c r="K12">
        <f>1/(COUNT(SimDataScen!$C$9:$C$508)-1)+$K$11</f>
        <v>1.002004008016032E-2</v>
      </c>
      <c r="L12">
        <f>SMALL(SimDataScen!$D$9:$D$508,6)</f>
        <v>-37.178865753918629</v>
      </c>
      <c r="M12">
        <f>1/(COUNT(SimDataScen!$D$9:$D$508)-1)+$M$11</f>
        <v>1.002004008016032E-2</v>
      </c>
      <c r="N12">
        <f>SMALL(SimDataScen!$E$9:$E$508,6)</f>
        <v>-110.05137257508366</v>
      </c>
      <c r="O12">
        <f>1/(COUNT(SimDataScen!$E$9:$E$508)-1)+$O$11</f>
        <v>1.002004008016032E-2</v>
      </c>
      <c r="Q12" t="s">
        <v>73</v>
      </c>
      <c r="R12" s="36">
        <v>0.95</v>
      </c>
      <c r="T12" s="36">
        <f>$R$12</f>
        <v>0.95</v>
      </c>
      <c r="V12" s="36">
        <f>$R$12</f>
        <v>0.95</v>
      </c>
      <c r="X12" s="36">
        <f>$R$12</f>
        <v>0.95</v>
      </c>
    </row>
    <row r="13" spans="1:25">
      <c r="A13">
        <v>5</v>
      </c>
      <c r="B13">
        <v>393.82433914604815</v>
      </c>
      <c r="C13">
        <v>313.96483318654214</v>
      </c>
      <c r="D13">
        <v>234.10532722703607</v>
      </c>
      <c r="E13">
        <v>154.24582126753006</v>
      </c>
      <c r="H13">
        <f>SMALL(SimDataScen!$B$9:$B$508,7)</f>
        <v>103.28683611361984</v>
      </c>
      <c r="I13">
        <f>1/(COUNT(SimDataScen!$B$9:$B$508)-1)+$I$12</f>
        <v>1.2024048096192385E-2</v>
      </c>
      <c r="J13">
        <f>SMALL(SimDataScen!$C$9:$C$508,7)</f>
        <v>33.316522074749003</v>
      </c>
      <c r="K13">
        <f>1/(COUNT(SimDataScen!$C$9:$C$508)-1)+$K$12</f>
        <v>1.2024048096192385E-2</v>
      </c>
      <c r="L13">
        <f>SMALL(SimDataScen!$D$9:$D$508,7)</f>
        <v>-36.653791964121865</v>
      </c>
      <c r="M13">
        <f>1/(COUNT(SimDataScen!$D$9:$D$508)-1)+$M$12</f>
        <v>1.2024048096192385E-2</v>
      </c>
      <c r="N13">
        <f>SMALL(SimDataScen!$E$9:$E$508,7)</f>
        <v>-106.6241060029927</v>
      </c>
      <c r="O13">
        <f>1/(COUNT(SimDataScen!$E$9:$E$508)-1)+$O$12</f>
        <v>1.2024048096192385E-2</v>
      </c>
      <c r="Q13" t="s">
        <v>74</v>
      </c>
      <c r="R13" s="1">
        <f>_xll.QUANTILE(SimDataScen!$B$9:$B$508,(1-$R$12)/2)</f>
        <v>125.6558860885238</v>
      </c>
      <c r="S13" s="1">
        <f>_xll.PDENSITY($R$13,SimDataScen!$B$9:$B$508,$R$10,$R$11,0)</f>
        <v>9.4568751399527534E-4</v>
      </c>
      <c r="T13" s="1">
        <f>_xll.QUANTILE(SimDataScen!$C$9:$C$508,(1-$T$12)/2)</f>
        <v>53.77605119868268</v>
      </c>
      <c r="U13" s="1">
        <f>_xll.PDENSITY($T$13,SimDataScen!$C$9:$C$508,$T$10,$T$11,0)</f>
        <v>1.031492927118578E-3</v>
      </c>
      <c r="V13" s="1">
        <f>_xll.QUANTILE(SimDataScen!$D$9:$D$508,(1-$V$12)/2)</f>
        <v>-18.10195533270052</v>
      </c>
      <c r="W13" s="1">
        <f>_xll.PDENSITY($V$13,SimDataScen!$D$9:$D$508,$V$10,$V$11,0)</f>
        <v>1.1506078108212436E-3</v>
      </c>
      <c r="X13" s="1">
        <f>_xll.QUANTILE(SimDataScen!$E$9:$E$508,(1-$X$12)/2)</f>
        <v>-89.980876043312691</v>
      </c>
      <c r="Y13" s="1">
        <f>_xll.PDENSITY($X$13,SimDataScen!$E$9:$E$508,$X$10,$X$11,0)</f>
        <v>1.3195018387693767E-3</v>
      </c>
    </row>
    <row r="14" spans="1:25">
      <c r="A14">
        <v>6</v>
      </c>
      <c r="B14">
        <v>233.39022404940619</v>
      </c>
      <c r="C14">
        <v>160.26974448613259</v>
      </c>
      <c r="D14">
        <v>87.149264922859032</v>
      </c>
      <c r="E14">
        <v>14.02878535958547</v>
      </c>
      <c r="H14">
        <f>SMALL(SimDataScen!$B$9:$B$508,8)</f>
        <v>106.6871539502487</v>
      </c>
      <c r="I14">
        <f>1/(COUNT(SimDataScen!$B$9:$B$508)-1)+$I$13</f>
        <v>1.4028056112224449E-2</v>
      </c>
      <c r="J14">
        <f>SMALL(SimDataScen!$C$9:$C$508,8)</f>
        <v>34.478554827182322</v>
      </c>
      <c r="K14">
        <f>1/(COUNT(SimDataScen!$C$9:$C$508)-1)+$K$13</f>
        <v>1.4028056112224449E-2</v>
      </c>
      <c r="L14">
        <f>SMALL(SimDataScen!$D$9:$D$508,8)</f>
        <v>-34.106857758439759</v>
      </c>
      <c r="M14">
        <f>1/(COUNT(SimDataScen!$D$9:$D$508)-1)+$M$13</f>
        <v>1.4028056112224449E-2</v>
      </c>
      <c r="N14">
        <f>SMALL(SimDataScen!$E$9:$E$508,8)</f>
        <v>-106.47764129488712</v>
      </c>
      <c r="O14">
        <f>1/(COUNT(SimDataScen!$E$9:$E$508)-1)+$O$13</f>
        <v>1.4028056112224449E-2</v>
      </c>
      <c r="Q14" t="s">
        <v>75</v>
      </c>
      <c r="R14" s="1">
        <f>AVERAGE(SimDataScen!$B$9:$B$508)</f>
        <v>289.3319889721331</v>
      </c>
      <c r="S14" s="1">
        <f>_xll.PDENSITY($R$14,SimDataScen!$B$9:$B$508,$R$10,$R$11,0)</f>
        <v>4.2404705256798396E-3</v>
      </c>
      <c r="T14" s="1">
        <f>AVERAGE(SimDataScen!$C$9:$C$508)</f>
        <v>209.33428135580965</v>
      </c>
      <c r="U14" s="1">
        <f>_xll.PDENSITY($T$14,SimDataScen!$C$9:$C$508,$T$10,$T$11,0)</f>
        <v>4.4422150873727126E-3</v>
      </c>
      <c r="V14" s="1">
        <f>AVERAGE(SimDataScen!$D$9:$D$508)</f>
        <v>129.33657373948637</v>
      </c>
      <c r="W14" s="1">
        <f>_xll.PDENSITY($V$14,SimDataScen!$D$9:$D$508,$V$10,$V$11,0)</f>
        <v>4.6477503744546556E-3</v>
      </c>
      <c r="X14" s="1">
        <f>AVERAGE(SimDataScen!$E$9:$E$508)</f>
        <v>49.338866123163029</v>
      </c>
      <c r="Y14" s="1">
        <f>_xll.PDENSITY($X$14,SimDataScen!$E$9:$E$508,$X$10,$X$11,0)</f>
        <v>4.8326475018828988E-3</v>
      </c>
    </row>
    <row r="15" spans="1:25">
      <c r="A15">
        <v>7</v>
      </c>
      <c r="B15">
        <v>191.36123387961032</v>
      </c>
      <c r="C15">
        <v>109.94889526904807</v>
      </c>
      <c r="D15">
        <v>28.536556658485807</v>
      </c>
      <c r="E15">
        <v>-52.875781952076437</v>
      </c>
      <c r="H15">
        <f>SMALL(SimDataScen!$B$9:$B$508,9)</f>
        <v>112.42572399201978</v>
      </c>
      <c r="I15">
        <f>1/(COUNT(SimDataScen!$B$9:$B$508)-1)+$I$14</f>
        <v>1.6032064128256512E-2</v>
      </c>
      <c r="J15">
        <f>SMALL(SimDataScen!$C$9:$C$508,9)</f>
        <v>42.520069623604215</v>
      </c>
      <c r="K15">
        <f>1/(COUNT(SimDataScen!$C$9:$C$508)-1)+$K$14</f>
        <v>1.6032064128256512E-2</v>
      </c>
      <c r="L15">
        <f>SMALL(SimDataScen!$D$9:$D$508,9)</f>
        <v>-31.33628212000535</v>
      </c>
      <c r="M15">
        <f>1/(COUNT(SimDataScen!$D$9:$D$508)-1)+$M$14</f>
        <v>1.6032064128256512E-2</v>
      </c>
      <c r="N15">
        <f>SMALL(SimDataScen!$E$9:$E$508,9)</f>
        <v>-105.1926338636149</v>
      </c>
      <c r="O15">
        <f>1/(COUNT(SimDataScen!$E$9:$E$508)-1)+$O$14</f>
        <v>1.6032064128256512E-2</v>
      </c>
      <c r="Q15" t="s">
        <v>76</v>
      </c>
      <c r="R15" s="1">
        <f>_xll.QUANTILE(SimDataScen!$B$9:$B$508,1-(1-$R$12)/2)</f>
        <v>486.29816127691356</v>
      </c>
      <c r="S15" s="1">
        <f>_xll.PDENSITY($R$15,SimDataScen!$B$9:$B$508,$R$10,$R$11,0)</f>
        <v>7.1240215654211727E-4</v>
      </c>
      <c r="T15" s="1">
        <f>_xll.QUANTILE(SimDataScen!$C$9:$C$508,1-(1-$T$12)/2)</f>
        <v>400.15367751622199</v>
      </c>
      <c r="U15" s="1">
        <f>_xll.PDENSITY($T$15,SimDataScen!$C$9:$C$508,$T$10,$T$11,0)</f>
        <v>7.2576341772676814E-4</v>
      </c>
      <c r="V15" s="1">
        <f>_xll.QUANTILE(SimDataScen!$D$9:$D$508,1-(1-$V$12)/2)</f>
        <v>308.8660041914568</v>
      </c>
      <c r="W15" s="1">
        <f>_xll.PDENSITY($V$15,SimDataScen!$D$9:$D$508,$V$10,$V$11,0)</f>
        <v>8.1753066400902638E-4</v>
      </c>
      <c r="X15" s="1">
        <f>_xll.QUANTILE(SimDataScen!$E$9:$E$508,1-(1-$X$12)/2)</f>
        <v>219.95277958569383</v>
      </c>
      <c r="Y15" s="1">
        <f>_xll.PDENSITY($X$15,SimDataScen!$E$9:$E$508,$X$10,$X$11,0)</f>
        <v>8.8579552854595525E-4</v>
      </c>
    </row>
    <row r="16" spans="1:25">
      <c r="A16">
        <v>8</v>
      </c>
      <c r="B16">
        <v>320.64178025508238</v>
      </c>
      <c r="C16">
        <v>233.71563117687521</v>
      </c>
      <c r="D16">
        <v>146.78948209866803</v>
      </c>
      <c r="E16">
        <v>59.863333020460885</v>
      </c>
      <c r="H16">
        <f>SMALL(SimDataScen!$B$9:$B$508,10)</f>
        <v>116.37642136721377</v>
      </c>
      <c r="I16">
        <f>1/(COUNT(SimDataScen!$B$9:$B$508)-1)+$I$15</f>
        <v>1.8036072144288574E-2</v>
      </c>
      <c r="J16">
        <f>SMALL(SimDataScen!$C$9:$C$508,10)</f>
        <v>45.751700146469162</v>
      </c>
      <c r="K16">
        <f>1/(COUNT(SimDataScen!$C$9:$C$508)-1)+$K$15</f>
        <v>1.8036072144288574E-2</v>
      </c>
      <c r="L16">
        <f>SMALL(SimDataScen!$D$9:$D$508,10)</f>
        <v>-29.274439972157609</v>
      </c>
      <c r="M16">
        <f>1/(COUNT(SimDataScen!$D$9:$D$508)-1)+$M$15</f>
        <v>1.8036072144288574E-2</v>
      </c>
      <c r="N16">
        <f>SMALL(SimDataScen!$E$9:$E$508,10)</f>
        <v>-102.69227034406182</v>
      </c>
      <c r="O16">
        <f>1/(COUNT(SimDataScen!$E$9:$E$508)-1)+$O$15</f>
        <v>1.8036072144288574E-2</v>
      </c>
      <c r="Q16">
        <v>1</v>
      </c>
      <c r="R16" s="1">
        <f>$R$8</f>
        <v>63.580362380286331</v>
      </c>
      <c r="S16" s="1">
        <f>_xll.PDENSITY($R$16,SimDataScen!$B$9:$B$508,$R$10,$R$11,0)</f>
        <v>1.4185465349204982E-4</v>
      </c>
      <c r="T16" s="1">
        <f>$T$8</f>
        <v>-9.4505833824257195</v>
      </c>
      <c r="U16" s="1">
        <f>_xll.PDENSITY($T$16,SimDataScen!$C$9:$C$508,$T$10,$T$11,0)</f>
        <v>1.3987118354324331E-4</v>
      </c>
      <c r="V16" s="1">
        <f>$V$8</f>
        <v>-82.481529145137785</v>
      </c>
      <c r="W16" s="1">
        <f>_xll.PDENSITY($V$16,SimDataScen!$D$9:$D$508,$V$10,$V$11,0)</f>
        <v>1.4347460256092684E-4</v>
      </c>
      <c r="X16" s="1">
        <f>$X$8</f>
        <v>-155.51247490784982</v>
      </c>
      <c r="Y16" s="1">
        <f>_xll.PDENSITY($X$16,SimDataScen!$E$9:$E$508,$X$10,$X$11,0)</f>
        <v>1.5349833455690877E-4</v>
      </c>
    </row>
    <row r="17" spans="1:25">
      <c r="A17">
        <v>9</v>
      </c>
      <c r="B17">
        <v>419.65549612543015</v>
      </c>
      <c r="C17">
        <v>338.77543553894662</v>
      </c>
      <c r="D17">
        <v>257.89537495246316</v>
      </c>
      <c r="E17">
        <v>177.01531436597963</v>
      </c>
      <c r="H17">
        <f>SMALL(SimDataScen!$B$9:$B$508,11)</f>
        <v>119.88751397428052</v>
      </c>
      <c r="I17">
        <f>1/(COUNT(SimDataScen!$B$9:$B$508)-1)+$I$16</f>
        <v>2.0040080160320637E-2</v>
      </c>
      <c r="J17">
        <f>SMALL(SimDataScen!$C$9:$C$508,11)</f>
        <v>51.502492630768472</v>
      </c>
      <c r="K17">
        <f>1/(COUNT(SimDataScen!$C$9:$C$508)-1)+$K$16</f>
        <v>2.0040080160320637E-2</v>
      </c>
      <c r="L17">
        <f>SMALL(SimDataScen!$D$9:$D$508,11)</f>
        <v>-22.880286799319762</v>
      </c>
      <c r="M17">
        <f>1/(COUNT(SimDataScen!$D$9:$D$508)-1)+$M$16</f>
        <v>2.0040080160320637E-2</v>
      </c>
      <c r="N17">
        <f>SMALL(SimDataScen!$E$9:$E$508,11)</f>
        <v>-99.53662479732219</v>
      </c>
      <c r="O17">
        <f>1/(COUNT(SimDataScen!$E$9:$E$508)-1)+$O$16</f>
        <v>2.0040080160320637E-2</v>
      </c>
      <c r="Q17">
        <v>2</v>
      </c>
      <c r="R17" s="1">
        <f t="shared" ref="R17:R48" si="0">1/99*($R$9-$R$8)+R16</f>
        <v>68.793456054547505</v>
      </c>
      <c r="S17" s="1">
        <f>_xll.PDENSITY($R$17,SimDataScen!$B$9:$B$508,$R$10,$R$11,0)</f>
        <v>1.7784468141223604E-4</v>
      </c>
      <c r="T17" s="1">
        <f t="shared" ref="T17:T48" si="1">1/99*($T$9-$T$8)+T16</f>
        <v>-4.3990077367752134</v>
      </c>
      <c r="U17" s="1">
        <f>_xll.PDENSITY($T$17,SimDataScen!$C$9:$C$508,$T$10,$T$11,0)</f>
        <v>1.7356583487049192E-4</v>
      </c>
      <c r="V17" s="1">
        <f t="shared" ref="V17:V48" si="2">1/99*($V$9-$V$8)+V16</f>
        <v>-77.591471528097955</v>
      </c>
      <c r="W17" s="1">
        <f>_xll.PDENSITY($V$17,SimDataScen!$D$9:$D$508,$V$10,$V$11,0)</f>
        <v>1.7384374759992641E-4</v>
      </c>
      <c r="X17" s="1">
        <f t="shared" ref="X17:X48" si="3">1/99*($X$9-$X$8)+X16</f>
        <v>-150.78393531942066</v>
      </c>
      <c r="Y17" s="1">
        <f>_xll.PDENSITY($X$17,SimDataScen!$E$9:$E$508,$X$10,$X$11,0)</f>
        <v>1.8020054596081222E-4</v>
      </c>
    </row>
    <row r="18" spans="1:25">
      <c r="A18">
        <v>10</v>
      </c>
      <c r="B18">
        <v>363.6184409102159</v>
      </c>
      <c r="C18">
        <v>279.96073077963911</v>
      </c>
      <c r="D18">
        <v>196.30302064906226</v>
      </c>
      <c r="E18">
        <v>112.64531051848547</v>
      </c>
      <c r="H18">
        <f>SMALL(SimDataScen!$B$9:$B$508,12)</f>
        <v>124.48503415340403</v>
      </c>
      <c r="I18">
        <f>1/(COUNT(SimDataScen!$B$9:$B$508)-1)+$I$17</f>
        <v>2.20440881763527E-2</v>
      </c>
      <c r="J18">
        <f>SMALL(SimDataScen!$C$9:$C$508,12)</f>
        <v>51.911665343744907</v>
      </c>
      <c r="K18">
        <f>1/(COUNT(SimDataScen!$C$9:$C$508)-1)+$K$17</f>
        <v>2.20440881763527E-2</v>
      </c>
      <c r="L18">
        <f>SMALL(SimDataScen!$D$9:$D$508,12)</f>
        <v>-20.92232369908146</v>
      </c>
      <c r="M18">
        <f>1/(COUNT(SimDataScen!$D$9:$D$508)-1)+$M$17</f>
        <v>2.20440881763527E-2</v>
      </c>
      <c r="N18">
        <f>SMALL(SimDataScen!$E$9:$E$508,12)</f>
        <v>-92.478394539443855</v>
      </c>
      <c r="O18">
        <f>1/(COUNT(SimDataScen!$E$9:$E$508)-1)+$O$17</f>
        <v>2.20440881763527E-2</v>
      </c>
      <c r="Q18">
        <v>3</v>
      </c>
      <c r="R18" s="1">
        <f t="shared" si="0"/>
        <v>74.006549728808679</v>
      </c>
      <c r="S18" s="1">
        <f>_xll.PDENSITY($R$18,SimDataScen!$B$9:$B$508,$R$10,$R$11,0)</f>
        <v>2.196596099122768E-4</v>
      </c>
      <c r="T18" s="1">
        <f t="shared" si="1"/>
        <v>0.6525679088752927</v>
      </c>
      <c r="U18" s="1">
        <f>_xll.PDENSITY($T$18,SimDataScen!$C$9:$C$508,$T$10,$T$11,0)</f>
        <v>2.1260720206553449E-4</v>
      </c>
      <c r="V18" s="1">
        <f t="shared" si="2"/>
        <v>-72.701413911058125</v>
      </c>
      <c r="W18" s="1">
        <f>_xll.PDENSITY($V$18,SimDataScen!$D$9:$D$508,$V$10,$V$11,0)</f>
        <v>2.085804850558179E-4</v>
      </c>
      <c r="X18" s="1">
        <f t="shared" si="3"/>
        <v>-146.05539573099151</v>
      </c>
      <c r="Y18" s="1">
        <f>_xll.PDENSITY($X$18,SimDataScen!$E$9:$E$508,$X$10,$X$11,0)</f>
        <v>2.1046376742161021E-4</v>
      </c>
    </row>
    <row r="19" spans="1:25">
      <c r="A19">
        <v>11</v>
      </c>
      <c r="B19">
        <v>306.97126895629714</v>
      </c>
      <c r="C19">
        <v>227.50001563692584</v>
      </c>
      <c r="D19">
        <v>148.02876231755454</v>
      </c>
      <c r="E19">
        <v>68.557508998183238</v>
      </c>
      <c r="H19">
        <f>SMALL(SimDataScen!$B$9:$B$508,13)</f>
        <v>125.65588608852377</v>
      </c>
      <c r="I19">
        <f>1/(COUNT(SimDataScen!$B$9:$B$508)-1)+$I$18</f>
        <v>2.4048096192384762E-2</v>
      </c>
      <c r="J19">
        <f>SMALL(SimDataScen!$C$9:$C$508,13)</f>
        <v>53.77605119868268</v>
      </c>
      <c r="K19">
        <f>1/(COUNT(SimDataScen!$C$9:$C$508)-1)+$K$18</f>
        <v>2.4048096192384762E-2</v>
      </c>
      <c r="L19">
        <f>SMALL(SimDataScen!$D$9:$D$508,13)</f>
        <v>-18.101955332700541</v>
      </c>
      <c r="M19">
        <f>1/(COUNT(SimDataScen!$D$9:$D$508)-1)+$M$18</f>
        <v>2.4048096192384762E-2</v>
      </c>
      <c r="N19">
        <f>SMALL(SimDataScen!$E$9:$E$508,13)</f>
        <v>-89.980876043312691</v>
      </c>
      <c r="O19">
        <f>1/(COUNT(SimDataScen!$E$9:$E$508)-1)+$O$18</f>
        <v>2.4048096192384762E-2</v>
      </c>
      <c r="Q19">
        <v>4</v>
      </c>
      <c r="R19" s="1">
        <f t="shared" si="0"/>
        <v>79.219643403069853</v>
      </c>
      <c r="S19" s="1">
        <f>_xll.PDENSITY($R$19,SimDataScen!$B$9:$B$508,$R$10,$R$11,0)</f>
        <v>2.6730797159630791E-4</v>
      </c>
      <c r="T19" s="1">
        <f t="shared" si="1"/>
        <v>5.7041435545257988</v>
      </c>
      <c r="U19" s="1">
        <f>_xll.PDENSITY($T$19,SimDataScen!$C$9:$C$508,$T$10,$T$11,0)</f>
        <v>2.5726001845430806E-4</v>
      </c>
      <c r="V19" s="1">
        <f t="shared" si="2"/>
        <v>-67.811356294018296</v>
      </c>
      <c r="W19" s="1">
        <f>_xll.PDENSITY($V$19,SimDataScen!$D$9:$D$508,$V$10,$V$11,0)</f>
        <v>2.4836046527004221E-4</v>
      </c>
      <c r="X19" s="1">
        <f t="shared" si="3"/>
        <v>-141.32685614256235</v>
      </c>
      <c r="Y19" s="1">
        <f>_xll.PDENSITY($X$19,SimDataScen!$E$9:$E$508,$X$10,$X$11,0)</f>
        <v>2.4547694389239361E-4</v>
      </c>
    </row>
    <row r="20" spans="1:25">
      <c r="A20">
        <v>12</v>
      </c>
      <c r="B20">
        <v>262.39388647551215</v>
      </c>
      <c r="C20">
        <v>178.95846278574936</v>
      </c>
      <c r="D20">
        <v>95.523039095986547</v>
      </c>
      <c r="E20">
        <v>12.087615406223762</v>
      </c>
      <c r="H20">
        <f>SMALL(SimDataScen!$B$9:$B$508,14)</f>
        <v>128.5185534982777</v>
      </c>
      <c r="I20">
        <f>1/(COUNT(SimDataScen!$B$9:$B$508)-1)+$I$19</f>
        <v>2.6052104208416825E-2</v>
      </c>
      <c r="J20">
        <f>SMALL(SimDataScen!$C$9:$C$508,14)</f>
        <v>53.776965377911623</v>
      </c>
      <c r="K20">
        <f>1/(COUNT(SimDataScen!$C$9:$C$508)-1)+$K$19</f>
        <v>2.6052104208416825E-2</v>
      </c>
      <c r="L20">
        <f>SMALL(SimDataScen!$D$9:$D$508,14)</f>
        <v>-16.064183286790708</v>
      </c>
      <c r="M20">
        <f>1/(COUNT(SimDataScen!$D$9:$D$508)-1)+$M$19</f>
        <v>2.6052104208416825E-2</v>
      </c>
      <c r="N20">
        <f>SMALL(SimDataScen!$E$9:$E$508,14)</f>
        <v>-89.213792091934266</v>
      </c>
      <c r="O20">
        <f>1/(COUNT(SimDataScen!$E$9:$E$508)-1)+$O$19</f>
        <v>2.6052104208416825E-2</v>
      </c>
      <c r="Q20">
        <v>5</v>
      </c>
      <c r="R20" s="1">
        <f t="shared" si="0"/>
        <v>84.432737077331026</v>
      </c>
      <c r="S20" s="1">
        <f>_xll.PDENSITY($R$20,SimDataScen!$B$9:$B$508,$R$10,$R$11,0)</f>
        <v>3.2063424139406092E-4</v>
      </c>
      <c r="T20" s="1">
        <f t="shared" si="1"/>
        <v>10.755719200176305</v>
      </c>
      <c r="U20" s="1">
        <f>_xll.PDENSITY($T$20,SimDataScen!$C$9:$C$508,$T$10,$T$11,0)</f>
        <v>3.077446171375625E-4</v>
      </c>
      <c r="V20" s="1">
        <f t="shared" si="2"/>
        <v>-62.921298676978459</v>
      </c>
      <c r="W20" s="1">
        <f>_xll.PDENSITY($V$20,SimDataScen!$D$9:$D$508,$V$10,$V$11,0)</f>
        <v>2.9402644696755354E-4</v>
      </c>
      <c r="X20" s="1">
        <f t="shared" si="3"/>
        <v>-136.59831655413319</v>
      </c>
      <c r="Y20" s="1">
        <f>_xll.PDENSITY($X$20,SimDataScen!$E$9:$E$508,$X$10,$X$11,0)</f>
        <v>2.8676402163679631E-4</v>
      </c>
    </row>
    <row r="21" spans="1:25">
      <c r="A21">
        <v>13</v>
      </c>
      <c r="B21">
        <v>458.66346164316951</v>
      </c>
      <c r="C21">
        <v>373.9456827057495</v>
      </c>
      <c r="D21">
        <v>289.22790376832938</v>
      </c>
      <c r="E21">
        <v>204.51012483090938</v>
      </c>
      <c r="H21">
        <f>SMALL(SimDataScen!$B$9:$B$508,15)</f>
        <v>130.43238919668511</v>
      </c>
      <c r="I21">
        <f>1/(COUNT(SimDataScen!$B$9:$B$508)-1)+$I$20</f>
        <v>2.8056112224448888E-2</v>
      </c>
      <c r="J21">
        <f>SMALL(SimDataScen!$C$9:$C$508,15)</f>
        <v>55.717704669659703</v>
      </c>
      <c r="K21">
        <f>1/(COUNT(SimDataScen!$C$9:$C$508)-1)+$K$20</f>
        <v>2.8056112224448888E-2</v>
      </c>
      <c r="L21">
        <f>SMALL(SimDataScen!$D$9:$D$508,15)</f>
        <v>-15.6608779196699</v>
      </c>
      <c r="M21">
        <f>1/(COUNT(SimDataScen!$D$9:$D$508)-1)+$M$20</f>
        <v>2.8056112224448888E-2</v>
      </c>
      <c r="N21">
        <f>SMALL(SimDataScen!$E$9:$E$508,15)</f>
        <v>-87.596347544632081</v>
      </c>
      <c r="O21">
        <f>1/(COUNT(SimDataScen!$E$9:$E$508)-1)+$O$20</f>
        <v>2.8056112224448888E-2</v>
      </c>
      <c r="Q21">
        <v>6</v>
      </c>
      <c r="R21" s="1">
        <f t="shared" si="0"/>
        <v>89.6458307515922</v>
      </c>
      <c r="S21" s="1">
        <f>_xll.PDENSITY($R$21,SimDataScen!$B$9:$B$508,$R$10,$R$11,0)</f>
        <v>3.79400785670362E-4</v>
      </c>
      <c r="T21" s="1">
        <f t="shared" si="1"/>
        <v>15.80729484582681</v>
      </c>
      <c r="U21" s="1">
        <f>_xll.PDENSITY($T$21,SimDataScen!$C$9:$C$508,$T$10,$T$11,0)</f>
        <v>3.6428162959745766E-4</v>
      </c>
      <c r="V21" s="1">
        <f t="shared" si="2"/>
        <v>-58.031241059938623</v>
      </c>
      <c r="W21" s="1">
        <f>_xll.PDENSITY($V$21,SimDataScen!$D$9:$D$508,$V$10,$V$11,0)</f>
        <v>3.4656700985877394E-4</v>
      </c>
      <c r="X21" s="1">
        <f t="shared" si="3"/>
        <v>-131.86977696570403</v>
      </c>
      <c r="Y21" s="1">
        <f>_xll.PDENSITY($X$21,SimDataScen!$E$9:$E$508,$X$10,$X$11,0)</f>
        <v>3.3609703346010859E-4</v>
      </c>
    </row>
    <row r="22" spans="1:25">
      <c r="A22">
        <v>14</v>
      </c>
      <c r="B22">
        <v>159.99168740936619</v>
      </c>
      <c r="C22">
        <v>81.481530611692918</v>
      </c>
      <c r="D22">
        <v>2.9713738140196426</v>
      </c>
      <c r="E22">
        <v>-75.538782983653618</v>
      </c>
      <c r="H22">
        <f>SMALL(SimDataScen!$B$9:$B$508,16)</f>
        <v>131.44495042485886</v>
      </c>
      <c r="I22">
        <f>1/(COUNT(SimDataScen!$B$9:$B$508)-1)+$I$21</f>
        <v>3.006012024048095E-2</v>
      </c>
      <c r="J22">
        <f>SMALL(SimDataScen!$C$9:$C$508,16)</f>
        <v>57.165666100538459</v>
      </c>
      <c r="K22">
        <f>1/(COUNT(SimDataScen!$C$9:$C$508)-1)+$K$21</f>
        <v>3.006012024048095E-2</v>
      </c>
      <c r="L22">
        <f>SMALL(SimDataScen!$D$9:$D$508,16)</f>
        <v>-14.187221297200779</v>
      </c>
      <c r="M22">
        <f>1/(COUNT(SimDataScen!$D$9:$D$508)-1)+$M$21</f>
        <v>3.006012024048095E-2</v>
      </c>
      <c r="N22">
        <f>SMALL(SimDataScen!$E$9:$E$508,16)</f>
        <v>-85.540108694940017</v>
      </c>
      <c r="O22">
        <f>1/(COUNT(SimDataScen!$E$9:$E$508)-1)+$O$21</f>
        <v>3.006012024048095E-2</v>
      </c>
      <c r="Q22">
        <v>7</v>
      </c>
      <c r="R22" s="1">
        <f t="shared" si="0"/>
        <v>94.858924425853374</v>
      </c>
      <c r="S22" s="1">
        <f>_xll.PDENSITY($R$22,SimDataScen!$B$9:$B$508,$R$10,$R$11,0)</f>
        <v>4.4340744772942254E-4</v>
      </c>
      <c r="T22" s="1">
        <f t="shared" si="1"/>
        <v>20.858870491477315</v>
      </c>
      <c r="U22" s="1">
        <f>_xll.PDENSITY($T$22,SimDataScen!$C$9:$C$508,$T$10,$T$11,0)</f>
        <v>4.2715174058966594E-4</v>
      </c>
      <c r="V22" s="1">
        <f t="shared" si="2"/>
        <v>-53.141183442898786</v>
      </c>
      <c r="W22" s="1">
        <f>_xll.PDENSITY($V$22,SimDataScen!$D$9:$D$508,$V$10,$V$11,0)</f>
        <v>4.070715914794866E-4</v>
      </c>
      <c r="X22" s="1">
        <f t="shared" si="3"/>
        <v>-127.14123737727486</v>
      </c>
      <c r="Y22" s="1">
        <f>_xll.PDENSITY($X$22,SimDataScen!$E$9:$E$508,$X$10,$X$11,0)</f>
        <v>3.9535944225628543E-4</v>
      </c>
    </row>
    <row r="23" spans="1:25">
      <c r="A23">
        <v>15</v>
      </c>
      <c r="B23">
        <v>256.37043911905289</v>
      </c>
      <c r="C23">
        <v>174.39609937776396</v>
      </c>
      <c r="D23">
        <v>92.42175963647496</v>
      </c>
      <c r="E23">
        <v>10.447419895185988</v>
      </c>
      <c r="H23">
        <f>SMALL(SimDataScen!$B$9:$B$508,17)</f>
        <v>132.27942523369452</v>
      </c>
      <c r="I23">
        <f>1/(COUNT(SimDataScen!$B$9:$B$508)-1)+$I$22</f>
        <v>3.2064128256513016E-2</v>
      </c>
      <c r="J23">
        <f>SMALL(SimDataScen!$C$9:$C$508,17)</f>
        <v>57.89203625259448</v>
      </c>
      <c r="K23">
        <f>1/(COUNT(SimDataScen!$C$9:$C$508)-1)+$K$22</f>
        <v>3.2064128256513016E-2</v>
      </c>
      <c r="L23">
        <f>SMALL(SimDataScen!$D$9:$D$508,17)</f>
        <v>-13.049624814084652</v>
      </c>
      <c r="M23">
        <f>1/(COUNT(SimDataScen!$D$9:$D$508)-1)+$M$22</f>
        <v>3.2064128256513016E-2</v>
      </c>
      <c r="N23">
        <f>SMALL(SimDataScen!$E$9:$E$508,17)</f>
        <v>-84.040031917326331</v>
      </c>
      <c r="O23">
        <f>1/(COUNT(SimDataScen!$E$9:$E$508)-1)+$O$22</f>
        <v>3.2064128256513016E-2</v>
      </c>
      <c r="Q23">
        <v>8</v>
      </c>
      <c r="R23" s="1">
        <f t="shared" si="0"/>
        <v>100.07201810011455</v>
      </c>
      <c r="S23" s="1">
        <f>_xll.PDENSITY($R$23,SimDataScen!$B$9:$B$508,$R$10,$R$11,0)</f>
        <v>5.1262288470098718E-4</v>
      </c>
      <c r="T23" s="1">
        <f t="shared" si="1"/>
        <v>25.910446137127821</v>
      </c>
      <c r="U23" s="1">
        <f>_xll.PDENSITY($T$23,SimDataScen!$C$9:$C$508,$T$10,$T$11,0)</f>
        <v>4.9675458228217969E-4</v>
      </c>
      <c r="V23" s="1">
        <f t="shared" si="2"/>
        <v>-48.251125825858949</v>
      </c>
      <c r="W23" s="1">
        <f>_xll.PDENSITY($V$23,SimDataScen!$D$9:$D$508,$V$10,$V$11,0)</f>
        <v>4.7666289897457673E-4</v>
      </c>
      <c r="X23" s="1">
        <f t="shared" si="3"/>
        <v>-122.41269778884569</v>
      </c>
      <c r="Y23" s="1">
        <f>_xll.PDENSITY($X$23,SimDataScen!$E$9:$E$508,$X$10,$X$11,0)</f>
        <v>4.6636928212238422E-4</v>
      </c>
    </row>
    <row r="24" spans="1:25">
      <c r="A24">
        <v>16</v>
      </c>
      <c r="B24">
        <v>246.98313616397107</v>
      </c>
      <c r="C24">
        <v>169.06196317458</v>
      </c>
      <c r="D24">
        <v>91.140790185188948</v>
      </c>
      <c r="E24">
        <v>13.219617195797895</v>
      </c>
      <c r="H24">
        <f>SMALL(SimDataScen!$B$9:$B$508,18)</f>
        <v>133.58155145059237</v>
      </c>
      <c r="I24">
        <f>1/(COUNT(SimDataScen!$B$9:$B$508)-1)+$I$23</f>
        <v>3.4068136272545083E-2</v>
      </c>
      <c r="J24">
        <f>SMALL(SimDataScen!$C$9:$C$508,18)</f>
        <v>61.501027543618051</v>
      </c>
      <c r="K24">
        <f>1/(COUNT(SimDataScen!$C$9:$C$508)-1)+$K$23</f>
        <v>3.4068136272545083E-2</v>
      </c>
      <c r="L24">
        <f>SMALL(SimDataScen!$D$9:$D$508,18)</f>
        <v>-10.579496363356299</v>
      </c>
      <c r="M24">
        <f>1/(COUNT(SimDataScen!$D$9:$D$508)-1)+$M$23</f>
        <v>3.4068136272545083E-2</v>
      </c>
      <c r="N24">
        <f>SMALL(SimDataScen!$E$9:$E$508,18)</f>
        <v>-82.660020270330634</v>
      </c>
      <c r="O24">
        <f>1/(COUNT(SimDataScen!$E$9:$E$508)-1)+$O$23</f>
        <v>3.4068136272545083E-2</v>
      </c>
      <c r="Q24">
        <v>9</v>
      </c>
      <c r="R24" s="1">
        <f t="shared" si="0"/>
        <v>105.28511177437572</v>
      </c>
      <c r="S24" s="1">
        <f>_xll.PDENSITY($R$24,SimDataScen!$B$9:$B$508,$R$10,$R$11,0)</f>
        <v>5.872929920450248E-4</v>
      </c>
      <c r="T24" s="1">
        <f t="shared" si="1"/>
        <v>30.962021782778326</v>
      </c>
      <c r="U24" s="1">
        <f>_xll.PDENSITY($T$24,SimDataScen!$C$9:$C$508,$T$10,$T$11,0)</f>
        <v>5.7364576326197003E-4</v>
      </c>
      <c r="V24" s="1">
        <f t="shared" si="2"/>
        <v>-43.361068208819113</v>
      </c>
      <c r="W24" s="1">
        <f>_xll.PDENSITY($V$24,SimDataScen!$D$9:$D$508,$V$10,$V$11,0)</f>
        <v>5.5640830177039046E-4</v>
      </c>
      <c r="X24" s="1">
        <f t="shared" si="3"/>
        <v>-117.68415820041652</v>
      </c>
      <c r="Y24" s="1">
        <f>_xll.PDENSITY($X$24,SimDataScen!$E$9:$E$508,$X$10,$X$11,0)</f>
        <v>5.5067543693901083E-4</v>
      </c>
    </row>
    <row r="25" spans="1:25">
      <c r="A25">
        <v>17</v>
      </c>
      <c r="B25">
        <v>132.27942523369452</v>
      </c>
      <c r="C25">
        <v>51.502492630768472</v>
      </c>
      <c r="D25">
        <v>-29.274439972157609</v>
      </c>
      <c r="E25">
        <v>-110.05137257508366</v>
      </c>
      <c r="H25">
        <f>SMALL(SimDataScen!$B$9:$B$508,19)</f>
        <v>145.4923047624477</v>
      </c>
      <c r="I25">
        <f>1/(COUNT(SimDataScen!$B$9:$B$508)-1)+$I$24</f>
        <v>3.6072144288577149E-2</v>
      </c>
      <c r="J25">
        <f>SMALL(SimDataScen!$C$9:$C$508,19)</f>
        <v>69.594839408067486</v>
      </c>
      <c r="K25">
        <f>1/(COUNT(SimDataScen!$C$9:$C$508)-1)+$K$24</f>
        <v>3.6072144288577149E-2</v>
      </c>
      <c r="L25">
        <f>SMALL(SimDataScen!$D$9:$D$508,19)</f>
        <v>-9.6894803982596045</v>
      </c>
      <c r="M25">
        <f>1/(COUNT(SimDataScen!$D$9:$D$508)-1)+$M$24</f>
        <v>3.6072144288577149E-2</v>
      </c>
      <c r="N25">
        <f>SMALL(SimDataScen!$E$9:$E$508,19)</f>
        <v>-82.200091300692947</v>
      </c>
      <c r="O25">
        <f>1/(COUNT(SimDataScen!$E$9:$E$508)-1)+$O$24</f>
        <v>3.6072144288577149E-2</v>
      </c>
      <c r="Q25">
        <v>10</v>
      </c>
      <c r="R25" s="1">
        <f t="shared" si="0"/>
        <v>110.4982054486369</v>
      </c>
      <c r="S25" s="1">
        <f>_xll.PDENSITY($R$25,SimDataScen!$B$9:$B$508,$R$10,$R$11,0)</f>
        <v>6.679922675038992E-4</v>
      </c>
      <c r="T25" s="1">
        <f t="shared" si="1"/>
        <v>36.013597428428831</v>
      </c>
      <c r="U25" s="1">
        <f>_xll.PDENSITY($T$25,SimDataScen!$C$9:$C$508,$T$10,$T$11,0)</f>
        <v>6.5853173118708122E-4</v>
      </c>
      <c r="V25" s="1">
        <f t="shared" si="2"/>
        <v>-38.471010591779276</v>
      </c>
      <c r="W25" s="1">
        <f>_xll.PDENSITY($V$25,SimDataScen!$D$9:$D$508,$V$10,$V$11,0)</f>
        <v>6.4721309765132246E-4</v>
      </c>
      <c r="X25" s="1">
        <f t="shared" si="3"/>
        <v>-112.95561861198735</v>
      </c>
      <c r="Y25" s="1">
        <f>_xll.PDENSITY($X$25,SimDataScen!$E$9:$E$508,$X$10,$X$11,0)</f>
        <v>6.4934516660550539E-4</v>
      </c>
    </row>
    <row r="26" spans="1:25">
      <c r="A26">
        <v>18</v>
      </c>
      <c r="B26">
        <v>329.1499835732443</v>
      </c>
      <c r="C26">
        <v>245.82906736685086</v>
      </c>
      <c r="D26">
        <v>162.50815116045743</v>
      </c>
      <c r="E26">
        <v>79.187234954064024</v>
      </c>
      <c r="H26">
        <f>SMALL(SimDataScen!$B$9:$B$508,20)</f>
        <v>145.68607491721389</v>
      </c>
      <c r="I26">
        <f>1/(COUNT(SimDataScen!$B$9:$B$508)-1)+$I$25</f>
        <v>3.8076152304609215E-2</v>
      </c>
      <c r="J26">
        <f>SMALL(SimDataScen!$C$9:$C$508,20)</f>
        <v>71.514584604038603</v>
      </c>
      <c r="K26">
        <f>1/(COUNT(SimDataScen!$C$9:$C$508)-1)+$K$25</f>
        <v>3.8076152304609215E-2</v>
      </c>
      <c r="L26">
        <f>SMALL(SimDataScen!$D$9:$D$508,20)</f>
        <v>-6.3026259463127303</v>
      </c>
      <c r="M26">
        <f>1/(COUNT(SimDataScen!$D$9:$D$508)-1)+$M$25</f>
        <v>3.8076152304609215E-2</v>
      </c>
      <c r="N26">
        <f>SMALL(SimDataScen!$E$9:$E$508,20)</f>
        <v>-81.816954297828985</v>
      </c>
      <c r="O26">
        <f>1/(COUNT(SimDataScen!$E$9:$E$508)-1)+$O$25</f>
        <v>3.8076152304609215E-2</v>
      </c>
      <c r="Q26">
        <v>11</v>
      </c>
      <c r="R26" s="1">
        <f t="shared" si="0"/>
        <v>115.71129912289807</v>
      </c>
      <c r="S26" s="1">
        <f>_xll.PDENSITY($R$26,SimDataScen!$B$9:$B$508,$R$10,$R$11,0)</f>
        <v>7.555948216913641E-4</v>
      </c>
      <c r="T26" s="1">
        <f t="shared" si="1"/>
        <v>41.06517307407934</v>
      </c>
      <c r="U26" s="1">
        <f>_xll.PDENSITY($T$26,SimDataScen!$C$9:$C$508,$T$10,$T$11,0)</f>
        <v>7.5220979313760691E-4</v>
      </c>
      <c r="V26" s="1">
        <f t="shared" si="2"/>
        <v>-33.580952974739439</v>
      </c>
      <c r="W26" s="1">
        <f>_xll.PDENSITY($V$26,SimDataScen!$D$9:$D$508,$V$10,$V$11,0)</f>
        <v>7.4970203525184971E-4</v>
      </c>
      <c r="X26" s="1">
        <f t="shared" si="3"/>
        <v>-108.22707902355818</v>
      </c>
      <c r="Y26" s="1">
        <f>_xll.PDENSITY($X$26,SimDataScen!$E$9:$E$508,$X$10,$X$11,0)</f>
        <v>7.6276776582034965E-4</v>
      </c>
    </row>
    <row r="27" spans="1:25">
      <c r="A27">
        <v>19</v>
      </c>
      <c r="B27">
        <v>304.11412923402997</v>
      </c>
      <c r="C27">
        <v>226.01492106070538</v>
      </c>
      <c r="D27">
        <v>147.91571288738072</v>
      </c>
      <c r="E27">
        <v>69.816504714056066</v>
      </c>
      <c r="H27">
        <f>SMALL(SimDataScen!$B$9:$B$508,21)</f>
        <v>145.84848089022017</v>
      </c>
      <c r="I27">
        <f>1/(COUNT(SimDataScen!$B$9:$B$508)-1)+$I$26</f>
        <v>4.0080160320641281E-2</v>
      </c>
      <c r="J27">
        <f>SMALL(SimDataScen!$C$9:$C$508,21)</f>
        <v>72.354698099244501</v>
      </c>
      <c r="K27">
        <f>1/(COUNT(SimDataScen!$C$9:$C$508)-1)+$K$26</f>
        <v>4.0080160320641281E-2</v>
      </c>
      <c r="L27">
        <f>SMALL(SimDataScen!$D$9:$D$508,21)</f>
        <v>-2.8540586270648021</v>
      </c>
      <c r="M27">
        <f>1/(COUNT(SimDataScen!$D$9:$D$508)-1)+$M$26</f>
        <v>4.0080160320641281E-2</v>
      </c>
      <c r="N27">
        <f>SMALL(SimDataScen!$E$9:$E$508,21)</f>
        <v>-79.539738651048737</v>
      </c>
      <c r="O27">
        <f>1/(COUNT(SimDataScen!$E$9:$E$508)-1)+$O$26</f>
        <v>4.0080160320641281E-2</v>
      </c>
      <c r="Q27">
        <v>12</v>
      </c>
      <c r="R27" s="1">
        <f t="shared" si="0"/>
        <v>120.92439279715924</v>
      </c>
      <c r="S27" s="1">
        <f>_xll.PDENSITY($R$27,SimDataScen!$B$9:$B$508,$R$10,$R$11,0)</f>
        <v>8.5116057234701744E-4</v>
      </c>
      <c r="T27" s="1">
        <f t="shared" si="1"/>
        <v>46.116748719729848</v>
      </c>
      <c r="U27" s="1">
        <f>_xll.PDENSITY($T$27,SimDataScen!$C$9:$C$508,$T$10,$T$11,0)</f>
        <v>8.5545410466106634E-4</v>
      </c>
      <c r="V27" s="1">
        <f t="shared" si="2"/>
        <v>-28.690895357699603</v>
      </c>
      <c r="W27" s="1">
        <f>_xll.PDENSITY($V$27,SimDataScen!$D$9:$D$508,$V$10,$V$11,0)</f>
        <v>8.6410163383050754E-4</v>
      </c>
      <c r="X27" s="1">
        <f t="shared" si="3"/>
        <v>-103.498539435129</v>
      </c>
      <c r="Y27" s="1">
        <f>_xll.PDENSITY($X$27,SimDataScen!$E$9:$E$508,$X$10,$X$11,0)</f>
        <v>8.9050683337525997E-4</v>
      </c>
    </row>
    <row r="28" spans="1:25">
      <c r="A28">
        <v>20</v>
      </c>
      <c r="B28">
        <v>318.80676100616881</v>
      </c>
      <c r="C28">
        <v>237.31159752073791</v>
      </c>
      <c r="D28">
        <v>155.81643403530694</v>
      </c>
      <c r="E28">
        <v>74.321270549875976</v>
      </c>
      <c r="H28">
        <f>SMALL(SimDataScen!$B$9:$B$508,22)</f>
        <v>146.08083037062056</v>
      </c>
      <c r="I28">
        <f>1/(COUNT(SimDataScen!$B$9:$B$508)-1)+$I$27</f>
        <v>4.2084168336673347E-2</v>
      </c>
      <c r="J28">
        <f>SMALL(SimDataScen!$C$9:$C$508,22)</f>
        <v>73.099433742924674</v>
      </c>
      <c r="K28">
        <f>1/(COUNT(SimDataScen!$C$9:$C$508)-1)+$K$27</f>
        <v>4.2084168336673347E-2</v>
      </c>
      <c r="L28">
        <f>SMALL(SimDataScen!$D$9:$D$508,22)</f>
        <v>-2.6569057091366943</v>
      </c>
      <c r="M28">
        <f>1/(COUNT(SimDataScen!$D$9:$D$508)-1)+$M$27</f>
        <v>4.2084168336673347E-2</v>
      </c>
      <c r="N28">
        <f>SMALL(SimDataScen!$E$9:$E$508,22)</f>
        <v>-79.278260974998744</v>
      </c>
      <c r="O28">
        <f>1/(COUNT(SimDataScen!$E$9:$E$508)-1)+$O$27</f>
        <v>4.2084168336673347E-2</v>
      </c>
      <c r="Q28">
        <v>13</v>
      </c>
      <c r="R28" s="1">
        <f t="shared" si="0"/>
        <v>126.13748647142042</v>
      </c>
      <c r="S28" s="1">
        <f>_xll.PDENSITY($R$28,SimDataScen!$B$9:$B$508,$R$10,$R$11,0)</f>
        <v>9.5575383367620733E-4</v>
      </c>
      <c r="T28" s="1">
        <f t="shared" si="1"/>
        <v>51.168324365380357</v>
      </c>
      <c r="U28" s="1">
        <f>_xll.PDENSITY($T$28,SimDataScen!$C$9:$C$508,$T$10,$T$11,0)</f>
        <v>9.6886452720343916E-4</v>
      </c>
      <c r="V28" s="1">
        <f t="shared" si="2"/>
        <v>-23.800837740659766</v>
      </c>
      <c r="W28" s="1">
        <f>_xll.PDENSITY($V$28,SimDataScen!$D$9:$D$508,$V$10,$V$11,0)</f>
        <v>9.9014325662621808E-4</v>
      </c>
      <c r="X28" s="1">
        <f t="shared" si="3"/>
        <v>-98.769999846699832</v>
      </c>
      <c r="Y28" s="1">
        <f>_xll.PDENSITY($X$28,SimDataScen!$E$9:$E$508,$X$10,$X$11,0)</f>
        <v>1.0312382122545892E-3</v>
      </c>
    </row>
    <row r="29" spans="1:25">
      <c r="A29">
        <v>21</v>
      </c>
      <c r="B29">
        <v>225.31751086020756</v>
      </c>
      <c r="C29">
        <v>145.59045966065082</v>
      </c>
      <c r="D29">
        <v>65.863408461094053</v>
      </c>
      <c r="E29">
        <v>-13.863642738462687</v>
      </c>
      <c r="H29">
        <f>SMALL(SimDataScen!$B$9:$B$508,23)</f>
        <v>146.74651169477988</v>
      </c>
      <c r="I29">
        <f>1/(COUNT(SimDataScen!$B$9:$B$508)-1)+$I$28</f>
        <v>4.4088176352705413E-2</v>
      </c>
      <c r="J29">
        <f>SMALL(SimDataScen!$C$9:$C$508,23)</f>
        <v>73.120265338079832</v>
      </c>
      <c r="K29">
        <f>1/(COUNT(SimDataScen!$C$9:$C$508)-1)+$K$28</f>
        <v>4.4088176352705413E-2</v>
      </c>
      <c r="L29">
        <f>SMALL(SimDataScen!$D$9:$D$508,23)</f>
        <v>-2.3636418077099819</v>
      </c>
      <c r="M29">
        <f>1/(COUNT(SimDataScen!$D$9:$D$508)-1)+$M$28</f>
        <v>4.4088176352705413E-2</v>
      </c>
      <c r="N29">
        <f>SMALL(SimDataScen!$E$9:$E$508,23)</f>
        <v>-77.847548953499782</v>
      </c>
      <c r="O29">
        <f>1/(COUNT(SimDataScen!$E$9:$E$508)-1)+$O$28</f>
        <v>4.4088176352705413E-2</v>
      </c>
      <c r="Q29">
        <v>14</v>
      </c>
      <c r="R29" s="1">
        <f t="shared" si="0"/>
        <v>131.35058014568159</v>
      </c>
      <c r="S29" s="1">
        <f>_xll.PDENSITY($R$29,SimDataScen!$B$9:$B$508,$R$10,$R$11,0)</f>
        <v>1.0702298002969949E-3</v>
      </c>
      <c r="T29" s="1">
        <f t="shared" si="1"/>
        <v>56.219900011030866</v>
      </c>
      <c r="U29" s="1">
        <f>_xll.PDENSITY($T$29,SimDataScen!$C$9:$C$508,$T$10,$T$11,0)</f>
        <v>1.0927092203059559E-3</v>
      </c>
      <c r="V29" s="1">
        <f t="shared" si="2"/>
        <v>-18.910780123619929</v>
      </c>
      <c r="W29" s="1">
        <f>_xll.PDENSITY($V$29,SimDataScen!$D$9:$D$508,$V$10,$V$11,0)</f>
        <v>1.1270122471818403E-3</v>
      </c>
      <c r="X29" s="1">
        <f t="shared" si="3"/>
        <v>-94.041460258270661</v>
      </c>
      <c r="Y29" s="1">
        <f>_xll.PDENSITY($X$29,SimDataScen!$E$9:$E$508,$X$10,$X$11,0)</f>
        <v>1.1828070005737398E-3</v>
      </c>
    </row>
    <row r="30" spans="1:25">
      <c r="A30">
        <v>22</v>
      </c>
      <c r="B30">
        <v>335.38927085938604</v>
      </c>
      <c r="C30">
        <v>255.07306376394763</v>
      </c>
      <c r="D30">
        <v>174.75685666850922</v>
      </c>
      <c r="E30">
        <v>94.440649573070829</v>
      </c>
      <c r="H30">
        <f>SMALL(SimDataScen!$B$9:$B$508,24)</f>
        <v>148.60417248386963</v>
      </c>
      <c r="I30">
        <f>1/(COUNT(SimDataScen!$B$9:$B$508)-1)+$I$29</f>
        <v>4.6092184368737479E-2</v>
      </c>
      <c r="J30">
        <f>SMALL(SimDataScen!$C$9:$C$508,24)</f>
        <v>73.570143720869154</v>
      </c>
      <c r="K30">
        <f>1/(COUNT(SimDataScen!$C$9:$C$508)-1)+$K$29</f>
        <v>4.6092184368737479E-2</v>
      </c>
      <c r="L30">
        <f>SMALL(SimDataScen!$D$9:$D$508,24)</f>
        <v>-1.1390846917311706</v>
      </c>
      <c r="M30">
        <f>1/(COUNT(SimDataScen!$D$9:$D$508)-1)+$M$29</f>
        <v>4.6092184368737479E-2</v>
      </c>
      <c r="N30">
        <f>SMALL(SimDataScen!$E$9:$E$508,24)</f>
        <v>-76.828396022311978</v>
      </c>
      <c r="O30">
        <f>1/(COUNT(SimDataScen!$E$9:$E$508)-1)+$O$29</f>
        <v>4.6092184368737479E-2</v>
      </c>
      <c r="Q30">
        <v>15</v>
      </c>
      <c r="R30" s="1">
        <f t="shared" si="0"/>
        <v>136.56367381994278</v>
      </c>
      <c r="S30" s="1">
        <f>_xll.PDENSITY($R$30,SimDataScen!$B$9:$B$508,$R$10,$R$11,0)</f>
        <v>1.1950340270088301E-3</v>
      </c>
      <c r="T30" s="1">
        <f t="shared" si="1"/>
        <v>61.271475656681375</v>
      </c>
      <c r="U30" s="1">
        <f>_xll.PDENSITY($T$30,SimDataScen!$C$9:$C$508,$T$10,$T$11,0)</f>
        <v>1.2267988448203062E-3</v>
      </c>
      <c r="V30" s="1">
        <f t="shared" si="2"/>
        <v>-14.020722506580094</v>
      </c>
      <c r="W30" s="1">
        <f>_xll.PDENSITY($V$30,SimDataScen!$D$9:$D$508,$V$10,$V$11,0)</f>
        <v>1.2733676041718487E-3</v>
      </c>
      <c r="X30" s="1">
        <f t="shared" si="3"/>
        <v>-89.312920669841489</v>
      </c>
      <c r="Y30" s="1">
        <f>_xll.PDENSITY($X$30,SimDataScen!$E$9:$E$508,$X$10,$X$11,0)</f>
        <v>1.3424211718076281E-3</v>
      </c>
    </row>
    <row r="31" spans="1:25">
      <c r="A31">
        <v>23</v>
      </c>
      <c r="B31">
        <v>225.5860746476263</v>
      </c>
      <c r="C31">
        <v>139.53761681673822</v>
      </c>
      <c r="D31">
        <v>53.489158985850111</v>
      </c>
      <c r="E31">
        <v>-32.559298845037972</v>
      </c>
      <c r="H31">
        <f>SMALL(SimDataScen!$B$9:$B$508,25)</f>
        <v>148.95738066149573</v>
      </c>
      <c r="I31">
        <f>1/(COUNT(SimDataScen!$B$9:$B$508)-1)+$I$30</f>
        <v>4.8096192384769546E-2</v>
      </c>
      <c r="J31">
        <f>SMALL(SimDataScen!$C$9:$C$508,25)</f>
        <v>75.788893627390877</v>
      </c>
      <c r="K31">
        <f>1/(COUNT(SimDataScen!$C$9:$C$508)-1)+$K$30</f>
        <v>4.8096192384769546E-2</v>
      </c>
      <c r="L31">
        <f>SMALL(SimDataScen!$D$9:$D$508,25)</f>
        <v>1.1027790106986259</v>
      </c>
      <c r="M31">
        <f>1/(COUNT(SimDataScen!$D$9:$D$508)-1)+$M$30</f>
        <v>4.8096192384769546E-2</v>
      </c>
      <c r="N31">
        <f>SMALL(SimDataScen!$E$9:$E$508,25)</f>
        <v>-75.538782983653618</v>
      </c>
      <c r="O31">
        <f>1/(COUNT(SimDataScen!$E$9:$E$508)-1)+$O$30</f>
        <v>4.8096192384769546E-2</v>
      </c>
      <c r="Q31">
        <v>16</v>
      </c>
      <c r="R31" s="1">
        <f t="shared" si="0"/>
        <v>141.77676749420397</v>
      </c>
      <c r="S31" s="1">
        <f>_xll.PDENSITY($R$31,SimDataScen!$B$9:$B$508,$R$10,$R$11,0)</f>
        <v>1.3300581998383668E-3</v>
      </c>
      <c r="T31" s="1">
        <f t="shared" si="1"/>
        <v>66.323051302331876</v>
      </c>
      <c r="U31" s="1">
        <f>_xll.PDENSITY($T$31,SimDataScen!$C$9:$C$508,$T$10,$T$11,0)</f>
        <v>1.3704269933231155E-3</v>
      </c>
      <c r="V31" s="1">
        <f t="shared" si="2"/>
        <v>-9.1306648895402596</v>
      </c>
      <c r="W31" s="1">
        <f>_xll.PDENSITY($V$31,SimDataScen!$D$9:$D$508,$V$10,$V$11,0)</f>
        <v>1.4274467142405816E-3</v>
      </c>
      <c r="X31" s="1">
        <f t="shared" si="3"/>
        <v>-84.584381081412317</v>
      </c>
      <c r="Y31" s="1">
        <f>_xll.PDENSITY($X$31,SimDataScen!$E$9:$E$508,$X$10,$X$11,0)</f>
        <v>1.5069715335763057E-3</v>
      </c>
    </row>
    <row r="32" spans="1:25">
      <c r="A32">
        <v>24</v>
      </c>
      <c r="B32">
        <v>101.41868532801837</v>
      </c>
      <c r="C32">
        <v>32.11990978704987</v>
      </c>
      <c r="D32">
        <v>-37.178865753918629</v>
      </c>
      <c r="E32">
        <v>-106.47764129488712</v>
      </c>
      <c r="H32">
        <f>SMALL(SimDataScen!$B$9:$B$508,26)</f>
        <v>149.99434606880311</v>
      </c>
      <c r="I32">
        <f>1/(COUNT(SimDataScen!$B$9:$B$508)-1)+$I$31</f>
        <v>5.0100200400801612E-2</v>
      </c>
      <c r="J32">
        <f>SMALL(SimDataScen!$C$9:$C$508,26)</f>
        <v>75.912137188944158</v>
      </c>
      <c r="K32">
        <f>1/(COUNT(SimDataScen!$C$9:$C$508)-1)+$K$31</f>
        <v>5.0100200400801612E-2</v>
      </c>
      <c r="L32">
        <f>SMALL(SimDataScen!$D$9:$D$508,26)</f>
        <v>2.9713738140196426</v>
      </c>
      <c r="M32">
        <f>1/(COUNT(SimDataScen!$D$9:$D$508)-1)+$M$31</f>
        <v>5.0100200400801612E-2</v>
      </c>
      <c r="N32">
        <f>SMALL(SimDataScen!$E$9:$E$508,26)</f>
        <v>-74.632867482706843</v>
      </c>
      <c r="O32">
        <f>1/(COUNT(SimDataScen!$E$9:$E$508)-1)+$O$31</f>
        <v>5.0100200400801612E-2</v>
      </c>
      <c r="Q32">
        <v>17</v>
      </c>
      <c r="R32" s="1">
        <f t="shared" si="0"/>
        <v>146.98986116846515</v>
      </c>
      <c r="S32" s="1">
        <f>_xll.PDENSITY($R$32,SimDataScen!$B$9:$B$508,$R$10,$R$11,0)</f>
        <v>1.4745828639743451E-3</v>
      </c>
      <c r="T32" s="1">
        <f t="shared" si="1"/>
        <v>71.374626947982378</v>
      </c>
      <c r="U32" s="1">
        <f>_xll.PDENSITY($T$32,SimDataScen!$C$9:$C$508,$T$10,$T$11,0)</f>
        <v>1.5223975377575594E-3</v>
      </c>
      <c r="V32" s="1">
        <f t="shared" si="2"/>
        <v>-4.2406072725004247</v>
      </c>
      <c r="W32" s="1">
        <f>_xll.PDENSITY($V$32,SimDataScen!$D$9:$D$508,$V$10,$V$11,0)</f>
        <v>1.5872508615949329E-3</v>
      </c>
      <c r="X32" s="1">
        <f t="shared" si="3"/>
        <v>-79.855841492983146</v>
      </c>
      <c r="Y32" s="1">
        <f>_xll.PDENSITY($X$32,SimDataScen!$E$9:$E$508,$X$10,$X$11,0)</f>
        <v>1.673434002402006E-3</v>
      </c>
    </row>
    <row r="33" spans="1:25">
      <c r="A33">
        <v>25</v>
      </c>
      <c r="B33">
        <v>253.96603208552585</v>
      </c>
      <c r="C33">
        <v>180.76443124644004</v>
      </c>
      <c r="D33">
        <v>107.56283040735423</v>
      </c>
      <c r="E33">
        <v>34.361229568268413</v>
      </c>
      <c r="H33">
        <f>SMALL(SimDataScen!$B$9:$B$508,27)</f>
        <v>150.72149536718968</v>
      </c>
      <c r="I33">
        <f>1/(COUNT(SimDataScen!$B$9:$B$508)-1)+$I$32</f>
        <v>5.2104208416833678E-2</v>
      </c>
      <c r="J33">
        <f>SMALL(SimDataScen!$C$9:$C$508,27)</f>
        <v>76.76496104398413</v>
      </c>
      <c r="K33">
        <f>1/(COUNT(SimDataScen!$C$9:$C$508)-1)+$K$32</f>
        <v>5.2104208416833678E-2</v>
      </c>
      <c r="L33">
        <f>SMALL(SimDataScen!$D$9:$D$508,27)</f>
        <v>4.5725414264725117</v>
      </c>
      <c r="M33">
        <f>1/(COUNT(SimDataScen!$D$9:$D$508)-1)+$M$32</f>
        <v>5.2104208416833678E-2</v>
      </c>
      <c r="N33">
        <f>SMALL(SimDataScen!$E$9:$E$508,27)</f>
        <v>-73.706579167546892</v>
      </c>
      <c r="O33">
        <f>1/(COUNT(SimDataScen!$E$9:$E$508)-1)+$O$32</f>
        <v>5.2104208416833678E-2</v>
      </c>
      <c r="Q33">
        <v>18</v>
      </c>
      <c r="R33" s="1">
        <f t="shared" si="0"/>
        <v>152.20295484272634</v>
      </c>
      <c r="S33" s="1">
        <f>_xll.PDENSITY($R$33,SimDataScen!$B$9:$B$508,$R$10,$R$11,0)</f>
        <v>1.62731786150211E-3</v>
      </c>
      <c r="T33" s="1">
        <f t="shared" si="1"/>
        <v>76.42620259363288</v>
      </c>
      <c r="U33" s="1">
        <f>_xll.PDENSITY($T$33,SimDataScen!$C$9:$C$508,$T$10,$T$11,0)</f>
        <v>1.6811380973335819E-3</v>
      </c>
      <c r="V33" s="1">
        <f t="shared" si="2"/>
        <v>0.6494503445394102</v>
      </c>
      <c r="W33" s="1">
        <f>_xll.PDENSITY($V$33,SimDataScen!$D$9:$D$508,$V$10,$V$11,0)</f>
        <v>1.7507839996917778E-3</v>
      </c>
      <c r="X33" s="1">
        <f t="shared" si="3"/>
        <v>-75.127301904553974</v>
      </c>
      <c r="Y33" s="1">
        <f>_xll.PDENSITY($X$33,SimDataScen!$E$9:$E$508,$X$10,$X$11,0)</f>
        <v>1.8392810979660163E-3</v>
      </c>
    </row>
    <row r="34" spans="1:25">
      <c r="A34">
        <v>26</v>
      </c>
      <c r="B34">
        <v>303.59008337216687</v>
      </c>
      <c r="C34">
        <v>218.27747423845685</v>
      </c>
      <c r="D34">
        <v>132.96486510474682</v>
      </c>
      <c r="E34">
        <v>47.652255971036794</v>
      </c>
      <c r="H34">
        <f>SMALL(SimDataScen!$B$9:$B$508,28)</f>
        <v>154.16740335514771</v>
      </c>
      <c r="I34">
        <f>1/(COUNT(SimDataScen!$B$9:$B$508)-1)+$I$33</f>
        <v>5.4108216432865744E-2</v>
      </c>
      <c r="J34">
        <f>SMALL(SimDataScen!$C$9:$C$508,28)</f>
        <v>80.229752734783077</v>
      </c>
      <c r="K34">
        <f>1/(COUNT(SimDataScen!$C$9:$C$508)-1)+$K$33</f>
        <v>5.4108216432865744E-2</v>
      </c>
      <c r="L34">
        <f>SMALL(SimDataScen!$D$9:$D$508,28)</f>
        <v>4.8899676985124501</v>
      </c>
      <c r="M34">
        <f>1/(COUNT(SimDataScen!$D$9:$D$508)-1)+$M$33</f>
        <v>5.4108216432865744E-2</v>
      </c>
      <c r="N34">
        <f>SMALL(SimDataScen!$E$9:$E$508,28)</f>
        <v>-72.395972192675913</v>
      </c>
      <c r="O34">
        <f>1/(COUNT(SimDataScen!$E$9:$E$508)-1)+$O$33</f>
        <v>5.4108216432865744E-2</v>
      </c>
      <c r="Q34">
        <v>19</v>
      </c>
      <c r="R34" s="1">
        <f t="shared" si="0"/>
        <v>157.41604851698753</v>
      </c>
      <c r="S34" s="1">
        <f>_xll.PDENSITY($R$34,SimDataScen!$B$9:$B$508,$R$10,$R$11,0)</f>
        <v>1.786529350839193E-3</v>
      </c>
      <c r="T34" s="1">
        <f t="shared" si="1"/>
        <v>81.477778239283381</v>
      </c>
      <c r="U34" s="1">
        <f>_xll.PDENSITY($T$34,SimDataScen!$C$9:$C$508,$T$10,$T$11,0)</f>
        <v>1.8448757665403179E-3</v>
      </c>
      <c r="V34" s="1">
        <f t="shared" si="2"/>
        <v>5.5395079615792451</v>
      </c>
      <c r="W34" s="1">
        <f>_xll.PDENSITY($V$34,SimDataScen!$D$9:$D$508,$V$10,$V$11,0)</f>
        <v>1.9162971778257977E-3</v>
      </c>
      <c r="X34" s="1">
        <f t="shared" si="3"/>
        <v>-70.398762316124802</v>
      </c>
      <c r="Y34" s="1">
        <f>_xll.PDENSITY($X$34,SimDataScen!$E$9:$E$508,$X$10,$X$11,0)</f>
        <v>2.0028165706315257E-3</v>
      </c>
    </row>
    <row r="35" spans="1:25">
      <c r="A35">
        <v>27</v>
      </c>
      <c r="B35">
        <v>287.90392718613288</v>
      </c>
      <c r="C35">
        <v>206.14092038801357</v>
      </c>
      <c r="D35">
        <v>124.37791358989422</v>
      </c>
      <c r="E35">
        <v>42.614906791774899</v>
      </c>
      <c r="H35">
        <f>SMALL(SimDataScen!$B$9:$B$508,29)</f>
        <v>155.20330567660986</v>
      </c>
      <c r="I35">
        <f>1/(COUNT(SimDataScen!$B$9:$B$508)-1)+$I$34</f>
        <v>5.611222444889781E-2</v>
      </c>
      <c r="J35">
        <f>SMALL(SimDataScen!$C$9:$C$508,29)</f>
        <v>81.481530611692918</v>
      </c>
      <c r="K35">
        <f>1/(COUNT(SimDataScen!$C$9:$C$508)-1)+$K$34</f>
        <v>5.611222444889781E-2</v>
      </c>
      <c r="L35">
        <f>SMALL(SimDataScen!$D$9:$D$508,29)</f>
        <v>5.0208201730159772</v>
      </c>
      <c r="M35">
        <f>1/(COUNT(SimDataScen!$D$9:$D$508)-1)+$M$34</f>
        <v>5.611222444889781E-2</v>
      </c>
      <c r="N35">
        <f>SMALL(SimDataScen!$E$9:$E$508,29)</f>
        <v>-72.220075231898477</v>
      </c>
      <c r="O35">
        <f>1/(COUNT(SimDataScen!$E$9:$E$508)-1)+$O$34</f>
        <v>5.611222444889781E-2</v>
      </c>
      <c r="Q35">
        <v>20</v>
      </c>
      <c r="R35" s="1">
        <f t="shared" si="0"/>
        <v>162.62914219124872</v>
      </c>
      <c r="S35" s="1">
        <f>_xll.PDENSITY($R$35,SimDataScen!$B$9:$B$508,$R$10,$R$11,0)</f>
        <v>1.9502239595643861E-3</v>
      </c>
      <c r="T35" s="1">
        <f t="shared" si="1"/>
        <v>86.529353884933883</v>
      </c>
      <c r="U35" s="1">
        <f>_xll.PDENSITY($T$35,SimDataScen!$C$9:$C$508,$T$10,$T$11,0)</f>
        <v>2.0118336770474773E-3</v>
      </c>
      <c r="V35" s="1">
        <f t="shared" si="2"/>
        <v>10.42956557861908</v>
      </c>
      <c r="W35" s="1">
        <f>_xll.PDENSITY($V$35,SimDataScen!$D$9:$D$508,$V$10,$V$11,0)</f>
        <v>2.0824820350918948E-3</v>
      </c>
      <c r="X35" s="1">
        <f t="shared" si="3"/>
        <v>-65.670222727695631</v>
      </c>
      <c r="Y35" s="1">
        <f>_xll.PDENSITY($X$35,SimDataScen!$E$9:$E$508,$X$10,$X$11,0)</f>
        <v>2.1633573487706654E-3</v>
      </c>
    </row>
    <row r="36" spans="1:25">
      <c r="A36">
        <v>28</v>
      </c>
      <c r="B36">
        <v>195.19991888929383</v>
      </c>
      <c r="C36">
        <v>120.94205663640535</v>
      </c>
      <c r="D36">
        <v>46.684194383516882</v>
      </c>
      <c r="E36">
        <v>-27.573667869371576</v>
      </c>
      <c r="H36">
        <f>SMALL(SimDataScen!$B$9:$B$508,30)</f>
        <v>155.88834788410892</v>
      </c>
      <c r="I36">
        <f>1/(COUNT(SimDataScen!$B$9:$B$508)-1)+$I$35</f>
        <v>5.8116232464929876E-2</v>
      </c>
      <c r="J36">
        <f>SMALL(SimDataScen!$C$9:$C$508,30)</f>
        <v>82.175907589700827</v>
      </c>
      <c r="K36">
        <f>1/(COUNT(SimDataScen!$C$9:$C$508)-1)+$K$35</f>
        <v>5.8116232464929876E-2</v>
      </c>
      <c r="L36">
        <f>SMALL(SimDataScen!$D$9:$D$508,30)</f>
        <v>5.4969568841611789</v>
      </c>
      <c r="M36">
        <f>1/(COUNT(SimDataScen!$D$9:$D$508)-1)+$M$35</f>
        <v>5.8116232464929876E-2</v>
      </c>
      <c r="N36">
        <f>SMALL(SimDataScen!$E$9:$E$508,30)</f>
        <v>-71.294771803209926</v>
      </c>
      <c r="O36">
        <f>1/(COUNT(SimDataScen!$E$9:$E$508)-1)+$O$35</f>
        <v>5.8116232464929876E-2</v>
      </c>
      <c r="Q36">
        <v>21</v>
      </c>
      <c r="R36" s="1">
        <f t="shared" si="0"/>
        <v>167.84223586550991</v>
      </c>
      <c r="S36" s="1">
        <f>_xll.PDENSITY($R$36,SimDataScen!$B$9:$B$508,$R$10,$R$11,0)</f>
        <v>2.116350163868489E-3</v>
      </c>
      <c r="T36" s="1">
        <f t="shared" si="1"/>
        <v>91.580929530584385</v>
      </c>
      <c r="U36" s="1">
        <f>_xll.PDENSITY($T$36,SimDataScen!$C$9:$C$508,$T$10,$T$11,0)</f>
        <v>2.1804006715609894E-3</v>
      </c>
      <c r="V36" s="1">
        <f t="shared" si="2"/>
        <v>15.319623195658915</v>
      </c>
      <c r="W36" s="1">
        <f>_xll.PDENSITY($V$36,SimDataScen!$D$9:$D$508,$V$10,$V$11,0)</f>
        <v>2.2485638495900345E-3</v>
      </c>
      <c r="X36" s="1">
        <f t="shared" si="3"/>
        <v>-60.941683139266466</v>
      </c>
      <c r="Y36" s="1">
        <f>_xll.PDENSITY($X$36,SimDataScen!$E$9:$E$508,$X$10,$X$11,0)</f>
        <v>2.3212197145778359E-3</v>
      </c>
    </row>
    <row r="37" spans="1:25">
      <c r="A37">
        <v>29</v>
      </c>
      <c r="B37">
        <v>240.74976158483358</v>
      </c>
      <c r="C37">
        <v>167.6562112755305</v>
      </c>
      <c r="D37">
        <v>94.562660966227398</v>
      </c>
      <c r="E37">
        <v>21.469110656924315</v>
      </c>
      <c r="H37">
        <f>SMALL(SimDataScen!$B$9:$B$508,31)</f>
        <v>159.46184748088919</v>
      </c>
      <c r="I37">
        <f>1/(COUNT(SimDataScen!$B$9:$B$508)-1)+$I$36</f>
        <v>6.0120240480961942E-2</v>
      </c>
      <c r="J37">
        <f>SMALL(SimDataScen!$C$9:$C$508,31)</f>
        <v>82.335424658716519</v>
      </c>
      <c r="K37">
        <f>1/(COUNT(SimDataScen!$C$9:$C$508)-1)+$K$36</f>
        <v>6.0120240480961942E-2</v>
      </c>
      <c r="L37">
        <f>SMALL(SimDataScen!$D$9:$D$508,31)</f>
        <v>6.2921021144184266</v>
      </c>
      <c r="M37">
        <f>1/(COUNT(SimDataScen!$D$9:$D$508)-1)+$M$36</f>
        <v>6.0120240480961942E-2</v>
      </c>
      <c r="N37">
        <f>SMALL(SimDataScen!$E$9:$E$508,31)</f>
        <v>-71.279753982234382</v>
      </c>
      <c r="O37">
        <f>1/(COUNT(SimDataScen!$E$9:$E$508)-1)+$O$36</f>
        <v>6.0120240480961942E-2</v>
      </c>
      <c r="Q37">
        <v>22</v>
      </c>
      <c r="R37" s="1">
        <f t="shared" si="0"/>
        <v>173.05532953977109</v>
      </c>
      <c r="S37" s="1">
        <f>_xll.PDENSITY($R$37,SimDataScen!$B$9:$B$508,$R$10,$R$11,0)</f>
        <v>2.2829764917383262E-3</v>
      </c>
      <c r="T37" s="1">
        <f t="shared" si="1"/>
        <v>96.632505176234886</v>
      </c>
      <c r="U37" s="1">
        <f>_xll.PDENSITY($T$37,SimDataScen!$C$9:$C$508,$T$10,$T$11,0)</f>
        <v>2.3492337479409479E-3</v>
      </c>
      <c r="V37" s="1">
        <f t="shared" si="2"/>
        <v>20.20968081269875</v>
      </c>
      <c r="W37" s="1">
        <f>_xll.PDENSITY($V$37,SimDataScen!$D$9:$D$508,$V$10,$V$11,0)</f>
        <v>2.4142672461236339E-3</v>
      </c>
      <c r="X37" s="1">
        <f t="shared" si="3"/>
        <v>-56.213143550837302</v>
      </c>
      <c r="Y37" s="1">
        <f>_xll.PDENSITY($X$37,SimDataScen!$E$9:$E$508,$X$10,$X$11,0)</f>
        <v>2.4775125490927273E-3</v>
      </c>
    </row>
    <row r="38" spans="1:25">
      <c r="A38">
        <v>30</v>
      </c>
      <c r="B38">
        <v>282.26690577569116</v>
      </c>
      <c r="C38">
        <v>201.99055609503881</v>
      </c>
      <c r="D38">
        <v>121.71420641438641</v>
      </c>
      <c r="E38">
        <v>41.437856733734037</v>
      </c>
      <c r="H38">
        <f>SMALL(SimDataScen!$B$9:$B$508,32)</f>
        <v>159.58214096708619</v>
      </c>
      <c r="I38">
        <f>1/(COUNT(SimDataScen!$B$9:$B$508)-1)+$I$37</f>
        <v>6.2124248496994008E-2</v>
      </c>
      <c r="J38">
        <f>SMALL(SimDataScen!$C$9:$C$508,32)</f>
        <v>82.846429499009304</v>
      </c>
      <c r="K38">
        <f>1/(COUNT(SimDataScen!$C$9:$C$508)-1)+$K$37</f>
        <v>6.2124248496994008E-2</v>
      </c>
      <c r="L38">
        <f>SMALL(SimDataScen!$D$9:$D$508,32)</f>
        <v>7.3866709785732638</v>
      </c>
      <c r="M38">
        <f>1/(COUNT(SimDataScen!$D$9:$D$508)-1)+$M$37</f>
        <v>6.2124248496994008E-2</v>
      </c>
      <c r="N38">
        <f>SMALL(SimDataScen!$E$9:$E$508,32)</f>
        <v>-70.162029382170374</v>
      </c>
      <c r="O38">
        <f>1/(COUNT(SimDataScen!$E$9:$E$508)-1)+$O$37</f>
        <v>6.2124248496994008E-2</v>
      </c>
      <c r="Q38">
        <v>23</v>
      </c>
      <c r="R38" s="1">
        <f t="shared" si="0"/>
        <v>178.26842321403228</v>
      </c>
      <c r="S38" s="1">
        <f>_xll.PDENSITY($R$38,SimDataScen!$B$9:$B$508,$R$10,$R$11,0)</f>
        <v>2.4484151621075954E-3</v>
      </c>
      <c r="T38" s="1">
        <f t="shared" si="1"/>
        <v>101.68408082188539</v>
      </c>
      <c r="U38" s="1">
        <f>_xll.PDENSITY($T$38,SimDataScen!$C$9:$C$508,$T$10,$T$11,0)</f>
        <v>2.5172721204382228E-3</v>
      </c>
      <c r="V38" s="1">
        <f t="shared" si="2"/>
        <v>25.099738429738586</v>
      </c>
      <c r="W38" s="1">
        <f>_xll.PDENSITY($V$38,SimDataScen!$D$9:$D$508,$V$10,$V$11,0)</f>
        <v>2.5796596892114368E-3</v>
      </c>
      <c r="X38" s="1">
        <f t="shared" si="3"/>
        <v>-51.484603962408137</v>
      </c>
      <c r="Y38" s="1">
        <f>_xll.PDENSITY($X$38,SimDataScen!$E$9:$E$508,$X$10,$X$11,0)</f>
        <v>2.6337853549250616E-3</v>
      </c>
    </row>
    <row r="39" spans="1:25">
      <c r="A39">
        <v>31</v>
      </c>
      <c r="B39">
        <v>247.67374681772159</v>
      </c>
      <c r="C39">
        <v>168.47137810227383</v>
      </c>
      <c r="D39">
        <v>89.269009386826028</v>
      </c>
      <c r="E39">
        <v>10.066640671378252</v>
      </c>
      <c r="H39">
        <f>SMALL(SimDataScen!$B$9:$B$508,33)</f>
        <v>159.99168740936619</v>
      </c>
      <c r="I39">
        <f>1/(COUNT(SimDataScen!$B$9:$B$508)-1)+$I$38</f>
        <v>6.4128256513026075E-2</v>
      </c>
      <c r="J39">
        <f>SMALL(SimDataScen!$C$9:$C$508,33)</f>
        <v>83.505380138763371</v>
      </c>
      <c r="K39">
        <f>1/(COUNT(SimDataScen!$C$9:$C$508)-1)+$K$38</f>
        <v>6.4128256513026075E-2</v>
      </c>
      <c r="L39">
        <f>SMALL(SimDataScen!$D$9:$D$508,33)</f>
        <v>7.4286193104405243</v>
      </c>
      <c r="M39">
        <f>1/(COUNT(SimDataScen!$D$9:$D$508)-1)+$M$38</f>
        <v>6.4128256513026075E-2</v>
      </c>
      <c r="N39">
        <f>SMALL(SimDataScen!$E$9:$E$508,33)</f>
        <v>-69.512788940966004</v>
      </c>
      <c r="O39">
        <f>1/(COUNT(SimDataScen!$E$9:$E$508)-1)+$O$38</f>
        <v>6.4128256513026075E-2</v>
      </c>
      <c r="Q39">
        <v>24</v>
      </c>
      <c r="R39" s="1">
        <f t="shared" si="0"/>
        <v>183.48151688829347</v>
      </c>
      <c r="S39" s="1">
        <f>_xll.PDENSITY($R$39,SimDataScen!$B$9:$B$508,$R$10,$R$11,0)</f>
        <v>2.6112755397618708E-3</v>
      </c>
      <c r="T39" s="1">
        <f t="shared" si="1"/>
        <v>106.73565646753589</v>
      </c>
      <c r="U39" s="1">
        <f>_xll.PDENSITY($T$39,SimDataScen!$C$9:$C$508,$T$10,$T$11,0)</f>
        <v>2.6836671951658152E-3</v>
      </c>
      <c r="V39" s="1">
        <f t="shared" si="2"/>
        <v>29.989796046778423</v>
      </c>
      <c r="W39" s="1">
        <f>_xll.PDENSITY($V$39,SimDataScen!$D$9:$D$508,$V$10,$V$11,0)</f>
        <v>2.7449098234373871E-3</v>
      </c>
      <c r="X39" s="1">
        <f t="shared" si="3"/>
        <v>-46.756064373978973</v>
      </c>
      <c r="Y39" s="1">
        <f>_xll.PDENSITY($X$39,SimDataScen!$E$9:$E$508,$X$10,$X$11,0)</f>
        <v>2.7916089836769625E-3</v>
      </c>
    </row>
    <row r="40" spans="1:25">
      <c r="A40">
        <v>32</v>
      </c>
      <c r="B40">
        <v>192.66493489174928</v>
      </c>
      <c r="C40">
        <v>117.50423083246903</v>
      </c>
      <c r="D40">
        <v>42.343526773188785</v>
      </c>
      <c r="E40">
        <v>-32.817177286091464</v>
      </c>
      <c r="H40">
        <f>SMALL(SimDataScen!$B$9:$B$508,34)</f>
        <v>161.18559081765181</v>
      </c>
      <c r="I40">
        <f>1/(COUNT(SimDataScen!$B$9:$B$508)-1)+$I$39</f>
        <v>6.6132264529058141E-2</v>
      </c>
      <c r="J40">
        <f>SMALL(SimDataScen!$C$9:$C$508,34)</f>
        <v>84.286130898112546</v>
      </c>
      <c r="K40">
        <f>1/(COUNT(SimDataScen!$C$9:$C$508)-1)+$K$39</f>
        <v>6.6132264529058141E-2</v>
      </c>
      <c r="L40">
        <f>SMALL(SimDataScen!$D$9:$D$508,34)</f>
        <v>8.1010993336566912</v>
      </c>
      <c r="M40">
        <f>1/(COUNT(SimDataScen!$D$9:$D$508)-1)+$M$39</f>
        <v>6.6132264529058141E-2</v>
      </c>
      <c r="N40">
        <f>SMALL(SimDataScen!$E$9:$E$508,34)</f>
        <v>-68.648141517882294</v>
      </c>
      <c r="O40">
        <f>1/(COUNT(SimDataScen!$E$9:$E$508)-1)+$O$39</f>
        <v>6.6132264529058141E-2</v>
      </c>
      <c r="Q40">
        <v>25</v>
      </c>
      <c r="R40" s="1">
        <f t="shared" si="0"/>
        <v>188.69461056255466</v>
      </c>
      <c r="S40" s="1">
        <f>_xll.PDENSITY($R$40,SimDataScen!$B$9:$B$508,$R$10,$R$11,0)</f>
        <v>2.7704499616701358E-3</v>
      </c>
      <c r="T40" s="1">
        <f t="shared" si="1"/>
        <v>111.78723211318639</v>
      </c>
      <c r="U40" s="1">
        <f>_xll.PDENSITY($T$40,SimDataScen!$C$9:$C$508,$T$10,$T$11,0)</f>
        <v>2.8476570241697322E-3</v>
      </c>
      <c r="V40" s="1">
        <f t="shared" si="2"/>
        <v>34.87985366381826</v>
      </c>
      <c r="W40" s="1">
        <f>_xll.PDENSITY($V$40,SimDataScen!$D$9:$D$508,$V$10,$V$11,0)</f>
        <v>2.9100202442426393E-3</v>
      </c>
      <c r="X40" s="1">
        <f t="shared" si="3"/>
        <v>-42.027524785549808</v>
      </c>
      <c r="Y40" s="1">
        <f>_xll.PDENSITY($X$40,SimDataScen!$E$9:$E$508,$X$10,$X$11,0)</f>
        <v>2.9521749744333306E-3</v>
      </c>
    </row>
    <row r="41" spans="1:25">
      <c r="A41">
        <v>33</v>
      </c>
      <c r="B41">
        <v>324.88196219136137</v>
      </c>
      <c r="C41">
        <v>237.78631593616473</v>
      </c>
      <c r="D41">
        <v>150.69066968096806</v>
      </c>
      <c r="E41">
        <v>63.595023425771416</v>
      </c>
      <c r="H41">
        <f>SMALL(SimDataScen!$B$9:$B$508,35)</f>
        <v>163.99715965367764</v>
      </c>
      <c r="I41">
        <f>1/(COUNT(SimDataScen!$B$9:$B$508)-1)+$I$40</f>
        <v>6.8136272545090207E-2</v>
      </c>
      <c r="J41">
        <f>SMALL(SimDataScen!$C$9:$C$508,35)</f>
        <v>86.364228049483756</v>
      </c>
      <c r="K41">
        <f>1/(COUNT(SimDataScen!$C$9:$C$508)-1)+$K$40</f>
        <v>6.8136272545090207E-2</v>
      </c>
      <c r="L41">
        <f>SMALL(SimDataScen!$D$9:$D$508,35)</f>
        <v>8.1488827063823521</v>
      </c>
      <c r="M41">
        <f>1/(COUNT(SimDataScen!$D$9:$D$508)-1)+$M$40</f>
        <v>6.8136272545090207E-2</v>
      </c>
      <c r="N41">
        <f>SMALL(SimDataScen!$E$9:$E$508,35)</f>
        <v>-68.646228601911844</v>
      </c>
      <c r="O41">
        <f>1/(COUNT(SimDataScen!$E$9:$E$508)-1)+$O$40</f>
        <v>6.8136272545090207E-2</v>
      </c>
      <c r="Q41">
        <v>26</v>
      </c>
      <c r="R41" s="1">
        <f t="shared" si="0"/>
        <v>193.90770423681585</v>
      </c>
      <c r="S41" s="1">
        <f>_xll.PDENSITY($R$41,SimDataScen!$B$9:$B$508,$R$10,$R$11,0)</f>
        <v>2.9250502101943339E-3</v>
      </c>
      <c r="T41" s="1">
        <f t="shared" si="1"/>
        <v>116.83880775883689</v>
      </c>
      <c r="U41" s="1">
        <f>_xll.PDENSITY($T$41,SimDataScen!$C$9:$C$508,$T$10,$T$11,0)</f>
        <v>3.008429776438518E-3</v>
      </c>
      <c r="V41" s="1">
        <f t="shared" si="2"/>
        <v>39.769911280858096</v>
      </c>
      <c r="W41" s="1">
        <f>_xll.PDENSITY($V$41,SimDataScen!$D$9:$D$508,$V$10,$V$11,0)</f>
        <v>3.0746013438085582E-3</v>
      </c>
      <c r="X41" s="1">
        <f t="shared" si="3"/>
        <v>-37.298985197120643</v>
      </c>
      <c r="Y41" s="1">
        <f>_xll.PDENSITY($X$41,SimDataScen!$E$9:$E$508,$X$10,$X$11,0)</f>
        <v>3.1159859275081449E-3</v>
      </c>
    </row>
    <row r="42" spans="1:25">
      <c r="A42">
        <v>34</v>
      </c>
      <c r="B42">
        <v>268.52735886163077</v>
      </c>
      <c r="C42">
        <v>196.65740074120072</v>
      </c>
      <c r="D42">
        <v>124.78744262077065</v>
      </c>
      <c r="E42">
        <v>52.917484500340578</v>
      </c>
      <c r="H42">
        <f>SMALL(SimDataScen!$B$9:$B$508,36)</f>
        <v>164.62735676531082</v>
      </c>
      <c r="I42">
        <f>1/(COUNT(SimDataScen!$B$9:$B$508)-1)+$I$41</f>
        <v>7.0140280561122273E-2</v>
      </c>
      <c r="J42">
        <f>SMALL(SimDataScen!$C$9:$C$508,36)</f>
        <v>88.517840644663195</v>
      </c>
      <c r="K42">
        <f>1/(COUNT(SimDataScen!$C$9:$C$508)-1)+$K$41</f>
        <v>7.0140280561122273E-2</v>
      </c>
      <c r="L42">
        <f>SMALL(SimDataScen!$D$9:$D$508,36)</f>
        <v>8.613146002279322</v>
      </c>
      <c r="M42">
        <f>1/(COUNT(SimDataScen!$D$9:$D$508)-1)+$M$41</f>
        <v>7.0140280561122273E-2</v>
      </c>
      <c r="N42">
        <f>SMALL(SimDataScen!$E$9:$E$508,36)</f>
        <v>-68.328622256888252</v>
      </c>
      <c r="O42">
        <f>1/(COUNT(SimDataScen!$E$9:$E$508)-1)+$O$41</f>
        <v>7.0140280561122273E-2</v>
      </c>
      <c r="Q42">
        <v>27</v>
      </c>
      <c r="R42" s="1">
        <f t="shared" si="0"/>
        <v>199.12079791107703</v>
      </c>
      <c r="S42" s="1">
        <f>_xll.PDENSITY($R$42,SimDataScen!$B$9:$B$508,$R$10,$R$11,0)</f>
        <v>3.0743220456781266E-3</v>
      </c>
      <c r="T42" s="1">
        <f t="shared" si="1"/>
        <v>121.89038340448739</v>
      </c>
      <c r="U42" s="1">
        <f>_xll.PDENSITY($T$42,SimDataScen!$C$9:$C$508,$T$10,$T$11,0)</f>
        <v>3.1650236280971679E-3</v>
      </c>
      <c r="V42" s="1">
        <f t="shared" si="2"/>
        <v>44.659968897897933</v>
      </c>
      <c r="W42" s="1">
        <f>_xll.PDENSITY($V$42,SimDataScen!$D$9:$D$508,$V$10,$V$11,0)</f>
        <v>3.2377431278447642E-3</v>
      </c>
      <c r="X42" s="1">
        <f t="shared" si="3"/>
        <v>-32.570445608691479</v>
      </c>
      <c r="Y42" s="1">
        <f>_xll.PDENSITY($X$42,SimDataScen!$E$9:$E$508,$X$10,$X$11,0)</f>
        <v>3.2826820570099756E-3</v>
      </c>
    </row>
    <row r="43" spans="1:25">
      <c r="A43">
        <v>35</v>
      </c>
      <c r="B43">
        <v>168.42898161325783</v>
      </c>
      <c r="C43">
        <v>88.521063807768584</v>
      </c>
      <c r="D43">
        <v>8.613146002279322</v>
      </c>
      <c r="E43">
        <v>-71.294771803209926</v>
      </c>
      <c r="H43">
        <f>SMALL(SimDataScen!$B$9:$B$508,37)</f>
        <v>165.0733405457878</v>
      </c>
      <c r="I43">
        <f>1/(COUNT(SimDataScen!$B$9:$B$508)-1)+$I$42</f>
        <v>7.2144288577154339E-2</v>
      </c>
      <c r="J43">
        <f>SMALL(SimDataScen!$C$9:$C$508,37)</f>
        <v>88.521063807768584</v>
      </c>
      <c r="K43">
        <f>1/(COUNT(SimDataScen!$C$9:$C$508)-1)+$K$42</f>
        <v>7.2144288577154339E-2</v>
      </c>
      <c r="L43">
        <f>SMALL(SimDataScen!$D$9:$D$508,37)</f>
        <v>9.4675436408231803</v>
      </c>
      <c r="M43">
        <f>1/(COUNT(SimDataScen!$D$9:$D$508)-1)+$M$42</f>
        <v>7.2144288577154339E-2</v>
      </c>
      <c r="N43">
        <f>SMALL(SimDataScen!$E$9:$E$508,37)</f>
        <v>-67.645548505946209</v>
      </c>
      <c r="O43">
        <f>1/(COUNT(SimDataScen!$E$9:$E$508)-1)+$O$42</f>
        <v>7.2144288577154339E-2</v>
      </c>
      <c r="Q43">
        <v>28</v>
      </c>
      <c r="R43" s="1">
        <f t="shared" si="0"/>
        <v>204.33389158533822</v>
      </c>
      <c r="S43" s="1">
        <f>_xll.PDENSITY($R$43,SimDataScen!$B$9:$B$508,$R$10,$R$11,0)</f>
        <v>3.2175656017958002E-3</v>
      </c>
      <c r="T43" s="1">
        <f t="shared" si="1"/>
        <v>126.9419590501379</v>
      </c>
      <c r="U43" s="1">
        <f>_xll.PDENSITY($T$43,SimDataScen!$C$9:$C$508,$T$10,$T$11,0)</f>
        <v>3.3162989820807727E-3</v>
      </c>
      <c r="V43" s="1">
        <f t="shared" si="2"/>
        <v>49.55002651493777</v>
      </c>
      <c r="W43" s="1">
        <f>_xll.PDENSITY($V$43,SimDataScen!$D$9:$D$508,$V$10,$V$11,0)</f>
        <v>3.3980182536208344E-3</v>
      </c>
      <c r="X43" s="1">
        <f t="shared" si="3"/>
        <v>-27.841906020262314</v>
      </c>
      <c r="Y43" s="1">
        <f>_xll.PDENSITY($X$43,SimDataScen!$E$9:$E$508,$X$10,$X$11,0)</f>
        <v>3.4510182927350828E-3</v>
      </c>
    </row>
    <row r="44" spans="1:25">
      <c r="A44">
        <v>36</v>
      </c>
      <c r="B44">
        <v>164.62735676531082</v>
      </c>
      <c r="C44">
        <v>86.364228049483756</v>
      </c>
      <c r="D44">
        <v>8.1010993336566912</v>
      </c>
      <c r="E44">
        <v>-70.162029382170374</v>
      </c>
      <c r="H44">
        <f>SMALL(SimDataScen!$B$9:$B$508,38)</f>
        <v>165.17889817972167</v>
      </c>
      <c r="I44">
        <f>1/(COUNT(SimDataScen!$B$9:$B$508)-1)+$I$43</f>
        <v>7.4148296593186405E-2</v>
      </c>
      <c r="J44">
        <f>SMALL(SimDataScen!$C$9:$C$508,38)</f>
        <v>88.945315766867239</v>
      </c>
      <c r="K44">
        <f>1/(COUNT(SimDataScen!$C$9:$C$508)-1)+$K$43</f>
        <v>7.4148296593186405E-2</v>
      </c>
      <c r="L44">
        <f>SMALL(SimDataScen!$D$9:$D$508,38)</f>
        <v>10.852432195779642</v>
      </c>
      <c r="M44">
        <f>1/(COUNT(SimDataScen!$D$9:$D$508)-1)+$M$43</f>
        <v>7.4148296593186405E-2</v>
      </c>
      <c r="N44">
        <f>SMALL(SimDataScen!$E$9:$E$508,38)</f>
        <v>-67.619878191039092</v>
      </c>
      <c r="O44">
        <f>1/(COUNT(SimDataScen!$E$9:$E$508)-1)+$O$43</f>
        <v>7.4148296593186405E-2</v>
      </c>
      <c r="Q44">
        <v>29</v>
      </c>
      <c r="R44" s="1">
        <f t="shared" si="0"/>
        <v>209.54698525959941</v>
      </c>
      <c r="S44" s="1">
        <f>_xll.PDENSITY($R$44,SimDataScen!$B$9:$B$508,$R$10,$R$11,0)</f>
        <v>3.354081723850029E-3</v>
      </c>
      <c r="T44" s="1">
        <f t="shared" si="1"/>
        <v>131.99353469578841</v>
      </c>
      <c r="U44" s="1">
        <f>_xll.PDENSITY($T$44,SimDataScen!$C$9:$C$508,$T$10,$T$11,0)</f>
        <v>3.4609958911262953E-3</v>
      </c>
      <c r="V44" s="1">
        <f t="shared" si="2"/>
        <v>54.440084131977606</v>
      </c>
      <c r="W44" s="1">
        <f>_xll.PDENSITY($V$44,SimDataScen!$D$9:$D$508,$V$10,$V$11,0)</f>
        <v>3.553617739593627E-3</v>
      </c>
      <c r="X44" s="1">
        <f t="shared" si="3"/>
        <v>-23.11336643183315</v>
      </c>
      <c r="Y44" s="1">
        <f>_xll.PDENSITY($X$44,SimDataScen!$E$9:$E$508,$X$10,$X$11,0)</f>
        <v>3.6189803564460167E-3</v>
      </c>
    </row>
    <row r="45" spans="1:25">
      <c r="A45">
        <v>37</v>
      </c>
      <c r="B45">
        <v>320.28995849668581</v>
      </c>
      <c r="C45">
        <v>243.45068715987068</v>
      </c>
      <c r="D45">
        <v>166.61141582305555</v>
      </c>
      <c r="E45">
        <v>89.77214448624045</v>
      </c>
      <c r="H45">
        <f>SMALL(SimDataScen!$B$9:$B$508,39)</f>
        <v>165.75719683365048</v>
      </c>
      <c r="I45">
        <f>1/(COUNT(SimDataScen!$B$9:$B$508)-1)+$I$44</f>
        <v>7.6152304609218471E-2</v>
      </c>
      <c r="J45">
        <f>SMALL(SimDataScen!$C$9:$C$508,39)</f>
        <v>89.581378997080691</v>
      </c>
      <c r="K45">
        <f>1/(COUNT(SimDataScen!$C$9:$C$508)-1)+$K$44</f>
        <v>7.6152304609218471E-2</v>
      </c>
      <c r="L45">
        <f>SMALL(SimDataScen!$D$9:$D$508,39)</f>
        <v>10.94661190126088</v>
      </c>
      <c r="M45">
        <f>1/(COUNT(SimDataScen!$D$9:$D$508)-1)+$M$44</f>
        <v>7.6152304609218471E-2</v>
      </c>
      <c r="N45">
        <f>SMALL(SimDataScen!$E$9:$E$508,39)</f>
        <v>-66.240283430075351</v>
      </c>
      <c r="O45">
        <f>1/(COUNT(SimDataScen!$E$9:$E$508)-1)+$O$44</f>
        <v>7.6152304609218471E-2</v>
      </c>
      <c r="Q45">
        <v>30</v>
      </c>
      <c r="R45" s="1">
        <f t="shared" si="0"/>
        <v>214.7600789338606</v>
      </c>
      <c r="S45" s="1">
        <f>_xll.PDENSITY($R$45,SimDataScen!$B$9:$B$508,$R$10,$R$11,0)</f>
        <v>3.4831519225525152E-3</v>
      </c>
      <c r="T45" s="1">
        <f t="shared" si="1"/>
        <v>137.04511034143891</v>
      </c>
      <c r="U45" s="1">
        <f>_xll.PDENSITY($T$45,SimDataScen!$C$9:$C$508,$T$10,$T$11,0)</f>
        <v>3.5978614783378823E-3</v>
      </c>
      <c r="V45" s="1">
        <f t="shared" si="2"/>
        <v>59.330141749017443</v>
      </c>
      <c r="W45" s="1">
        <f>_xll.PDENSITY($V$45,SimDataScen!$D$9:$D$508,$V$10,$V$11,0)</f>
        <v>3.7025879899923431E-3</v>
      </c>
      <c r="X45" s="1">
        <f t="shared" si="3"/>
        <v>-18.384826843403985</v>
      </c>
      <c r="Y45" s="1">
        <f>_xll.PDENSITY($X$45,SimDataScen!$E$9:$E$508,$X$10,$X$11,0)</f>
        <v>3.7840107146425283E-3</v>
      </c>
    </row>
    <row r="46" spans="1:25">
      <c r="A46">
        <v>38</v>
      </c>
      <c r="B46">
        <v>324.64431402403079</v>
      </c>
      <c r="C46">
        <v>245.74785247679011</v>
      </c>
      <c r="D46">
        <v>166.85139092954944</v>
      </c>
      <c r="E46">
        <v>87.954929382308791</v>
      </c>
      <c r="H46">
        <f>SMALL(SimDataScen!$B$9:$B$508,40)</f>
        <v>165.80300665264733</v>
      </c>
      <c r="I46">
        <f>1/(COUNT(SimDataScen!$B$9:$B$508)-1)+$I$45</f>
        <v>7.8156312625250537E-2</v>
      </c>
      <c r="J46">
        <f>SMALL(SimDataScen!$C$9:$C$508,40)</f>
        <v>89.588742239439469</v>
      </c>
      <c r="K46">
        <f>1/(COUNT(SimDataScen!$C$9:$C$508)-1)+$K$45</f>
        <v>7.8156312625250537E-2</v>
      </c>
      <c r="L46">
        <f>SMALL(SimDataScen!$D$9:$D$508,40)</f>
        <v>13.893471880056836</v>
      </c>
      <c r="M46">
        <f>1/(COUNT(SimDataScen!$D$9:$D$508)-1)+$M$45</f>
        <v>7.8156312625250537E-2</v>
      </c>
      <c r="N46">
        <f>SMALL(SimDataScen!$E$9:$E$508,40)</f>
        <v>-64.794979859068505</v>
      </c>
      <c r="O46">
        <f>1/(COUNT(SimDataScen!$E$9:$E$508)-1)+$O$45</f>
        <v>7.8156312625250537E-2</v>
      </c>
      <c r="Q46">
        <v>31</v>
      </c>
      <c r="R46" s="1">
        <f t="shared" si="0"/>
        <v>219.97317260812179</v>
      </c>
      <c r="S46" s="1">
        <f>_xll.PDENSITY($R$46,SimDataScen!$B$9:$B$508,$R$10,$R$11,0)</f>
        <v>3.6040476322657172E-3</v>
      </c>
      <c r="T46" s="1">
        <f t="shared" si="1"/>
        <v>142.09668598708942</v>
      </c>
      <c r="U46" s="1">
        <f>_xll.PDENSITY($T$46,SimDataScen!$C$9:$C$508,$T$10,$T$11,0)</f>
        <v>3.7258078264378858E-3</v>
      </c>
      <c r="V46" s="1">
        <f t="shared" si="2"/>
        <v>64.220199366057273</v>
      </c>
      <c r="W46" s="1">
        <f>_xll.PDENSITY($V$46,SimDataScen!$D$9:$D$508,$V$10,$V$11,0)</f>
        <v>3.8431114910623277E-3</v>
      </c>
      <c r="X46" s="1">
        <f t="shared" si="3"/>
        <v>-13.656287254974821</v>
      </c>
      <c r="Y46" s="1">
        <f>_xll.PDENSITY($X$46,SimDataScen!$E$9:$E$508,$X$10,$X$11,0)</f>
        <v>3.9433052319542009E-3</v>
      </c>
    </row>
    <row r="47" spans="1:25">
      <c r="A47">
        <v>39</v>
      </c>
      <c r="B47">
        <v>296.18245373224516</v>
      </c>
      <c r="C47">
        <v>213.65807573230694</v>
      </c>
      <c r="D47">
        <v>131.13369773236874</v>
      </c>
      <c r="E47">
        <v>48.609319732430549</v>
      </c>
      <c r="H47">
        <f>SMALL(SimDataScen!$B$9:$B$508,41)</f>
        <v>167.00457289333241</v>
      </c>
      <c r="I47">
        <f>1/(COUNT(SimDataScen!$B$9:$B$508)-1)+$I$46</f>
        <v>8.0160320641282604E-2</v>
      </c>
      <c r="J47">
        <f>SMALL(SimDataScen!$C$9:$C$508,41)</f>
        <v>90.080100169347247</v>
      </c>
      <c r="K47">
        <f>1/(COUNT(SimDataScen!$C$9:$C$508)-1)+$K$46</f>
        <v>8.0160320641282604E-2</v>
      </c>
      <c r="L47">
        <f>SMALL(SimDataScen!$D$9:$D$508,41)</f>
        <v>13.998586299157253</v>
      </c>
      <c r="M47">
        <f>1/(COUNT(SimDataScen!$D$9:$D$508)-1)+$M$46</f>
        <v>8.0160320641282604E-2</v>
      </c>
      <c r="N47">
        <f>SMALL(SimDataScen!$E$9:$E$508,41)</f>
        <v>-63.400337377070159</v>
      </c>
      <c r="O47">
        <f>1/(COUNT(SimDataScen!$E$9:$E$508)-1)+$O$46</f>
        <v>8.0160320641282604E-2</v>
      </c>
      <c r="Q47">
        <v>32</v>
      </c>
      <c r="R47" s="1">
        <f t="shared" si="0"/>
        <v>225.18626628238297</v>
      </c>
      <c r="S47" s="1">
        <f>_xll.PDENSITY($R$47,SimDataScen!$B$9:$B$508,$R$10,$R$11,0)</f>
        <v>3.7160576112131574E-3</v>
      </c>
      <c r="T47" s="1">
        <f t="shared" si="1"/>
        <v>147.14826163273992</v>
      </c>
      <c r="U47" s="1">
        <f>_xll.PDENSITY($T$47,SimDataScen!$C$9:$C$508,$T$10,$T$11,0)</f>
        <v>3.8440488248337981E-3</v>
      </c>
      <c r="V47" s="1">
        <f t="shared" si="2"/>
        <v>69.110256983097102</v>
      </c>
      <c r="W47" s="1">
        <f>_xll.PDENSITY($V$47,SimDataScen!$D$9:$D$508,$V$10,$V$11,0)</f>
        <v>3.9737606378671634E-3</v>
      </c>
      <c r="X47" s="1">
        <f t="shared" si="3"/>
        <v>-8.9277476665456561</v>
      </c>
      <c r="Y47" s="1">
        <f>_xll.PDENSITY($X$47,SimDataScen!$E$9:$E$508,$X$10,$X$11,0)</f>
        <v>4.094135599503509E-3</v>
      </c>
    </row>
    <row r="48" spans="1:25">
      <c r="A48">
        <v>40</v>
      </c>
      <c r="B48">
        <v>133.58155145059237</v>
      </c>
      <c r="C48">
        <v>61.501027543618051</v>
      </c>
      <c r="D48">
        <v>-10.579496363356299</v>
      </c>
      <c r="E48">
        <v>-82.660020270330634</v>
      </c>
      <c r="H48">
        <f>SMALL(SimDataScen!$B$9:$B$508,42)</f>
        <v>167.03635844608363</v>
      </c>
      <c r="I48">
        <f>1/(COUNT(SimDataScen!$B$9:$B$508)-1)+$I$47</f>
        <v>8.216432865731467E-2</v>
      </c>
      <c r="J48">
        <f>SMALL(SimDataScen!$C$9:$C$508,42)</f>
        <v>90.221846059410026</v>
      </c>
      <c r="K48">
        <f>1/(COUNT(SimDataScen!$C$9:$C$508)-1)+$K$47</f>
        <v>8.216432865731467E-2</v>
      </c>
      <c r="L48">
        <f>SMALL(SimDataScen!$D$9:$D$508,42)</f>
        <v>14.304032019138504</v>
      </c>
      <c r="M48">
        <f>1/(COUNT(SimDataScen!$D$9:$D$508)-1)+$M$47</f>
        <v>8.216432865731467E-2</v>
      </c>
      <c r="N48">
        <f>SMALL(SimDataScen!$E$9:$E$508,42)</f>
        <v>-62.062131194334057</v>
      </c>
      <c r="O48">
        <f>1/(COUNT(SimDataScen!$E$9:$E$508)-1)+$O$47</f>
        <v>8.216432865731467E-2</v>
      </c>
      <c r="Q48">
        <v>33</v>
      </c>
      <c r="R48" s="1">
        <f t="shared" si="0"/>
        <v>230.39935995664416</v>
      </c>
      <c r="S48" s="1">
        <f>_xll.PDENSITY($R$48,SimDataScen!$B$9:$B$508,$R$10,$R$11,0)</f>
        <v>3.8185226372774452E-3</v>
      </c>
      <c r="T48" s="1">
        <f t="shared" si="1"/>
        <v>152.19983727839042</v>
      </c>
      <c r="U48" s="1">
        <f>_xll.PDENSITY($T$48,SimDataScen!$C$9:$C$508,$T$10,$T$11,0)</f>
        <v>3.9521699709027056E-3</v>
      </c>
      <c r="V48" s="1">
        <f t="shared" si="2"/>
        <v>74.000314600136932</v>
      </c>
      <c r="W48" s="1">
        <f>_xll.PDENSITY($V$48,SimDataScen!$D$9:$D$508,$V$10,$V$11,0)</f>
        <v>4.0936592201041393E-3</v>
      </c>
      <c r="X48" s="1">
        <f t="shared" si="3"/>
        <v>-4.1992080781164907</v>
      </c>
      <c r="Y48" s="1">
        <f>_xll.PDENSITY($X$48,SimDataScen!$E$9:$E$508,$X$10,$X$11,0)</f>
        <v>4.2341489750717665E-3</v>
      </c>
    </row>
    <row r="49" spans="1:25">
      <c r="A49">
        <v>41</v>
      </c>
      <c r="B49">
        <v>351.37420856912445</v>
      </c>
      <c r="C49">
        <v>278.88745059249578</v>
      </c>
      <c r="D49">
        <v>206.40069261586711</v>
      </c>
      <c r="E49">
        <v>133.91393463923848</v>
      </c>
      <c r="H49">
        <f>SMALL(SimDataScen!$B$9:$B$508,43)</f>
        <v>168.42898161325783</v>
      </c>
      <c r="I49">
        <f>1/(COUNT(SimDataScen!$B$9:$B$508)-1)+$I$48</f>
        <v>8.4168336673346736E-2</v>
      </c>
      <c r="J49">
        <f>SMALL(SimDataScen!$C$9:$C$508,43)</f>
        <v>90.670195232611064</v>
      </c>
      <c r="K49">
        <f>1/(COUNT(SimDataScen!$C$9:$C$508)-1)+$K$48</f>
        <v>8.4168336673346736E-2</v>
      </c>
      <c r="L49">
        <f>SMALL(SimDataScen!$D$9:$D$508,43)</f>
        <v>14.385513457304</v>
      </c>
      <c r="M49">
        <f>1/(COUNT(SimDataScen!$D$9:$D$508)-1)+$M$48</f>
        <v>8.4168336673346736E-2</v>
      </c>
      <c r="N49">
        <f>SMALL(SimDataScen!$E$9:$E$508,43)</f>
        <v>-61.591569641124948</v>
      </c>
      <c r="O49">
        <f>1/(COUNT(SimDataScen!$E$9:$E$508)-1)+$O$48</f>
        <v>8.4168336673346736E-2</v>
      </c>
      <c r="Q49">
        <v>34</v>
      </c>
      <c r="R49" s="1">
        <f t="shared" ref="R49:R80" si="4">1/99*($R$9-$R$8)+R48</f>
        <v>235.61245363090535</v>
      </c>
      <c r="S49" s="1">
        <f>_xll.PDENSITY($R$49,SimDataScen!$B$9:$B$508,$R$10,$R$11,0)</f>
        <v>3.9108722099515502E-3</v>
      </c>
      <c r="T49" s="1">
        <f t="shared" ref="T49:T80" si="5">1/99*($T$9-$T$8)+T48</f>
        <v>157.25141292404092</v>
      </c>
      <c r="U49" s="1">
        <f>_xll.PDENSITY($T$49,SimDataScen!$C$9:$C$508,$T$10,$T$11,0)</f>
        <v>4.0501070786547206E-3</v>
      </c>
      <c r="V49" s="1">
        <f t="shared" ref="V49:V80" si="6">1/99*($V$9-$V$8)+V48</f>
        <v>78.890372217176761</v>
      </c>
      <c r="W49" s="1">
        <f>_xll.PDENSITY($V$49,SimDataScen!$D$9:$D$508,$V$10,$V$11,0)</f>
        <v>4.2025093169428835E-3</v>
      </c>
      <c r="X49" s="1">
        <f t="shared" ref="X49:X80" si="7">1/99*($X$9-$X$8)+X48</f>
        <v>0.52933151031267478</v>
      </c>
      <c r="Y49" s="1">
        <f>_xll.PDENSITY($X$49,SimDataScen!$E$9:$E$508,$X$10,$X$11,0)</f>
        <v>4.361595336927611E-3</v>
      </c>
    </row>
    <row r="50" spans="1:25">
      <c r="A50">
        <v>42</v>
      </c>
      <c r="B50">
        <v>94.908160635638296</v>
      </c>
      <c r="C50">
        <v>12.277570086761216</v>
      </c>
      <c r="D50">
        <v>-70.353020462115865</v>
      </c>
      <c r="E50">
        <v>-152.98361101099295</v>
      </c>
      <c r="H50">
        <f>SMALL(SimDataScen!$B$9:$B$508,44)</f>
        <v>168.88679858294404</v>
      </c>
      <c r="I50">
        <f>1/(COUNT(SimDataScen!$B$9:$B$508)-1)+$I$49</f>
        <v>8.6172344689378802E-2</v>
      </c>
      <c r="J50">
        <f>SMALL(SimDataScen!$C$9:$C$508,44)</f>
        <v>91.280614510707963</v>
      </c>
      <c r="K50">
        <f>1/(COUNT(SimDataScen!$C$9:$C$508)-1)+$K$49</f>
        <v>8.6172344689378802E-2</v>
      </c>
      <c r="L50">
        <f>SMALL(SimDataScen!$D$9:$D$508,44)</f>
        <v>14.403003505044012</v>
      </c>
      <c r="M50">
        <f>1/(COUNT(SimDataScen!$D$9:$D$508)-1)+$M$49</f>
        <v>8.6172344689378802E-2</v>
      </c>
      <c r="N50">
        <f>SMALL(SimDataScen!$E$9:$E$508,44)</f>
        <v>-61.274093159259223</v>
      </c>
      <c r="O50">
        <f>1/(COUNT(SimDataScen!$E$9:$E$508)-1)+$O$49</f>
        <v>8.6172344689378802E-2</v>
      </c>
      <c r="Q50">
        <v>35</v>
      </c>
      <c r="R50" s="1">
        <f t="shared" si="4"/>
        <v>240.82554730516654</v>
      </c>
      <c r="S50" s="1">
        <f>_xll.PDENSITY($R$50,SimDataScen!$B$9:$B$508,$R$10,$R$11,0)</f>
        <v>3.992663560668447E-3</v>
      </c>
      <c r="T50" s="1">
        <f t="shared" si="5"/>
        <v>162.30298856969142</v>
      </c>
      <c r="U50" s="1">
        <f>_xll.PDENSITY($T$50,SimDataScen!$C$9:$C$508,$T$10,$T$11,0)</f>
        <v>4.1380403525876639E-3</v>
      </c>
      <c r="V50" s="1">
        <f t="shared" si="6"/>
        <v>83.780429834216591</v>
      </c>
      <c r="W50" s="1">
        <f>_xll.PDENSITY($V$50,SimDataScen!$D$9:$D$508,$V$10,$V$11,0)</f>
        <v>4.3004770702101489E-3</v>
      </c>
      <c r="X50" s="1">
        <f t="shared" si="7"/>
        <v>5.2578710987418402</v>
      </c>
      <c r="Y50" s="1">
        <f>_xll.PDENSITY($X$50,SimDataScen!$E$9:$E$508,$X$10,$X$11,0)</f>
        <v>4.475438030589282E-3</v>
      </c>
    </row>
    <row r="51" spans="1:25">
      <c r="A51">
        <v>43</v>
      </c>
      <c r="B51">
        <v>298.52026823193813</v>
      </c>
      <c r="C51">
        <v>218.59113908395386</v>
      </c>
      <c r="D51">
        <v>138.66200993596959</v>
      </c>
      <c r="E51">
        <v>58.732880787985351</v>
      </c>
      <c r="H51">
        <f>SMALL(SimDataScen!$B$9:$B$508,45)</f>
        <v>169.49708021755916</v>
      </c>
      <c r="I51">
        <f>1/(COUNT(SimDataScen!$B$9:$B$508)-1)+$I$50</f>
        <v>8.8176352705410868E-2</v>
      </c>
      <c r="J51">
        <f>SMALL(SimDataScen!$C$9:$C$508,45)</f>
        <v>92.98461837379368</v>
      </c>
      <c r="K51">
        <f>1/(COUNT(SimDataScen!$C$9:$C$508)-1)+$K$50</f>
        <v>8.8176352705410868E-2</v>
      </c>
      <c r="L51">
        <f>SMALL(SimDataScen!$D$9:$D$508,45)</f>
        <v>15.556656128083503</v>
      </c>
      <c r="M51">
        <f>1/(COUNT(SimDataScen!$D$9:$D$508)-1)+$M$50</f>
        <v>8.8176352705410868E-2</v>
      </c>
      <c r="N51">
        <f>SMALL(SimDataScen!$E$9:$E$508,45)</f>
        <v>-61.158372006753567</v>
      </c>
      <c r="O51">
        <f>1/(COUNT(SimDataScen!$E$9:$E$508)-1)+$O$50</f>
        <v>8.8176352705410868E-2</v>
      </c>
      <c r="Q51">
        <v>36</v>
      </c>
      <c r="R51" s="1">
        <f t="shared" si="4"/>
        <v>246.03864097942773</v>
      </c>
      <c r="S51" s="1">
        <f>_xll.PDENSITY($R$51,SimDataScen!$B$9:$B$508,$R$10,$R$11,0)</f>
        <v>4.0636231714181225E-3</v>
      </c>
      <c r="T51" s="1">
        <f t="shared" si="5"/>
        <v>167.35456421534192</v>
      </c>
      <c r="U51" s="1">
        <f>_xll.PDENSITY($T$51,SimDataScen!$C$9:$C$508,$T$10,$T$11,0)</f>
        <v>4.216237067990727E-3</v>
      </c>
      <c r="V51" s="1">
        <f t="shared" si="6"/>
        <v>88.67048745125642</v>
      </c>
      <c r="W51" s="1">
        <f>_xll.PDENSITY($V$51,SimDataScen!$D$9:$D$508,$V$10,$V$11,0)</f>
        <v>4.3879682412735557E-3</v>
      </c>
      <c r="X51" s="1">
        <f t="shared" si="7"/>
        <v>9.9864106871710057</v>
      </c>
      <c r="Y51" s="1">
        <f>_xll.PDENSITY($X$51,SimDataScen!$E$9:$E$508,$X$10,$X$11,0)</f>
        <v>4.5753176041057721E-3</v>
      </c>
    </row>
    <row r="52" spans="1:25">
      <c r="A52">
        <v>44</v>
      </c>
      <c r="B52">
        <v>131.44495042485886</v>
      </c>
      <c r="C52">
        <v>57.89203625259448</v>
      </c>
      <c r="D52">
        <v>-15.6608779196699</v>
      </c>
      <c r="E52">
        <v>-89.213792091934266</v>
      </c>
      <c r="H52">
        <f>SMALL(SimDataScen!$B$9:$B$508,46)</f>
        <v>172.26536791719047</v>
      </c>
      <c r="I52">
        <f>1/(COUNT(SimDataScen!$B$9:$B$508)-1)+$I$51</f>
        <v>9.0180360721442934E-2</v>
      </c>
      <c r="J52">
        <f>SMALL(SimDataScen!$C$9:$C$508,46)</f>
        <v>94.795642643846733</v>
      </c>
      <c r="K52">
        <f>1/(COUNT(SimDataScen!$C$9:$C$508)-1)+$K$51</f>
        <v>9.0180360721442934E-2</v>
      </c>
      <c r="L52">
        <f>SMALL(SimDataScen!$D$9:$D$508,46)</f>
        <v>17.708783779222728</v>
      </c>
      <c r="M52">
        <f>1/(COUNT(SimDataScen!$D$9:$D$508)-1)+$M$51</f>
        <v>9.0180360721442934E-2</v>
      </c>
      <c r="N52">
        <f>SMALL(SimDataScen!$E$9:$E$508,46)</f>
        <v>-60.26053679662931</v>
      </c>
      <c r="O52">
        <f>1/(COUNT(SimDataScen!$E$9:$E$508)-1)+$O$51</f>
        <v>9.0180360721442934E-2</v>
      </c>
      <c r="Q52">
        <v>37</v>
      </c>
      <c r="R52" s="1">
        <f t="shared" si="4"/>
        <v>251.25173465368891</v>
      </c>
      <c r="S52" s="1">
        <f>_xll.PDENSITY($R$52,SimDataScen!$B$9:$B$508,$R$10,$R$11,0)</f>
        <v>4.1236826419256776E-3</v>
      </c>
      <c r="T52" s="1">
        <f t="shared" si="5"/>
        <v>172.40613986099243</v>
      </c>
      <c r="U52" s="1">
        <f>_xll.PDENSITY($T$52,SimDataScen!$C$9:$C$508,$T$10,$T$11,0)</f>
        <v>4.2848877616571161E-3</v>
      </c>
      <c r="V52" s="1">
        <f t="shared" si="6"/>
        <v>93.56054506829625</v>
      </c>
      <c r="W52" s="1">
        <f>_xll.PDENSITY($V$52,SimDataScen!$D$9:$D$508,$V$10,$V$11,0)</f>
        <v>4.4653512116160166E-3</v>
      </c>
      <c r="X52" s="1">
        <f t="shared" si="7"/>
        <v>14.71495027560017</v>
      </c>
      <c r="Y52" s="1">
        <f>_xll.PDENSITY($X$52,SimDataScen!$E$9:$E$508,$X$10,$X$11,0)</f>
        <v>4.6613646280176902E-3</v>
      </c>
    </row>
    <row r="53" spans="1:25">
      <c r="A53">
        <v>45</v>
      </c>
      <c r="B53">
        <v>308.1640754588891</v>
      </c>
      <c r="C53">
        <v>225.05646885163057</v>
      </c>
      <c r="D53">
        <v>141.94886224437204</v>
      </c>
      <c r="E53">
        <v>58.841255637113534</v>
      </c>
      <c r="H53">
        <f>SMALL(SimDataScen!$B$9:$B$508,47)</f>
        <v>174.1419378211454</v>
      </c>
      <c r="I53">
        <f>1/(COUNT(SimDataScen!$B$9:$B$508)-1)+$I$52</f>
        <v>9.2184368737475E-2</v>
      </c>
      <c r="J53">
        <f>SMALL(SimDataScen!$C$9:$C$508,47)</f>
        <v>96.10769378311646</v>
      </c>
      <c r="K53">
        <f>1/(COUNT(SimDataScen!$C$9:$C$508)-1)+$K$52</f>
        <v>9.2184368737475E-2</v>
      </c>
      <c r="L53">
        <f>SMALL(SimDataScen!$D$9:$D$508,47)</f>
        <v>18.946347303238689</v>
      </c>
      <c r="M53">
        <f>1/(COUNT(SimDataScen!$D$9:$D$508)-1)+$M$52</f>
        <v>9.2184368737475E-2</v>
      </c>
      <c r="N53">
        <f>SMALL(SimDataScen!$E$9:$E$508,47)</f>
        <v>-60.167302254540942</v>
      </c>
      <c r="O53">
        <f>1/(COUNT(SimDataScen!$E$9:$E$508)-1)+$O$52</f>
        <v>9.2184368737475E-2</v>
      </c>
      <c r="Q53">
        <v>38</v>
      </c>
      <c r="R53" s="1">
        <f t="shared" si="4"/>
        <v>256.4648283279501</v>
      </c>
      <c r="S53" s="1">
        <f>_xll.PDENSITY($R$53,SimDataScen!$B$9:$B$508,$R$10,$R$11,0)</f>
        <v>4.1729873237079627E-3</v>
      </c>
      <c r="T53" s="1">
        <f t="shared" si="5"/>
        <v>177.45771550664293</v>
      </c>
      <c r="U53" s="1">
        <f>_xll.PDENSITY($T$53,SimDataScen!$C$9:$C$508,$T$10,$T$11,0)</f>
        <v>4.3439726127009332E-3</v>
      </c>
      <c r="V53" s="1">
        <f t="shared" si="6"/>
        <v>98.450602685336079</v>
      </c>
      <c r="W53" s="1">
        <f>_xll.PDENSITY($V$53,SimDataScen!$D$9:$D$508,$V$10,$V$11,0)</f>
        <v>4.5326923561922567E-3</v>
      </c>
      <c r="X53" s="1">
        <f t="shared" si="7"/>
        <v>19.443489864029335</v>
      </c>
      <c r="Y53" s="1">
        <f>_xll.PDENSITY($X$53,SimDataScen!$E$9:$E$508,$X$10,$X$11,0)</f>
        <v>4.7338905761262571E-3</v>
      </c>
    </row>
    <row r="54" spans="1:25">
      <c r="A54">
        <v>46</v>
      </c>
      <c r="B54">
        <v>278.83644079736081</v>
      </c>
      <c r="C54">
        <v>193.36123543383016</v>
      </c>
      <c r="D54">
        <v>107.88603007029951</v>
      </c>
      <c r="E54">
        <v>22.410824706768864</v>
      </c>
      <c r="H54">
        <f>SMALL(SimDataScen!$B$9:$B$508,48)</f>
        <v>174.17829158286767</v>
      </c>
      <c r="I54">
        <f>1/(COUNT(SimDataScen!$B$9:$B$508)-1)+$I$53</f>
        <v>9.4188376753507067E-2</v>
      </c>
      <c r="J54">
        <f>SMALL(SimDataScen!$C$9:$C$508,48)</f>
        <v>96.187457184840753</v>
      </c>
      <c r="K54">
        <f>1/(COUNT(SimDataScen!$C$9:$C$508)-1)+$K$53</f>
        <v>9.4188376753507067E-2</v>
      </c>
      <c r="L54">
        <f>SMALL(SimDataScen!$D$9:$D$508,48)</f>
        <v>19.950019649042446</v>
      </c>
      <c r="M54">
        <f>1/(COUNT(SimDataScen!$D$9:$D$508)-1)+$M$53</f>
        <v>9.4188376753507067E-2</v>
      </c>
      <c r="N54">
        <f>SMALL(SimDataScen!$E$9:$E$508,48)</f>
        <v>-56.207654485031554</v>
      </c>
      <c r="O54">
        <f>1/(COUNT(SimDataScen!$E$9:$E$508)-1)+$O$53</f>
        <v>9.4188376753507067E-2</v>
      </c>
      <c r="Q54">
        <v>39</v>
      </c>
      <c r="R54" s="1">
        <f t="shared" si="4"/>
        <v>261.67792200221129</v>
      </c>
      <c r="S54" s="1">
        <f>_xll.PDENSITY($R$54,SimDataScen!$B$9:$B$508,$R$10,$R$11,0)</f>
        <v>4.2118462391454526E-3</v>
      </c>
      <c r="T54" s="1">
        <f t="shared" si="5"/>
        <v>182.50929115229343</v>
      </c>
      <c r="U54" s="1">
        <f>_xll.PDENSITY($T$54,SimDataScen!$C$9:$C$508,$T$10,$T$11,0)</f>
        <v>4.3931716285195606E-3</v>
      </c>
      <c r="V54" s="1">
        <f t="shared" si="6"/>
        <v>103.34066030237591</v>
      </c>
      <c r="W54" s="1">
        <f>_xll.PDENSITY($V$54,SimDataScen!$D$9:$D$508,$V$10,$V$11,0)</f>
        <v>4.5895556281819547E-3</v>
      </c>
      <c r="X54" s="1">
        <f t="shared" si="7"/>
        <v>24.172029452458499</v>
      </c>
      <c r="Y54" s="1">
        <f>_xll.PDENSITY($X$54,SimDataScen!$E$9:$E$508,$X$10,$X$11,0)</f>
        <v>4.7930190654499457E-3</v>
      </c>
    </row>
    <row r="55" spans="1:25">
      <c r="A55">
        <v>47</v>
      </c>
      <c r="B55">
        <v>217.58197263584964</v>
      </c>
      <c r="C55">
        <v>146.81871276986436</v>
      </c>
      <c r="D55">
        <v>76.055452903879086</v>
      </c>
      <c r="E55">
        <v>5.29219303789381</v>
      </c>
      <c r="H55">
        <f>SMALL(SimDataScen!$B$9:$B$508,49)</f>
        <v>174.56911310448947</v>
      </c>
      <c r="I55">
        <f>1/(COUNT(SimDataScen!$B$9:$B$508)-1)+$I$54</f>
        <v>9.6192384769539133E-2</v>
      </c>
      <c r="J55">
        <f>SMALL(SimDataScen!$C$9:$C$508,49)</f>
        <v>97.417255516519845</v>
      </c>
      <c r="K55">
        <f>1/(COUNT(SimDataScen!$C$9:$C$508)-1)+$K$54</f>
        <v>9.6192384769539133E-2</v>
      </c>
      <c r="L55">
        <f>SMALL(SimDataScen!$D$9:$D$508,49)</f>
        <v>24.495356080846534</v>
      </c>
      <c r="M55">
        <f>1/(COUNT(SimDataScen!$D$9:$D$508)-1)+$M$54</f>
        <v>9.6192384769539133E-2</v>
      </c>
      <c r="N55">
        <f>SMALL(SimDataScen!$E$9:$E$508,49)</f>
        <v>-55.582943728245652</v>
      </c>
      <c r="O55">
        <f>1/(COUNT(SimDataScen!$E$9:$E$508)-1)+$O$54</f>
        <v>9.6192384769539133E-2</v>
      </c>
      <c r="Q55">
        <v>40</v>
      </c>
      <c r="R55" s="1">
        <f t="shared" si="4"/>
        <v>266.89101567647248</v>
      </c>
      <c r="S55" s="1">
        <f>_xll.PDENSITY($R$55,SimDataScen!$B$9:$B$508,$R$10,$R$11,0)</f>
        <v>4.2405955623781326E-3</v>
      </c>
      <c r="T55" s="1">
        <f t="shared" si="5"/>
        <v>187.56086679794393</v>
      </c>
      <c r="U55" s="1">
        <f>_xll.PDENSITY($T$55,SimDataScen!$C$9:$C$508,$T$10,$T$11,0)</f>
        <v>4.4318075332172528E-3</v>
      </c>
      <c r="V55" s="1">
        <f t="shared" si="6"/>
        <v>108.23071791941574</v>
      </c>
      <c r="W55" s="1">
        <f>_xll.PDENSITY($V$55,SimDataScen!$D$9:$D$508,$V$10,$V$11,0)</f>
        <v>4.6348926200617284E-3</v>
      </c>
      <c r="X55" s="1">
        <f t="shared" si="7"/>
        <v>28.900569040887664</v>
      </c>
      <c r="Y55" s="1">
        <f>_xll.PDENSITY($X$55,SimDataScen!$E$9:$E$508,$X$10,$X$11,0)</f>
        <v>4.8383423708208669E-3</v>
      </c>
    </row>
    <row r="56" spans="1:25">
      <c r="A56">
        <v>48</v>
      </c>
      <c r="B56">
        <v>256.07582232582467</v>
      </c>
      <c r="C56">
        <v>181.50435954515774</v>
      </c>
      <c r="D56">
        <v>106.93289676449076</v>
      </c>
      <c r="E56">
        <v>32.361433983823815</v>
      </c>
      <c r="H56">
        <f>SMALL(SimDataScen!$B$9:$B$508,50)</f>
        <v>174.86149310104943</v>
      </c>
      <c r="I56">
        <f>1/(COUNT(SimDataScen!$B$9:$B$508)-1)+$I$55</f>
        <v>9.8196392785571199E-2</v>
      </c>
      <c r="J56">
        <f>SMALL(SimDataScen!$C$9:$C$508,50)</f>
        <v>101.13639130413743</v>
      </c>
      <c r="K56">
        <f>1/(COUNT(SimDataScen!$C$9:$C$508)-1)+$K$55</f>
        <v>9.8196392785571199E-2</v>
      </c>
      <c r="L56">
        <f>SMALL(SimDataScen!$D$9:$D$508,50)</f>
        <v>24.517944741905637</v>
      </c>
      <c r="M56">
        <f>1/(COUNT(SimDataScen!$D$9:$D$508)-1)+$M$55</f>
        <v>9.8196392785571199E-2</v>
      </c>
      <c r="N56">
        <f>SMALL(SimDataScen!$E$9:$E$508,50)</f>
        <v>-55.225245797221447</v>
      </c>
      <c r="O56">
        <f>1/(COUNT(SimDataScen!$E$9:$E$508)-1)+$O$55</f>
        <v>9.8196392785571199E-2</v>
      </c>
      <c r="Q56">
        <v>41</v>
      </c>
      <c r="R56" s="1">
        <f t="shared" si="4"/>
        <v>272.10410935073367</v>
      </c>
      <c r="S56" s="1">
        <f>_xll.PDENSITY($R$56,SimDataScen!$B$9:$B$508,$R$10,$R$11,0)</f>
        <v>4.2593712167228615E-3</v>
      </c>
      <c r="T56" s="1">
        <f t="shared" si="5"/>
        <v>192.61244244359443</v>
      </c>
      <c r="U56" s="1">
        <f>_xll.PDENSITY($T$56,SimDataScen!$C$9:$C$508,$T$10,$T$11,0)</f>
        <v>4.4587988410420927E-3</v>
      </c>
      <c r="V56" s="1">
        <f t="shared" si="6"/>
        <v>113.12077553645557</v>
      </c>
      <c r="W56" s="1">
        <f>_xll.PDENSITY($V$56,SimDataScen!$D$9:$D$508,$V$10,$V$11,0)</f>
        <v>4.6670242636642472E-3</v>
      </c>
      <c r="X56" s="1">
        <f t="shared" si="7"/>
        <v>33.629108629316832</v>
      </c>
      <c r="Y56" s="1">
        <f>_xll.PDENSITY($X$56,SimDataScen!$E$9:$E$508,$X$10,$X$11,0)</f>
        <v>4.8686911094403228E-3</v>
      </c>
    </row>
    <row r="57" spans="1:25">
      <c r="A57">
        <v>49</v>
      </c>
      <c r="B57">
        <v>345.70304514988459</v>
      </c>
      <c r="C57">
        <v>260.30805636784083</v>
      </c>
      <c r="D57">
        <v>174.91306758579708</v>
      </c>
      <c r="E57">
        <v>89.518078803753326</v>
      </c>
      <c r="H57">
        <f>SMALL(SimDataScen!$B$9:$B$508,51)</f>
        <v>175.11680455180772</v>
      </c>
      <c r="I57">
        <f>1/(COUNT(SimDataScen!$B$9:$B$508)-1)+$I$56</f>
        <v>0.10020040080160326</v>
      </c>
      <c r="J57">
        <f>SMALL(SimDataScen!$C$9:$C$508,51)</f>
        <v>101.65785098852079</v>
      </c>
      <c r="K57">
        <f>1/(COUNT(SimDataScen!$C$9:$C$508)-1)+$K$56</f>
        <v>0.10020040080160326</v>
      </c>
      <c r="L57">
        <f>SMALL(SimDataScen!$D$9:$D$508,51)</f>
        <v>24.776270767994291</v>
      </c>
      <c r="M57">
        <f>1/(COUNT(SimDataScen!$D$9:$D$508)-1)+$M$56</f>
        <v>0.10020040080160326</v>
      </c>
      <c r="N57">
        <f>SMALL(SimDataScen!$E$9:$E$508,51)</f>
        <v>-53.485324345845044</v>
      </c>
      <c r="O57">
        <f>1/(COUNT(SimDataScen!$E$9:$E$508)-1)+$O$56</f>
        <v>0.10020040080160326</v>
      </c>
      <c r="Q57">
        <v>42</v>
      </c>
      <c r="R57" s="1">
        <f t="shared" si="4"/>
        <v>277.31720302499485</v>
      </c>
      <c r="S57" s="1">
        <f>_xll.PDENSITY($R$57,SimDataScen!$B$9:$B$508,$R$10,$R$11,0)</f>
        <v>4.2678256637399131E-3</v>
      </c>
      <c r="T57" s="1">
        <f t="shared" si="5"/>
        <v>197.66401808924493</v>
      </c>
      <c r="U57" s="1">
        <f>_xll.PDENSITY($T$57,SimDataScen!$C$9:$C$508,$T$10,$T$11,0)</f>
        <v>4.4726110420827215E-3</v>
      </c>
      <c r="V57" s="1">
        <f t="shared" si="6"/>
        <v>118.0108331534954</v>
      </c>
      <c r="W57" s="1">
        <f>_xll.PDENSITY($V$57,SimDataScen!$D$9:$D$508,$V$10,$V$11,0)</f>
        <v>4.6837021336135027E-3</v>
      </c>
      <c r="X57" s="1">
        <f t="shared" si="7"/>
        <v>38.357648217745997</v>
      </c>
      <c r="Y57" s="1">
        <f>_xll.PDENSITY($X$57,SimDataScen!$E$9:$E$508,$X$10,$X$11,0)</f>
        <v>4.882084722159832E-3</v>
      </c>
    </row>
    <row r="58" spans="1:25">
      <c r="A58">
        <v>50</v>
      </c>
      <c r="B58">
        <v>185.67603087044716</v>
      </c>
      <c r="C58">
        <v>105.2563726708829</v>
      </c>
      <c r="D58">
        <v>24.836714471318615</v>
      </c>
      <c r="E58">
        <v>-55.582943728245652</v>
      </c>
      <c r="H58">
        <f>SMALL(SimDataScen!$B$9:$B$508,52)</f>
        <v>175.20100695018732</v>
      </c>
      <c r="I58">
        <f>1/(COUNT(SimDataScen!$B$9:$B$508)-1)+$I$57</f>
        <v>0.10220440881763533</v>
      </c>
      <c r="J58">
        <f>SMALL(SimDataScen!$C$9:$C$508,52)</f>
        <v>102.79755198436725</v>
      </c>
      <c r="K58">
        <f>1/(COUNT(SimDataScen!$C$9:$C$508)-1)+$K$57</f>
        <v>0.10220440881763533</v>
      </c>
      <c r="L58">
        <f>SMALL(SimDataScen!$D$9:$D$508,52)</f>
        <v>24.836714471318615</v>
      </c>
      <c r="M58">
        <f>1/(COUNT(SimDataScen!$D$9:$D$508)-1)+$M$57</f>
        <v>0.10220440881763533</v>
      </c>
      <c r="N58">
        <f>SMALL(SimDataScen!$E$9:$E$508,52)</f>
        <v>-53.24501044837865</v>
      </c>
      <c r="O58">
        <f>1/(COUNT(SimDataScen!$E$9:$E$508)-1)+$O$57</f>
        <v>0.10220440881763533</v>
      </c>
      <c r="Q58">
        <v>43</v>
      </c>
      <c r="R58" s="1">
        <f t="shared" si="4"/>
        <v>282.53029669925604</v>
      </c>
      <c r="S58" s="1">
        <f>_xll.PDENSITY($R$58,SimDataScen!$B$9:$B$508,$R$10,$R$11,0)</f>
        <v>4.2648663892502449E-3</v>
      </c>
      <c r="T58" s="1">
        <f t="shared" si="5"/>
        <v>202.71559373489544</v>
      </c>
      <c r="U58" s="1">
        <f>_xll.PDENSITY($T$58,SimDataScen!$C$9:$C$508,$T$10,$T$11,0)</f>
        <v>4.4712226612771151E-3</v>
      </c>
      <c r="V58" s="1">
        <f t="shared" si="6"/>
        <v>122.90089077053523</v>
      </c>
      <c r="W58" s="1">
        <f>_xll.PDENSITY($V$58,SimDataScen!$D$9:$D$508,$V$10,$V$11,0)</f>
        <v>4.6822398482518476E-3</v>
      </c>
      <c r="X58" s="1">
        <f t="shared" si="7"/>
        <v>43.086187806175161</v>
      </c>
      <c r="Y58" s="1">
        <f>_xll.PDENSITY($X$58,SimDataScen!$E$9:$E$508,$X$10,$X$11,0)</f>
        <v>4.8758908770045297E-3</v>
      </c>
    </row>
    <row r="59" spans="1:25">
      <c r="A59">
        <v>51</v>
      </c>
      <c r="B59">
        <v>277.35756389848291</v>
      </c>
      <c r="C59">
        <v>201.80562989970034</v>
      </c>
      <c r="D59">
        <v>126.25369590091771</v>
      </c>
      <c r="E59">
        <v>50.701761902135104</v>
      </c>
      <c r="H59">
        <f>SMALL(SimDataScen!$B$9:$B$508,53)</f>
        <v>176.85907028233274</v>
      </c>
      <c r="I59">
        <f>1/(COUNT(SimDataScen!$B$9:$B$508)-1)+$I$58</f>
        <v>0.1042084168336674</v>
      </c>
      <c r="J59">
        <f>SMALL(SimDataScen!$C$9:$C$508,53)</f>
        <v>102.88719714551534</v>
      </c>
      <c r="K59">
        <f>1/(COUNT(SimDataScen!$C$9:$C$508)-1)+$K$58</f>
        <v>0.1042084168336674</v>
      </c>
      <c r="L59">
        <f>SMALL(SimDataScen!$D$9:$D$508,53)</f>
        <v>24.8878956203569</v>
      </c>
      <c r="M59">
        <f>1/(COUNT(SimDataScen!$D$9:$D$508)-1)+$M$58</f>
        <v>0.1042084168336674</v>
      </c>
      <c r="N59">
        <f>SMALL(SimDataScen!$E$9:$E$508,53)</f>
        <v>-52.875781952076437</v>
      </c>
      <c r="O59">
        <f>1/(COUNT(SimDataScen!$E$9:$E$508)-1)+$O$58</f>
        <v>0.1042084168336674</v>
      </c>
      <c r="Q59">
        <v>44</v>
      </c>
      <c r="R59" s="1">
        <f t="shared" si="4"/>
        <v>287.74339037351723</v>
      </c>
      <c r="S59" s="1">
        <f>_xll.PDENSITY($R$59,SimDataScen!$B$9:$B$508,$R$10,$R$11,0)</f>
        <v>4.2485198314820465E-3</v>
      </c>
      <c r="T59" s="1">
        <f t="shared" si="5"/>
        <v>207.76716938054594</v>
      </c>
      <c r="U59" s="1">
        <f>_xll.PDENSITY($T$59,SimDataScen!$C$9:$C$508,$T$10,$T$11,0)</f>
        <v>4.4521550086492612E-3</v>
      </c>
      <c r="V59" s="1">
        <f t="shared" si="6"/>
        <v>127.79094838757506</v>
      </c>
      <c r="W59" s="1">
        <f>_xll.PDENSITY($V$59,SimDataScen!$D$9:$D$508,$V$10,$V$11,0)</f>
        <v>4.6597173830409148E-3</v>
      </c>
      <c r="X59" s="1">
        <f t="shared" si="7"/>
        <v>47.814727394604326</v>
      </c>
      <c r="Y59" s="1">
        <f>_xll.PDENSITY($X$59,SimDataScen!$E$9:$E$508,$X$10,$X$11,0)</f>
        <v>4.8471740041103276E-3</v>
      </c>
    </row>
    <row r="60" spans="1:25">
      <c r="A60">
        <v>52</v>
      </c>
      <c r="B60">
        <v>365.80582562748339</v>
      </c>
      <c r="C60">
        <v>279.09594917240469</v>
      </c>
      <c r="D60">
        <v>192.38607271732602</v>
      </c>
      <c r="E60">
        <v>105.67619626224732</v>
      </c>
      <c r="H60">
        <f>SMALL(SimDataScen!$B$9:$B$508,54)</f>
        <v>178.20615650744611</v>
      </c>
      <c r="I60">
        <f>1/(COUNT(SimDataScen!$B$9:$B$508)-1)+$I$59</f>
        <v>0.10621242484969946</v>
      </c>
      <c r="J60">
        <f>SMALL(SimDataScen!$C$9:$C$508,54)</f>
        <v>103.10152322090225</v>
      </c>
      <c r="K60">
        <f>1/(COUNT(SimDataScen!$C$9:$C$508)-1)+$K$59</f>
        <v>0.10621242484969946</v>
      </c>
      <c r="L60">
        <f>SMALL(SimDataScen!$D$9:$D$508,54)</f>
        <v>26.350123976889108</v>
      </c>
      <c r="M60">
        <f>1/(COUNT(SimDataScen!$D$9:$D$508)-1)+$M$59</f>
        <v>0.10621242484969946</v>
      </c>
      <c r="N60">
        <f>SMALL(SimDataScen!$E$9:$E$508,54)</f>
        <v>-51.465511710347272</v>
      </c>
      <c r="O60">
        <f>1/(COUNT(SimDataScen!$E$9:$E$508)-1)+$O$59</f>
        <v>0.10621242484969946</v>
      </c>
      <c r="Q60">
        <v>45</v>
      </c>
      <c r="R60" s="1">
        <f t="shared" si="4"/>
        <v>292.95648404777842</v>
      </c>
      <c r="S60" s="1">
        <f>_xll.PDENSITY($R$60,SimDataScen!$B$9:$B$508,$R$10,$R$11,0)</f>
        <v>4.2160177906845151E-3</v>
      </c>
      <c r="T60" s="1">
        <f t="shared" si="5"/>
        <v>212.81874502619644</v>
      </c>
      <c r="U60" s="1">
        <f>_xll.PDENSITY($T$60,SimDataScen!$C$9:$C$508,$T$10,$T$11,0)</f>
        <v>4.4126295944895673E-3</v>
      </c>
      <c r="V60" s="1">
        <f t="shared" si="6"/>
        <v>132.68100600461489</v>
      </c>
      <c r="W60" s="1">
        <f>_xll.PDENSITY($V$60,SimDataScen!$D$9:$D$508,$V$10,$V$11,0)</f>
        <v>4.6132706948423651E-3</v>
      </c>
      <c r="X60" s="1">
        <f t="shared" si="7"/>
        <v>52.54326698303349</v>
      </c>
      <c r="Y60" s="1">
        <f>_xll.PDENSITY($X$60,SimDataScen!$E$9:$E$508,$X$10,$X$11,0)</f>
        <v>4.7931707083883751E-3</v>
      </c>
    </row>
    <row r="61" spans="1:25">
      <c r="A61">
        <v>53</v>
      </c>
      <c r="B61">
        <v>196.19473662657069</v>
      </c>
      <c r="C61">
        <v>122.80478343690748</v>
      </c>
      <c r="D61">
        <v>49.414830247244254</v>
      </c>
      <c r="E61">
        <v>-23.975122942418949</v>
      </c>
      <c r="H61">
        <f>SMALL(SimDataScen!$B$9:$B$508,55)</f>
        <v>180.44899757573569</v>
      </c>
      <c r="I61">
        <f>1/(COUNT(SimDataScen!$B$9:$B$508)-1)+$I$60</f>
        <v>0.10821643286573153</v>
      </c>
      <c r="J61">
        <f>SMALL(SimDataScen!$C$9:$C$508,55)</f>
        <v>103.189102552395</v>
      </c>
      <c r="K61">
        <f>1/(COUNT(SimDataScen!$C$9:$C$508)-1)+$K$60</f>
        <v>0.10821643286573153</v>
      </c>
      <c r="L61">
        <f>SMALL(SimDataScen!$D$9:$D$508,55)</f>
        <v>26.571907717034151</v>
      </c>
      <c r="M61">
        <f>1/(COUNT(SimDataScen!$D$9:$D$508)-1)+$M$60</f>
        <v>0.10821643286573153</v>
      </c>
      <c r="N61">
        <f>SMALL(SimDataScen!$E$9:$E$508,55)</f>
        <v>-50.103083729363959</v>
      </c>
      <c r="O61">
        <f>1/(COUNT(SimDataScen!$E$9:$E$508)-1)+$O$60</f>
        <v>0.10821643286573153</v>
      </c>
      <c r="Q61">
        <v>46</v>
      </c>
      <c r="R61" s="1">
        <f t="shared" si="4"/>
        <v>298.16957772203961</v>
      </c>
      <c r="S61" s="1">
        <f>_xll.PDENSITY($R$61,SimDataScen!$B$9:$B$508,$R$10,$R$11,0)</f>
        <v>4.1641576504247288E-3</v>
      </c>
      <c r="T61" s="1">
        <f t="shared" si="5"/>
        <v>217.87032067184694</v>
      </c>
      <c r="U61" s="1">
        <f>_xll.PDENSITY($T$61,SimDataScen!$C$9:$C$508,$T$10,$T$11,0)</f>
        <v>4.3499004864159703E-3</v>
      </c>
      <c r="V61" s="1">
        <f t="shared" si="6"/>
        <v>137.57106362165473</v>
      </c>
      <c r="W61" s="1">
        <f>_xll.PDENSITY($V$61,SimDataScen!$D$9:$D$508,$V$10,$V$11,0)</f>
        <v>4.5404737448372203E-3</v>
      </c>
      <c r="X61" s="1">
        <f t="shared" si="7"/>
        <v>57.271806571462655</v>
      </c>
      <c r="Y61" s="1">
        <f>_xll.PDENSITY($X$61,SimDataScen!$E$9:$E$508,$X$10,$X$11,0)</f>
        <v>4.7118045536980622E-3</v>
      </c>
    </row>
    <row r="62" spans="1:25">
      <c r="A62">
        <v>54</v>
      </c>
      <c r="B62">
        <v>314.81811680849023</v>
      </c>
      <c r="C62">
        <v>228.50673849959122</v>
      </c>
      <c r="D62">
        <v>142.19536019069221</v>
      </c>
      <c r="E62">
        <v>55.883981881793233</v>
      </c>
      <c r="H62">
        <f>SMALL(SimDataScen!$B$9:$B$508,56)</f>
        <v>180.81883320074019</v>
      </c>
      <c r="I62">
        <f>1/(COUNT(SimDataScen!$B$9:$B$508)-1)+$I$61</f>
        <v>0.1102204408817636</v>
      </c>
      <c r="J62">
        <f>SMALL(SimDataScen!$C$9:$C$508,56)</f>
        <v>103.26111558655886</v>
      </c>
      <c r="K62">
        <f>1/(COUNT(SimDataScen!$C$9:$C$508)-1)+$K$61</f>
        <v>0.1102204408817636</v>
      </c>
      <c r="L62">
        <f>SMALL(SimDataScen!$D$9:$D$508,56)</f>
        <v>27.411289507225419</v>
      </c>
      <c r="M62">
        <f>1/(COUNT(SimDataScen!$D$9:$D$508)-1)+$M$61</f>
        <v>0.1102204408817636</v>
      </c>
      <c r="N62">
        <f>SMALL(SimDataScen!$E$9:$E$508,56)</f>
        <v>-48.571167209223319</v>
      </c>
      <c r="O62">
        <f>1/(COUNT(SimDataScen!$E$9:$E$508)-1)+$O$61</f>
        <v>0.1102204408817636</v>
      </c>
      <c r="Q62">
        <v>47</v>
      </c>
      <c r="R62" s="1">
        <f t="shared" si="4"/>
        <v>303.38267139630079</v>
      </c>
      <c r="S62" s="1">
        <f>_xll.PDENSITY($R$62,SimDataScen!$B$9:$B$508,$R$10,$R$11,0)</f>
        <v>4.0899121895271633E-3</v>
      </c>
      <c r="T62" s="1">
        <f t="shared" si="5"/>
        <v>222.92189631749744</v>
      </c>
      <c r="U62" s="1">
        <f>_xll.PDENSITY($T$62,SimDataScen!$C$9:$C$508,$T$10,$T$11,0)</f>
        <v>4.2617590479867677E-3</v>
      </c>
      <c r="V62" s="1">
        <f t="shared" si="6"/>
        <v>142.46112123869457</v>
      </c>
      <c r="W62" s="1">
        <f>_xll.PDENSITY($V$62,SimDataScen!$D$9:$D$508,$V$10,$V$11,0)</f>
        <v>4.4397951314887893E-3</v>
      </c>
      <c r="X62" s="1">
        <f t="shared" si="7"/>
        <v>62.000346159891819</v>
      </c>
      <c r="Y62" s="1">
        <f>_xll.PDENSITY($X$62,SimDataScen!$E$9:$E$508,$X$10,$X$11,0)</f>
        <v>4.6021500071118347E-3</v>
      </c>
    </row>
    <row r="63" spans="1:25">
      <c r="A63">
        <v>55</v>
      </c>
      <c r="B63">
        <v>207.51037059722412</v>
      </c>
      <c r="C63">
        <v>125.51149738665947</v>
      </c>
      <c r="D63">
        <v>43.512624176094789</v>
      </c>
      <c r="E63">
        <v>-38.486249034469864</v>
      </c>
      <c r="H63">
        <f>SMALL(SimDataScen!$B$9:$B$508,57)</f>
        <v>181.35882514813491</v>
      </c>
      <c r="I63">
        <f>1/(COUNT(SimDataScen!$B$9:$B$508)-1)+$I$62</f>
        <v>0.11222444889779566</v>
      </c>
      <c r="J63">
        <f>SMALL(SimDataScen!$C$9:$C$508,57)</f>
        <v>104.21595795891452</v>
      </c>
      <c r="K63">
        <f>1/(COUNT(SimDataScen!$C$9:$C$508)-1)+$K$62</f>
        <v>0.11222444889779566</v>
      </c>
      <c r="L63">
        <f>SMALL(SimDataScen!$D$9:$D$508,57)</f>
        <v>27.458199565469798</v>
      </c>
      <c r="M63">
        <f>1/(COUNT(SimDataScen!$D$9:$D$508)-1)+$M$62</f>
        <v>0.11222444889779566</v>
      </c>
      <c r="N63">
        <f>SMALL(SimDataScen!$E$9:$E$508,57)</f>
        <v>-48.250414111673706</v>
      </c>
      <c r="O63">
        <f>1/(COUNT(SimDataScen!$E$9:$E$508)-1)+$O$62</f>
        <v>0.11222444889779566</v>
      </c>
      <c r="Q63">
        <v>48</v>
      </c>
      <c r="R63" s="1">
        <f t="shared" si="4"/>
        <v>308.59576507056198</v>
      </c>
      <c r="S63" s="1">
        <f>_xll.PDENSITY($R$63,SimDataScen!$B$9:$B$508,$R$10,$R$11,0)</f>
        <v>3.9911819389695262E-3</v>
      </c>
      <c r="T63" s="1">
        <f t="shared" si="5"/>
        <v>227.97347196314794</v>
      </c>
      <c r="U63" s="1">
        <f>_xll.PDENSITY($T$63,SimDataScen!$C$9:$C$508,$T$10,$T$11,0)</f>
        <v>4.1471403127265223E-3</v>
      </c>
      <c r="V63" s="1">
        <f t="shared" si="6"/>
        <v>147.35117885573442</v>
      </c>
      <c r="W63" s="1">
        <f>_xll.PDENSITY($V$63,SimDataScen!$D$9:$D$508,$V$10,$V$11,0)</f>
        <v>4.3110734126864591E-3</v>
      </c>
      <c r="X63" s="1">
        <f t="shared" si="7"/>
        <v>66.728885748320991</v>
      </c>
      <c r="Y63" s="1">
        <f>_xll.PDENSITY($X$63,SimDataScen!$E$9:$E$508,$X$10,$X$11,0)</f>
        <v>4.46477256723037E-3</v>
      </c>
    </row>
    <row r="64" spans="1:25">
      <c r="A64">
        <v>56</v>
      </c>
      <c r="B64">
        <v>438.14513983642269</v>
      </c>
      <c r="C64">
        <v>352.95201258835664</v>
      </c>
      <c r="D64">
        <v>267.75888534029059</v>
      </c>
      <c r="E64">
        <v>182.56575809222454</v>
      </c>
      <c r="H64">
        <f>SMALL(SimDataScen!$B$9:$B$508,58)</f>
        <v>181.6343355527608</v>
      </c>
      <c r="I64">
        <f>1/(COUNT(SimDataScen!$B$9:$B$508)-1)+$I$63</f>
        <v>0.11422845691382773</v>
      </c>
      <c r="J64">
        <f>SMALL(SimDataScen!$C$9:$C$508,58)</f>
        <v>104.82241206153205</v>
      </c>
      <c r="K64">
        <f>1/(COUNT(SimDataScen!$C$9:$C$508)-1)+$K$63</f>
        <v>0.11422845691382773</v>
      </c>
      <c r="L64">
        <f>SMALL(SimDataScen!$D$9:$D$508,58)</f>
        <v>27.568237783584578</v>
      </c>
      <c r="M64">
        <f>1/(COUNT(SimDataScen!$D$9:$D$508)-1)+$M$63</f>
        <v>0.11422845691382773</v>
      </c>
      <c r="N64">
        <f>SMALL(SimDataScen!$E$9:$E$508,58)</f>
        <v>-47.750721578346173</v>
      </c>
      <c r="O64">
        <f>1/(COUNT(SimDataScen!$E$9:$E$508)-1)+$O$63</f>
        <v>0.11422845691382773</v>
      </c>
      <c r="Q64">
        <v>49</v>
      </c>
      <c r="R64" s="1">
        <f t="shared" si="4"/>
        <v>313.80885874482317</v>
      </c>
      <c r="S64" s="1">
        <f>_xll.PDENSITY($R$64,SimDataScen!$B$9:$B$508,$R$10,$R$11,0)</f>
        <v>3.8675211602257295E-3</v>
      </c>
      <c r="T64" s="1">
        <f t="shared" si="5"/>
        <v>233.02504760879845</v>
      </c>
      <c r="U64" s="1">
        <f>_xll.PDENSITY($T$64,SimDataScen!$C$9:$C$508,$T$10,$T$11,0)</f>
        <v>4.0066994262441067E-3</v>
      </c>
      <c r="V64" s="1">
        <f t="shared" si="6"/>
        <v>152.24123647277426</v>
      </c>
      <c r="W64" s="1">
        <f>_xll.PDENSITY($V$64,SimDataScen!$D$9:$D$508,$V$10,$V$11,0)</f>
        <v>4.1559191086882295E-3</v>
      </c>
      <c r="X64" s="1">
        <f t="shared" si="7"/>
        <v>71.457425336750163</v>
      </c>
      <c r="Y64" s="1">
        <f>_xll.PDENSITY($X$64,SimDataScen!$E$9:$E$508,$X$10,$X$11,0)</f>
        <v>4.3019006131491521E-3</v>
      </c>
    </row>
    <row r="65" spans="1:25">
      <c r="A65">
        <v>57</v>
      </c>
      <c r="B65">
        <v>385.25502966622906</v>
      </c>
      <c r="C65">
        <v>303.89058131415106</v>
      </c>
      <c r="D65">
        <v>222.52613296207312</v>
      </c>
      <c r="E65">
        <v>141.16168460999515</v>
      </c>
      <c r="H65">
        <f>SMALL(SimDataScen!$B$9:$B$508,59)</f>
        <v>183.9365598369825</v>
      </c>
      <c r="I65">
        <f>1/(COUNT(SimDataScen!$B$9:$B$508)-1)+$I$64</f>
        <v>0.11623246492985979</v>
      </c>
      <c r="J65">
        <f>SMALL(SimDataScen!$C$9:$C$508,59)</f>
        <v>105.10403023480777</v>
      </c>
      <c r="K65">
        <f>1/(COUNT(SimDataScen!$C$9:$C$508)-1)+$K$64</f>
        <v>0.11623246492985979</v>
      </c>
      <c r="L65">
        <f>SMALL(SimDataScen!$D$9:$D$508,59)</f>
        <v>28.285998974929157</v>
      </c>
      <c r="M65">
        <f>1/(COUNT(SimDataScen!$D$9:$D$508)-1)+$M$64</f>
        <v>0.11623246492985979</v>
      </c>
      <c r="N65">
        <f>SMALL(SimDataScen!$E$9:$E$508,59)</f>
        <v>-46.313812289686581</v>
      </c>
      <c r="O65">
        <f>1/(COUNT(SimDataScen!$E$9:$E$508)-1)+$O$64</f>
        <v>0.11623246492985979</v>
      </c>
      <c r="Q65">
        <v>50</v>
      </c>
      <c r="R65" s="1">
        <f t="shared" si="4"/>
        <v>319.02195241908436</v>
      </c>
      <c r="S65" s="1">
        <f>_xll.PDENSITY($R$65,SimDataScen!$B$9:$B$508,$R$10,$R$11,0)</f>
        <v>3.7206508953851205E-3</v>
      </c>
      <c r="T65" s="1">
        <f t="shared" si="5"/>
        <v>238.07662325444895</v>
      </c>
      <c r="U65" s="1">
        <f>_xll.PDENSITY($T$65,SimDataScen!$C$9:$C$508,$T$10,$T$11,0)</f>
        <v>3.8431992452802035E-3</v>
      </c>
      <c r="V65" s="1">
        <f t="shared" si="6"/>
        <v>157.13129408981411</v>
      </c>
      <c r="W65" s="1">
        <f>_xll.PDENSITY($V$65,SimDataScen!$D$9:$D$508,$V$10,$V$11,0)</f>
        <v>3.9779350794640709E-3</v>
      </c>
      <c r="X65" s="1">
        <f t="shared" si="7"/>
        <v>76.185964925179334</v>
      </c>
      <c r="Y65" s="1">
        <f>_xll.PDENSITY($X$65,SimDataScen!$E$9:$E$508,$X$10,$X$11,0)</f>
        <v>4.1174138772833479E-3</v>
      </c>
    </row>
    <row r="66" spans="1:25">
      <c r="A66">
        <v>58</v>
      </c>
      <c r="B66">
        <v>403.31711636181234</v>
      </c>
      <c r="C66">
        <v>317.77037936386944</v>
      </c>
      <c r="D66">
        <v>232.22364236592648</v>
      </c>
      <c r="E66">
        <v>146.67690536798355</v>
      </c>
      <c r="H66">
        <f>SMALL(SimDataScen!$B$9:$B$508,60)</f>
        <v>185.22575768142542</v>
      </c>
      <c r="I66">
        <f>1/(COUNT(SimDataScen!$B$9:$B$508)-1)+$I$65</f>
        <v>0.11823647294589186</v>
      </c>
      <c r="J66">
        <f>SMALL(SimDataScen!$C$9:$C$508,60)</f>
        <v>105.2563726708829</v>
      </c>
      <c r="K66">
        <f>1/(COUNT(SimDataScen!$C$9:$C$508)-1)+$K$65</f>
        <v>0.11823647294589186</v>
      </c>
      <c r="L66">
        <f>SMALL(SimDataScen!$D$9:$D$508,60)</f>
        <v>28.480927310901677</v>
      </c>
      <c r="M66">
        <f>1/(COUNT(SimDataScen!$D$9:$D$508)-1)+$M$65</f>
        <v>0.11823647294589186</v>
      </c>
      <c r="N66">
        <f>SMALL(SimDataScen!$E$9:$E$508,60)</f>
        <v>-46.134933481719116</v>
      </c>
      <c r="O66">
        <f>1/(COUNT(SimDataScen!$E$9:$E$508)-1)+$O$65</f>
        <v>0.11823647294589186</v>
      </c>
      <c r="Q66">
        <v>51</v>
      </c>
      <c r="R66" s="1">
        <f t="shared" si="4"/>
        <v>324.23504609334555</v>
      </c>
      <c r="S66" s="1">
        <f>_xll.PDENSITY($R$66,SimDataScen!$B$9:$B$508,$R$10,$R$11,0)</f>
        <v>3.554608572927991E-3</v>
      </c>
      <c r="T66" s="1">
        <f t="shared" si="5"/>
        <v>243.12819890009945</v>
      </c>
      <c r="U66" s="1">
        <f>_xll.PDENSITY($T$66,SimDataScen!$C$9:$C$508,$T$10,$T$11,0)</f>
        <v>3.6615717123708418E-3</v>
      </c>
      <c r="V66" s="1">
        <f t="shared" si="6"/>
        <v>162.02135170685395</v>
      </c>
      <c r="W66" s="1">
        <f>_xll.PDENSITY($V$66,SimDataScen!$D$9:$D$508,$V$10,$V$11,0)</f>
        <v>3.7826626660854459E-3</v>
      </c>
      <c r="X66" s="1">
        <f t="shared" si="7"/>
        <v>80.914504513608506</v>
      </c>
      <c r="Y66" s="1">
        <f>_xll.PDENSITY($X$66,SimDataScen!$E$9:$E$508,$X$10,$X$11,0)</f>
        <v>3.9166560583847217E-3</v>
      </c>
    </row>
    <row r="67" spans="1:25">
      <c r="A67">
        <v>59</v>
      </c>
      <c r="B67">
        <v>217.99407633733563</v>
      </c>
      <c r="C67">
        <v>146.93875673403852</v>
      </c>
      <c r="D67">
        <v>75.883437130741441</v>
      </c>
      <c r="E67">
        <v>4.8281175274443626</v>
      </c>
      <c r="H67">
        <f>SMALL(SimDataScen!$B$9:$B$508,61)</f>
        <v>185.30562211710395</v>
      </c>
      <c r="I67">
        <f>1/(COUNT(SimDataScen!$B$9:$B$508)-1)+$I$66</f>
        <v>0.12024048096192393</v>
      </c>
      <c r="J67">
        <f>SMALL(SimDataScen!$C$9:$C$508,61)</f>
        <v>106.38191084128688</v>
      </c>
      <c r="K67">
        <f>1/(COUNT(SimDataScen!$C$9:$C$508)-1)+$K$66</f>
        <v>0.12024048096192393</v>
      </c>
      <c r="L67">
        <f>SMALL(SimDataScen!$D$9:$D$508,61)</f>
        <v>28.536556658485807</v>
      </c>
      <c r="M67">
        <f>1/(COUNT(SimDataScen!$D$9:$D$508)-1)+$M$66</f>
        <v>0.12024048096192393</v>
      </c>
      <c r="N67">
        <f>SMALL(SimDataScen!$E$9:$E$508,61)</f>
        <v>-45.75975316003543</v>
      </c>
      <c r="O67">
        <f>1/(COUNT(SimDataScen!$E$9:$E$508)-1)+$O$66</f>
        <v>0.12024048096192393</v>
      </c>
      <c r="Q67">
        <v>52</v>
      </c>
      <c r="R67" s="1">
        <f t="shared" si="4"/>
        <v>329.44813976760673</v>
      </c>
      <c r="S67" s="1">
        <f>_xll.PDENSITY($R$67,SimDataScen!$B$9:$B$508,$R$10,$R$11,0)</f>
        <v>3.3754650963988522E-3</v>
      </c>
      <c r="T67" s="1">
        <f t="shared" si="5"/>
        <v>248.17977454574995</v>
      </c>
      <c r="U67" s="1">
        <f>_xll.PDENSITY($T$67,SimDataScen!$C$9:$C$508,$T$10,$T$11,0)</f>
        <v>3.468583939489523E-3</v>
      </c>
      <c r="V67" s="1">
        <f t="shared" si="6"/>
        <v>166.91140932389379</v>
      </c>
      <c r="W67" s="1">
        <f>_xll.PDENSITY($V$67,SimDataScen!$D$9:$D$508,$V$10,$V$11,0)</f>
        <v>3.577209570258671E-3</v>
      </c>
      <c r="X67" s="1">
        <f t="shared" si="7"/>
        <v>85.643044102037678</v>
      </c>
      <c r="Y67" s="1">
        <f>_xll.PDENSITY($X$67,SimDataScen!$E$9:$E$508,$X$10,$X$11,0)</f>
        <v>3.7060928352596182E-3</v>
      </c>
    </row>
    <row r="68" spans="1:25">
      <c r="A68">
        <v>60</v>
      </c>
      <c r="B68">
        <v>304.58223010800151</v>
      </c>
      <c r="C68">
        <v>222.28143818102319</v>
      </c>
      <c r="D68">
        <v>139.98064625404484</v>
      </c>
      <c r="E68">
        <v>57.679854327066522</v>
      </c>
      <c r="H68">
        <f>SMALL(SimDataScen!$B$9:$B$508,62)</f>
        <v>185.50230210378339</v>
      </c>
      <c r="I68">
        <f>1/(COUNT(SimDataScen!$B$9:$B$508)-1)+$I$67</f>
        <v>0.12224448897795599</v>
      </c>
      <c r="J68">
        <f>SMALL(SimDataScen!$C$9:$C$508,62)</f>
        <v>107.06493835116731</v>
      </c>
      <c r="K68">
        <f>1/(COUNT(SimDataScen!$C$9:$C$508)-1)+$K$67</f>
        <v>0.12224448897795599</v>
      </c>
      <c r="L68">
        <f>SMALL(SimDataScen!$D$9:$D$508,62)</f>
        <v>29.519134822457247</v>
      </c>
      <c r="M68">
        <f>1/(COUNT(SimDataScen!$D$9:$D$508)-1)+$M$67</f>
        <v>0.12224448897795599</v>
      </c>
      <c r="N68">
        <f>SMALL(SimDataScen!$E$9:$E$508,62)</f>
        <v>-45.360893712120969</v>
      </c>
      <c r="O68">
        <f>1/(COUNT(SimDataScen!$E$9:$E$508)-1)+$O$67</f>
        <v>0.12224448897795599</v>
      </c>
      <c r="Q68">
        <v>53</v>
      </c>
      <c r="R68" s="1">
        <f t="shared" si="4"/>
        <v>334.66123344186792</v>
      </c>
      <c r="S68" s="1">
        <f>_xll.PDENSITY($R$68,SimDataScen!$B$9:$B$508,$R$10,$R$11,0)</f>
        <v>3.1906440807980443E-3</v>
      </c>
      <c r="T68" s="1">
        <f t="shared" si="5"/>
        <v>253.23135019140045</v>
      </c>
      <c r="U68" s="1">
        <f>_xll.PDENSITY($T$68,SimDataScen!$C$9:$C$508,$T$10,$T$11,0)</f>
        <v>3.2721358387313129E-3</v>
      </c>
      <c r="V68" s="1">
        <f t="shared" si="6"/>
        <v>171.80146694093364</v>
      </c>
      <c r="W68" s="1">
        <f>_xll.PDENSITY($V$68,SimDataScen!$D$9:$D$508,$V$10,$V$11,0)</f>
        <v>3.3695854050623609E-3</v>
      </c>
      <c r="X68" s="1">
        <f t="shared" si="7"/>
        <v>90.371583690466849</v>
      </c>
      <c r="Y68" s="1">
        <f>_xll.PDENSITY($X$68,SimDataScen!$E$9:$E$508,$X$10,$X$11,0)</f>
        <v>3.4928444382603752E-3</v>
      </c>
    </row>
    <row r="69" spans="1:25">
      <c r="A69">
        <v>61</v>
      </c>
      <c r="B69">
        <v>262.02451470179915</v>
      </c>
      <c r="C69">
        <v>185.52403901799522</v>
      </c>
      <c r="D69">
        <v>109.02356333419129</v>
      </c>
      <c r="E69">
        <v>32.523087650387396</v>
      </c>
      <c r="H69">
        <f>SMALL(SimDataScen!$B$9:$B$508,63)</f>
        <v>185.60691819781886</v>
      </c>
      <c r="I69">
        <f>1/(COUNT(SimDataScen!$B$9:$B$508)-1)+$I$68</f>
        <v>0.12424849699398806</v>
      </c>
      <c r="J69">
        <f>SMALL(SimDataScen!$C$9:$C$508,63)</f>
        <v>107.49836317209672</v>
      </c>
      <c r="K69">
        <f>1/(COUNT(SimDataScen!$C$9:$C$508)-1)+$K$68</f>
        <v>0.12424849699398806</v>
      </c>
      <c r="L69">
        <f>SMALL(SimDataScen!$D$9:$D$508,63)</f>
        <v>31.633933337315028</v>
      </c>
      <c r="M69">
        <f>1/(COUNT(SimDataScen!$D$9:$D$508)-1)+$M$68</f>
        <v>0.12424849699398806</v>
      </c>
      <c r="N69">
        <f>SMALL(SimDataScen!$E$9:$E$508,63)</f>
        <v>-44.953734892531912</v>
      </c>
      <c r="O69">
        <f>1/(COUNT(SimDataScen!$E$9:$E$508)-1)+$O$68</f>
        <v>0.12424849699398806</v>
      </c>
      <c r="Q69">
        <v>54</v>
      </c>
      <c r="R69" s="1">
        <f t="shared" si="4"/>
        <v>339.87432711612911</v>
      </c>
      <c r="S69" s="1">
        <f>_xll.PDENSITY($R$69,SimDataScen!$B$9:$B$508,$R$10,$R$11,0)</f>
        <v>3.0079739462601403E-3</v>
      </c>
      <c r="T69" s="1">
        <f t="shared" si="5"/>
        <v>258.28292583705098</v>
      </c>
      <c r="U69" s="1">
        <f>_xll.PDENSITY($T$69,SimDataScen!$C$9:$C$508,$T$10,$T$11,0)</f>
        <v>3.0803104144533676E-3</v>
      </c>
      <c r="V69" s="1">
        <f t="shared" si="6"/>
        <v>176.69152455797348</v>
      </c>
      <c r="W69" s="1">
        <f>_xll.PDENSITY($V$69,SimDataScen!$D$9:$D$508,$V$10,$V$11,0)</f>
        <v>3.1678421399598433E-3</v>
      </c>
      <c r="X69" s="1">
        <f t="shared" si="7"/>
        <v>95.100123278896021</v>
      </c>
      <c r="Y69" s="1">
        <f>_xll.PDENSITY($X$69,SimDataScen!$E$9:$E$508,$X$10,$X$11,0)</f>
        <v>3.2841292076000177E-3</v>
      </c>
    </row>
    <row r="70" spans="1:25">
      <c r="A70">
        <v>62</v>
      </c>
      <c r="B70">
        <v>246.82380470460717</v>
      </c>
      <c r="C70">
        <v>170.05720127084379</v>
      </c>
      <c r="D70">
        <v>93.290597837080384</v>
      </c>
      <c r="E70">
        <v>16.523994403317005</v>
      </c>
      <c r="H70">
        <f>SMALL(SimDataScen!$B$9:$B$508,64)</f>
        <v>185.64894939143295</v>
      </c>
      <c r="I70">
        <f>1/(COUNT(SimDataScen!$B$9:$B$508)-1)+$I$69</f>
        <v>0.12625250501002011</v>
      </c>
      <c r="J70">
        <f>SMALL(SimDataScen!$C$9:$C$508,64)</f>
        <v>109.94889526904807</v>
      </c>
      <c r="K70">
        <f>1/(COUNT(SimDataScen!$C$9:$C$508)-1)+$K$69</f>
        <v>0.12625250501002011</v>
      </c>
      <c r="L70">
        <f>SMALL(SimDataScen!$D$9:$D$508,64)</f>
        <v>34.547594861503001</v>
      </c>
      <c r="M70">
        <f>1/(COUNT(SimDataScen!$D$9:$D$508)-1)+$M$69</f>
        <v>0.12625250501002011</v>
      </c>
      <c r="N70">
        <f>SMALL(SimDataScen!$E$9:$E$508,64)</f>
        <v>-44.150832907480492</v>
      </c>
      <c r="O70">
        <f>1/(COUNT(SimDataScen!$E$9:$E$508)-1)+$O$69</f>
        <v>0.12625250501002011</v>
      </c>
      <c r="Q70">
        <v>55</v>
      </c>
      <c r="R70" s="1">
        <f t="shared" si="4"/>
        <v>345.0874207903903</v>
      </c>
      <c r="S70" s="1">
        <f>_xll.PDENSITY($R$70,SimDataScen!$B$9:$B$508,$R$10,$R$11,0)</f>
        <v>2.8346650359338658E-3</v>
      </c>
      <c r="T70" s="1">
        <f t="shared" si="5"/>
        <v>263.33450148270151</v>
      </c>
      <c r="U70" s="1">
        <f>_xll.PDENSITY($T$70,SimDataScen!$C$9:$C$508,$T$10,$T$11,0)</f>
        <v>2.9003618205292372E-3</v>
      </c>
      <c r="V70" s="1">
        <f t="shared" si="6"/>
        <v>181.58158217501332</v>
      </c>
      <c r="W70" s="1">
        <f>_xll.PDENSITY($V$70,SimDataScen!$D$9:$D$508,$V$10,$V$11,0)</f>
        <v>2.979167822914948E-3</v>
      </c>
      <c r="X70" s="1">
        <f t="shared" si="7"/>
        <v>99.828662867325193</v>
      </c>
      <c r="Y70" s="1">
        <f>_xll.PDENSITY($X$70,SimDataScen!$E$9:$E$508,$X$10,$X$11,0)</f>
        <v>3.0866648524483292E-3</v>
      </c>
    </row>
    <row r="71" spans="1:25">
      <c r="A71">
        <v>63</v>
      </c>
      <c r="B71">
        <v>366.77199363614812</v>
      </c>
      <c r="C71">
        <v>278.8345788324483</v>
      </c>
      <c r="D71">
        <v>190.89716402874845</v>
      </c>
      <c r="E71">
        <v>102.9597492250486</v>
      </c>
      <c r="H71">
        <f>SMALL(SimDataScen!$B$9:$B$508,65)</f>
        <v>185.67255760366436</v>
      </c>
      <c r="I71">
        <f>1/(COUNT(SimDataScen!$B$9:$B$508)-1)+$I$70</f>
        <v>0.12825651302605218</v>
      </c>
      <c r="J71">
        <f>SMALL(SimDataScen!$C$9:$C$508,65)</f>
        <v>110.7295574953198</v>
      </c>
      <c r="K71">
        <f>1/(COUNT(SimDataScen!$C$9:$C$508)-1)+$K$70</f>
        <v>0.12825651302605218</v>
      </c>
      <c r="L71">
        <f>SMALL(SimDataScen!$D$9:$D$508,65)</f>
        <v>35.34890508855338</v>
      </c>
      <c r="M71">
        <f>1/(COUNT(SimDataScen!$D$9:$D$508)-1)+$M$70</f>
        <v>0.12825651302605218</v>
      </c>
      <c r="N71">
        <f>SMALL(SimDataScen!$E$9:$E$508,65)</f>
        <v>-43.043641750772423</v>
      </c>
      <c r="O71">
        <f>1/(COUNT(SimDataScen!$E$9:$E$508)-1)+$O$70</f>
        <v>0.12825651302605218</v>
      </c>
      <c r="Q71">
        <v>56</v>
      </c>
      <c r="R71" s="1">
        <f t="shared" si="4"/>
        <v>350.30051446465149</v>
      </c>
      <c r="S71" s="1">
        <f>_xll.PDENSITY($R$71,SimDataScen!$B$9:$B$508,$R$10,$R$11,0)</f>
        <v>2.6764152802591164E-3</v>
      </c>
      <c r="T71" s="1">
        <f t="shared" si="5"/>
        <v>268.38607712835204</v>
      </c>
      <c r="U71" s="1">
        <f>_xll.PDENSITY($T$71,SimDataScen!$C$9:$C$508,$T$10,$T$11,0)</f>
        <v>2.7378416557623463E-3</v>
      </c>
      <c r="V71" s="1">
        <f t="shared" si="6"/>
        <v>186.47163979205317</v>
      </c>
      <c r="W71" s="1">
        <f>_xll.PDENSITY($V$71,SimDataScen!$D$9:$D$508,$V$10,$V$11,0)</f>
        <v>2.8090975795491795E-3</v>
      </c>
      <c r="X71" s="1">
        <f t="shared" si="7"/>
        <v>104.55720245575436</v>
      </c>
      <c r="Y71" s="1">
        <f>_xll.PDENSITY($X$71,SimDataScen!$E$9:$E$508,$X$10,$X$11,0)</f>
        <v>2.9060868755109172E-3</v>
      </c>
    </row>
    <row r="72" spans="1:25">
      <c r="A72">
        <v>64</v>
      </c>
      <c r="B72">
        <v>325.03998914066597</v>
      </c>
      <c r="C72">
        <v>248.47384499304917</v>
      </c>
      <c r="D72">
        <v>171.90770084543237</v>
      </c>
      <c r="E72">
        <v>95.341556697815548</v>
      </c>
      <c r="H72">
        <f>SMALL(SimDataScen!$B$9:$B$508,66)</f>
        <v>185.67603087044716</v>
      </c>
      <c r="I72">
        <f>1/(COUNT(SimDataScen!$B$9:$B$508)-1)+$I$71</f>
        <v>0.13026052104208424</v>
      </c>
      <c r="J72">
        <f>SMALL(SimDataScen!$C$9:$C$508,66)</f>
        <v>111.16946240724553</v>
      </c>
      <c r="K72">
        <f>1/(COUNT(SimDataScen!$C$9:$C$508)-1)+$K$71</f>
        <v>0.13026052104208424</v>
      </c>
      <c r="L72">
        <f>SMALL(SimDataScen!$D$9:$D$508,66)</f>
        <v>36.029768886747846</v>
      </c>
      <c r="M72">
        <f>1/(COUNT(SimDataScen!$D$9:$D$508)-1)+$M$71</f>
        <v>0.13026052104208424</v>
      </c>
      <c r="N72">
        <f>SMALL(SimDataScen!$E$9:$E$508,66)</f>
        <v>-41.91472157719312</v>
      </c>
      <c r="O72">
        <f>1/(COUNT(SimDataScen!$E$9:$E$508)-1)+$O$71</f>
        <v>0.13026052104208424</v>
      </c>
      <c r="Q72">
        <v>57</v>
      </c>
      <c r="R72" s="1">
        <f t="shared" si="4"/>
        <v>355.51360813891267</v>
      </c>
      <c r="S72" s="1">
        <f>_xll.PDENSITY($R$72,SimDataScen!$B$9:$B$508,$R$10,$R$11,0)</f>
        <v>2.5368090071423758E-3</v>
      </c>
      <c r="T72" s="1">
        <f t="shared" si="5"/>
        <v>273.43765277400257</v>
      </c>
      <c r="U72" s="1">
        <f>_xll.PDENSITY($T$72,SimDataScen!$C$9:$C$508,$T$10,$T$11,0)</f>
        <v>2.5960281195714007E-3</v>
      </c>
      <c r="V72" s="1">
        <f t="shared" si="6"/>
        <v>191.36169740909301</v>
      </c>
      <c r="W72" s="1">
        <f>_xll.PDENSITY($V$72,SimDataScen!$D$9:$D$508,$V$10,$V$11,0)</f>
        <v>2.6609816218382838E-3</v>
      </c>
      <c r="X72" s="1">
        <f t="shared" si="7"/>
        <v>109.28574204418354</v>
      </c>
      <c r="Y72" s="1">
        <f>_xll.PDENSITY($X$72,SimDataScen!$E$9:$E$508,$X$10,$X$11,0)</f>
        <v>2.7464539823305861E-3</v>
      </c>
    </row>
    <row r="73" spans="1:25">
      <c r="A73">
        <v>65</v>
      </c>
      <c r="B73">
        <v>374.40866759553836</v>
      </c>
      <c r="C73">
        <v>297.42798435620512</v>
      </c>
      <c r="D73">
        <v>220.44730111687181</v>
      </c>
      <c r="E73">
        <v>143.46661787753857</v>
      </c>
      <c r="H73">
        <f>SMALL(SimDataScen!$B$9:$B$508,67)</f>
        <v>186.12774139001525</v>
      </c>
      <c r="I73">
        <f>1/(COUNT(SimDataScen!$B$9:$B$508)-1)+$I$72</f>
        <v>0.13226452905811631</v>
      </c>
      <c r="J73">
        <f>SMALL(SimDataScen!$C$9:$C$508,67)</f>
        <v>111.89562413712282</v>
      </c>
      <c r="K73">
        <f>1/(COUNT(SimDataScen!$C$9:$C$508)-1)+$K$72</f>
        <v>0.13226452905811631</v>
      </c>
      <c r="L73">
        <f>SMALL(SimDataScen!$D$9:$D$508,67)</f>
        <v>36.211183424475792</v>
      </c>
      <c r="M73">
        <f>1/(COUNT(SimDataScen!$D$9:$D$508)-1)+$M$72</f>
        <v>0.13226452905811631</v>
      </c>
      <c r="N73">
        <f>SMALL(SimDataScen!$E$9:$E$508,67)</f>
        <v>-40.518123751728041</v>
      </c>
      <c r="O73">
        <f>1/(COUNT(SimDataScen!$E$9:$E$508)-1)+$O$72</f>
        <v>0.13226452905811631</v>
      </c>
      <c r="Q73">
        <v>58</v>
      </c>
      <c r="R73" s="1">
        <f t="shared" si="4"/>
        <v>360.72670181317386</v>
      </c>
      <c r="S73" s="1">
        <f>_xll.PDENSITY($R$73,SimDataScen!$B$9:$B$508,$R$10,$R$11,0)</f>
        <v>2.4170982369764956E-3</v>
      </c>
      <c r="T73" s="1">
        <f t="shared" si="5"/>
        <v>278.4892284196531</v>
      </c>
      <c r="U73" s="1">
        <f>_xll.PDENSITY($T$73,SimDataScen!$C$9:$C$508,$T$10,$T$11,0)</f>
        <v>2.4757482784058369E-3</v>
      </c>
      <c r="V73" s="1">
        <f t="shared" si="6"/>
        <v>196.25175502613286</v>
      </c>
      <c r="W73" s="1">
        <f>_xll.PDENSITY($V$73,SimDataScen!$D$9:$D$508,$V$10,$V$11,0)</f>
        <v>2.5357934668971622E-3</v>
      </c>
      <c r="X73" s="1">
        <f t="shared" si="7"/>
        <v>114.01428163261271</v>
      </c>
      <c r="Y73" s="1">
        <f>_xll.PDENSITY($X$73,SimDataScen!$E$9:$E$508,$X$10,$X$11,0)</f>
        <v>2.6099113500620439E-3</v>
      </c>
    </row>
    <row r="74" spans="1:25">
      <c r="A74">
        <v>66</v>
      </c>
      <c r="B74">
        <v>267.19290006129216</v>
      </c>
      <c r="C74">
        <v>192.89861846813005</v>
      </c>
      <c r="D74">
        <v>118.60433687496794</v>
      </c>
      <c r="E74">
        <v>44.31005528180583</v>
      </c>
      <c r="H74">
        <f>SMALL(SimDataScen!$B$9:$B$508,68)</f>
        <v>189.70014720373206</v>
      </c>
      <c r="I74">
        <f>1/(COUNT(SimDataScen!$B$9:$B$508)-1)+$I$73</f>
        <v>0.13426853707414838</v>
      </c>
      <c r="J74">
        <f>SMALL(SimDataScen!$C$9:$C$508,68)</f>
        <v>112.96078475040756</v>
      </c>
      <c r="K74">
        <f>1/(COUNT(SimDataScen!$C$9:$C$508)-1)+$K$73</f>
        <v>0.13426853707414838</v>
      </c>
      <c r="L74">
        <f>SMALL(SimDataScen!$D$9:$D$508,68)</f>
        <v>36.233357309214142</v>
      </c>
      <c r="M74">
        <f>1/(COUNT(SimDataScen!$D$9:$D$508)-1)+$M$73</f>
        <v>0.13426853707414838</v>
      </c>
      <c r="N74">
        <f>SMALL(SimDataScen!$E$9:$E$508,68)</f>
        <v>-40.104876875783475</v>
      </c>
      <c r="O74">
        <f>1/(COUNT(SimDataScen!$E$9:$E$508)-1)+$O$73</f>
        <v>0.13426853707414838</v>
      </c>
      <c r="Q74">
        <v>59</v>
      </c>
      <c r="R74" s="1">
        <f t="shared" si="4"/>
        <v>365.93979548743505</v>
      </c>
      <c r="S74" s="1">
        <f>_xll.PDENSITY($R$74,SimDataScen!$B$9:$B$508,$R$10,$R$11,0)</f>
        <v>2.316366826216013E-3</v>
      </c>
      <c r="T74" s="1">
        <f t="shared" si="5"/>
        <v>283.54080406530363</v>
      </c>
      <c r="U74" s="1">
        <f>_xll.PDENSITY($T$74,SimDataScen!$C$9:$C$508,$T$10,$T$11,0)</f>
        <v>2.3755933858978814E-3</v>
      </c>
      <c r="V74" s="1">
        <f t="shared" si="6"/>
        <v>201.1418126431727</v>
      </c>
      <c r="W74" s="1">
        <f>_xll.PDENSITY($V$74,SimDataScen!$D$9:$D$508,$V$10,$V$11,0)</f>
        <v>2.4322890953633017E-3</v>
      </c>
      <c r="X74" s="1">
        <f t="shared" si="7"/>
        <v>118.74282122104188</v>
      </c>
      <c r="Y74" s="1">
        <f>_xll.PDENSITY($X$74,SimDataScen!$E$9:$E$508,$X$10,$X$11,0)</f>
        <v>2.4965688921404533E-3</v>
      </c>
    </row>
    <row r="75" spans="1:25">
      <c r="A75">
        <v>67</v>
      </c>
      <c r="B75">
        <v>417.47691178113092</v>
      </c>
      <c r="C75">
        <v>332.5310187621119</v>
      </c>
      <c r="D75">
        <v>247.58512574309285</v>
      </c>
      <c r="E75">
        <v>162.63923272407382</v>
      </c>
      <c r="H75">
        <f>SMALL(SimDataScen!$B$9:$B$508,69)</f>
        <v>189.75201379432474</v>
      </c>
      <c r="I75">
        <f>1/(COUNT(SimDataScen!$B$9:$B$508)-1)+$I$74</f>
        <v>0.13627254509018044</v>
      </c>
      <c r="J75">
        <f>SMALL(SimDataScen!$C$9:$C$508,69)</f>
        <v>114.50125498135698</v>
      </c>
      <c r="K75">
        <f>1/(COUNT(SimDataScen!$C$9:$C$508)-1)+$K$74</f>
        <v>0.13627254509018044</v>
      </c>
      <c r="L75">
        <f>SMALL(SimDataScen!$D$9:$D$508,69)</f>
        <v>37.005356766864622</v>
      </c>
      <c r="M75">
        <f>1/(COUNT(SimDataScen!$D$9:$D$508)-1)+$M$74</f>
        <v>0.13627254509018044</v>
      </c>
      <c r="N75">
        <f>SMALL(SimDataScen!$E$9:$E$508,69)</f>
        <v>-39.833656546272181</v>
      </c>
      <c r="O75">
        <f>1/(COUNT(SimDataScen!$E$9:$E$508)-1)+$O$74</f>
        <v>0.13627254509018044</v>
      </c>
      <c r="Q75">
        <v>60</v>
      </c>
      <c r="R75" s="1">
        <f t="shared" si="4"/>
        <v>371.15288916169624</v>
      </c>
      <c r="S75" s="1">
        <f>_xll.PDENSITY($R$75,SimDataScen!$B$9:$B$508,$R$10,$R$11,0)</f>
        <v>2.2319989966605226E-3</v>
      </c>
      <c r="T75" s="1">
        <f t="shared" si="5"/>
        <v>288.59237971095416</v>
      </c>
      <c r="U75" s="1">
        <f>_xll.PDENSITY($T$75,SimDataScen!$C$9:$C$508,$T$10,$T$11,0)</f>
        <v>2.2924455452438988E-3</v>
      </c>
      <c r="V75" s="1">
        <f t="shared" si="6"/>
        <v>206.03187026021254</v>
      </c>
      <c r="W75" s="1">
        <f>_xll.PDENSITY($V$75,SimDataScen!$D$9:$D$508,$V$10,$V$11,0)</f>
        <v>2.3474585556522488E-3</v>
      </c>
      <c r="X75" s="1">
        <f t="shared" si="7"/>
        <v>123.47136080947105</v>
      </c>
      <c r="Y75" s="1">
        <f>_xll.PDENSITY($X$75,SimDataScen!$E$9:$E$508,$X$10,$X$11,0)</f>
        <v>2.4046220143902402E-3</v>
      </c>
    </row>
    <row r="76" spans="1:25">
      <c r="A76">
        <v>68</v>
      </c>
      <c r="B76">
        <v>288.12655796105366</v>
      </c>
      <c r="C76">
        <v>210.47338206765505</v>
      </c>
      <c r="D76">
        <v>132.82020617425638</v>
      </c>
      <c r="E76">
        <v>55.167030280857716</v>
      </c>
      <c r="H76">
        <f>SMALL(SimDataScen!$B$9:$B$508,70)</f>
        <v>191.09957420274043</v>
      </c>
      <c r="I76">
        <f>1/(COUNT(SimDataScen!$B$9:$B$508)-1)+$I$75</f>
        <v>0.13827655310621251</v>
      </c>
      <c r="J76">
        <f>SMALL(SimDataScen!$C$9:$C$508,70)</f>
        <v>115.23012320472515</v>
      </c>
      <c r="K76">
        <f>1/(COUNT(SimDataScen!$C$9:$C$508)-1)+$K$75</f>
        <v>0.13827655310621251</v>
      </c>
      <c r="L76">
        <f>SMALL(SimDataScen!$D$9:$D$508,70)</f>
        <v>38.118690670581273</v>
      </c>
      <c r="M76">
        <f>1/(COUNT(SimDataScen!$D$9:$D$508)-1)+$M$75</f>
        <v>0.13827655310621251</v>
      </c>
      <c r="N76">
        <f>SMALL(SimDataScen!$E$9:$E$508,70)</f>
        <v>-38.776868055089068</v>
      </c>
      <c r="O76">
        <f>1/(COUNT(SimDataScen!$E$9:$E$508)-1)+$O$75</f>
        <v>0.13827655310621251</v>
      </c>
      <c r="Q76">
        <v>61</v>
      </c>
      <c r="R76" s="1">
        <f t="shared" si="4"/>
        <v>376.36598283595742</v>
      </c>
      <c r="S76" s="1">
        <f>_xll.PDENSITY($R$76,SimDataScen!$B$9:$B$508,$R$10,$R$11,0)</f>
        <v>2.160323302694805E-3</v>
      </c>
      <c r="T76" s="1">
        <f t="shared" si="5"/>
        <v>293.64395535660469</v>
      </c>
      <c r="U76" s="1">
        <f>_xll.PDENSITY($T$76,SimDataScen!$C$9:$C$508,$T$10,$T$11,0)</f>
        <v>2.22218022960831E-3</v>
      </c>
      <c r="V76" s="1">
        <f t="shared" si="6"/>
        <v>210.92192787725239</v>
      </c>
      <c r="W76" s="1">
        <f>_xll.PDENSITY($V$76,SimDataScen!$D$9:$D$508,$V$10,$V$11,0)</f>
        <v>2.2771615865728539E-3</v>
      </c>
      <c r="X76" s="1">
        <f t="shared" si="7"/>
        <v>128.19990039790022</v>
      </c>
      <c r="Y76" s="1">
        <f>_xll.PDENSITY($X$76,SimDataScen!$E$9:$E$508,$X$10,$X$11,0)</f>
        <v>2.3307013561249578E-3</v>
      </c>
    </row>
    <row r="77" spans="1:25">
      <c r="A77">
        <v>69</v>
      </c>
      <c r="B77">
        <v>285.02413120058156</v>
      </c>
      <c r="C77">
        <v>210.36620529346524</v>
      </c>
      <c r="D77">
        <v>135.70827938634892</v>
      </c>
      <c r="E77">
        <v>61.050353479232641</v>
      </c>
      <c r="H77">
        <f>SMALL(SimDataScen!$B$9:$B$508,71)</f>
        <v>191.36123387961032</v>
      </c>
      <c r="I77">
        <f>1/(COUNT(SimDataScen!$B$9:$B$508)-1)+$I$76</f>
        <v>0.14028056112224457</v>
      </c>
      <c r="J77">
        <f>SMALL(SimDataScen!$C$9:$C$508,71)</f>
        <v>116.56978818510927</v>
      </c>
      <c r="K77">
        <f>1/(COUNT(SimDataScen!$C$9:$C$508)-1)+$K$76</f>
        <v>0.14028056112224457</v>
      </c>
      <c r="L77">
        <f>SMALL(SimDataScen!$D$9:$D$508,71)</f>
        <v>38.983040344752283</v>
      </c>
      <c r="M77">
        <f>1/(COUNT(SimDataScen!$D$9:$D$508)-1)+$M$76</f>
        <v>0.14028056112224457</v>
      </c>
      <c r="N77">
        <f>SMALL(SimDataScen!$E$9:$E$508,71)</f>
        <v>-38.747095558293921</v>
      </c>
      <c r="O77">
        <f>1/(COUNT(SimDataScen!$E$9:$E$508)-1)+$O$76</f>
        <v>0.14028056112224457</v>
      </c>
      <c r="Q77">
        <v>62</v>
      </c>
      <c r="R77" s="1">
        <f t="shared" si="4"/>
        <v>381.57907651021861</v>
      </c>
      <c r="S77" s="1">
        <f>_xll.PDENSITY($R$77,SimDataScen!$B$9:$B$508,$R$10,$R$11,0)</f>
        <v>2.0972891285839811E-3</v>
      </c>
      <c r="T77" s="1">
        <f t="shared" si="5"/>
        <v>298.69553100225522</v>
      </c>
      <c r="U77" s="1">
        <f>_xll.PDENSITY($T$77,SimDataScen!$C$9:$C$508,$T$10,$T$11,0)</f>
        <v>2.1603925966841059E-3</v>
      </c>
      <c r="V77" s="1">
        <f t="shared" si="6"/>
        <v>215.81198549429223</v>
      </c>
      <c r="W77" s="1">
        <f>_xll.PDENSITY($V$77,SimDataScen!$D$9:$D$508,$V$10,$V$11,0)</f>
        <v>2.2168171142209403E-3</v>
      </c>
      <c r="X77" s="1">
        <f t="shared" si="7"/>
        <v>132.92843998632938</v>
      </c>
      <c r="Y77" s="1">
        <f>_xll.PDENSITY($X$77,SimDataScen!$E$9:$E$508,$X$10,$X$11,0)</f>
        <v>2.2703949785760355E-3</v>
      </c>
    </row>
    <row r="78" spans="1:25">
      <c r="A78">
        <v>70</v>
      </c>
      <c r="B78">
        <v>262.9556452263144</v>
      </c>
      <c r="C78">
        <v>186.92561429134292</v>
      </c>
      <c r="D78">
        <v>110.89558335637147</v>
      </c>
      <c r="E78">
        <v>34.865552421400025</v>
      </c>
      <c r="H78">
        <f>SMALL(SimDataScen!$B$9:$B$508,72)</f>
        <v>192.42619046281644</v>
      </c>
      <c r="I78">
        <f>1/(COUNT(SimDataScen!$B$9:$B$508)-1)+$I$77</f>
        <v>0.14228456913827664</v>
      </c>
      <c r="J78">
        <f>SMALL(SimDataScen!$C$9:$C$508,72)</f>
        <v>116.91475705632226</v>
      </c>
      <c r="K78">
        <f>1/(COUNT(SimDataScen!$C$9:$C$508)-1)+$K$77</f>
        <v>0.14228456913827664</v>
      </c>
      <c r="L78">
        <f>SMALL(SimDataScen!$D$9:$D$508,72)</f>
        <v>39.795719394006113</v>
      </c>
      <c r="M78">
        <f>1/(COUNT(SimDataScen!$D$9:$D$508)-1)+$M$77</f>
        <v>0.14228456913827664</v>
      </c>
      <c r="N78">
        <f>SMALL(SimDataScen!$E$9:$E$508,72)</f>
        <v>-38.486249034469864</v>
      </c>
      <c r="O78">
        <f>1/(COUNT(SimDataScen!$E$9:$E$508)-1)+$O$77</f>
        <v>0.14228456913827664</v>
      </c>
      <c r="Q78">
        <v>63</v>
      </c>
      <c r="R78" s="1">
        <f t="shared" si="4"/>
        <v>386.7921701844798</v>
      </c>
      <c r="S78" s="1">
        <f>_xll.PDENSITY($R$78,SimDataScen!$B$9:$B$508,$R$10,$R$11,0)</f>
        <v>2.0390527482030095E-3</v>
      </c>
      <c r="T78" s="1">
        <f t="shared" si="5"/>
        <v>303.74710664790575</v>
      </c>
      <c r="U78" s="1">
        <f>_xll.PDENSITY($T$78,SimDataScen!$C$9:$C$508,$T$10,$T$11,0)</f>
        <v>2.1030146825084355E-3</v>
      </c>
      <c r="V78" s="1">
        <f t="shared" si="6"/>
        <v>220.70204311133207</v>
      </c>
      <c r="W78" s="1">
        <f>_xll.PDENSITY($V$78,SimDataScen!$D$9:$D$508,$V$10,$V$11,0)</f>
        <v>2.1620238731147111E-3</v>
      </c>
      <c r="X78" s="1">
        <f t="shared" si="7"/>
        <v>137.65697957475854</v>
      </c>
      <c r="Y78" s="1">
        <f>_xll.PDENSITY($X$78,SimDataScen!$E$9:$E$508,$X$10,$X$11,0)</f>
        <v>2.2188529040834222E-3</v>
      </c>
    </row>
    <row r="79" spans="1:25">
      <c r="A79">
        <v>71</v>
      </c>
      <c r="B79">
        <v>252.70611397249843</v>
      </c>
      <c r="C79">
        <v>173.19558717474024</v>
      </c>
      <c r="D79">
        <v>93.685060376982051</v>
      </c>
      <c r="E79">
        <v>14.174533579223862</v>
      </c>
      <c r="H79">
        <f>SMALL(SimDataScen!$B$9:$B$508,73)</f>
        <v>192.60259154965988</v>
      </c>
      <c r="I79">
        <f>1/(COUNT(SimDataScen!$B$9:$B$508)-1)+$I$78</f>
        <v>0.14428857715430871</v>
      </c>
      <c r="J79">
        <f>SMALL(SimDataScen!$C$9:$C$508,73)</f>
        <v>117.2361122223183</v>
      </c>
      <c r="K79">
        <f>1/(COUNT(SimDataScen!$C$9:$C$508)-1)+$K$78</f>
        <v>0.14428857715430871</v>
      </c>
      <c r="L79">
        <f>SMALL(SimDataScen!$D$9:$D$508,73)</f>
        <v>39.998598459896698</v>
      </c>
      <c r="M79">
        <f>1/(COUNT(SimDataScen!$D$9:$D$508)-1)+$M$78</f>
        <v>0.14428857715430871</v>
      </c>
      <c r="N79">
        <f>SMALL(SimDataScen!$E$9:$E$508,73)</f>
        <v>-38.262842876891497</v>
      </c>
      <c r="O79">
        <f>1/(COUNT(SimDataScen!$E$9:$E$508)-1)+$O$78</f>
        <v>0.14428857715430871</v>
      </c>
      <c r="Q79">
        <v>64</v>
      </c>
      <c r="R79" s="1">
        <f t="shared" si="4"/>
        <v>392.00526385874099</v>
      </c>
      <c r="S79" s="1">
        <f>_xll.PDENSITY($R$79,SimDataScen!$B$9:$B$508,$R$10,$R$11,0)</f>
        <v>1.9823928721957296E-3</v>
      </c>
      <c r="T79" s="1">
        <f t="shared" si="5"/>
        <v>308.79868229355628</v>
      </c>
      <c r="U79" s="1">
        <f>_xll.PDENSITY($T$79,SimDataScen!$C$9:$C$508,$T$10,$T$11,0)</f>
        <v>2.0467355061044349E-3</v>
      </c>
      <c r="V79" s="1">
        <f t="shared" si="6"/>
        <v>225.59210072837192</v>
      </c>
      <c r="W79" s="1">
        <f>_xll.PDENSITY($V$79,SimDataScen!$D$9:$D$508,$V$10,$V$11,0)</f>
        <v>2.1090203911324321E-3</v>
      </c>
      <c r="X79" s="1">
        <f t="shared" si="7"/>
        <v>142.38551916318769</v>
      </c>
      <c r="Y79" s="1">
        <f>_xll.PDENSITY($X$79,SimDataScen!$E$9:$E$508,$X$10,$X$11,0)</f>
        <v>2.1713699269930329E-3</v>
      </c>
    </row>
    <row r="80" spans="1:25">
      <c r="A80">
        <v>72</v>
      </c>
      <c r="B80">
        <v>323.54390418723756</v>
      </c>
      <c r="C80">
        <v>240.40893178039101</v>
      </c>
      <c r="D80">
        <v>157.27395937354444</v>
      </c>
      <c r="E80">
        <v>74.1389869666979</v>
      </c>
      <c r="H80">
        <f>SMALL(SimDataScen!$B$9:$B$508,74)</f>
        <v>192.66493489174928</v>
      </c>
      <c r="I80">
        <f>1/(COUNT(SimDataScen!$B$9:$B$508)-1)+$I$79</f>
        <v>0.14629258517034077</v>
      </c>
      <c r="J80">
        <f>SMALL(SimDataScen!$C$9:$C$508,74)</f>
        <v>117.50423083246903</v>
      </c>
      <c r="K80">
        <f>1/(COUNT(SimDataScen!$C$9:$C$508)-1)+$K$79</f>
        <v>0.14629258517034077</v>
      </c>
      <c r="L80">
        <f>SMALL(SimDataScen!$D$9:$D$508,74)</f>
        <v>40.866046968878535</v>
      </c>
      <c r="M80">
        <f>1/(COUNT(SimDataScen!$D$9:$D$508)-1)+$M$79</f>
        <v>0.14629258517034077</v>
      </c>
      <c r="N80">
        <f>SMALL(SimDataScen!$E$9:$E$508,74)</f>
        <v>-38.051922899343936</v>
      </c>
      <c r="O80">
        <f>1/(COUNT(SimDataScen!$E$9:$E$508)-1)+$O$79</f>
        <v>0.14629258517034077</v>
      </c>
      <c r="Q80">
        <v>65</v>
      </c>
      <c r="R80" s="1">
        <f t="shared" si="4"/>
        <v>397.21835753300218</v>
      </c>
      <c r="S80" s="1">
        <f>_xll.PDENSITY($R$80,SimDataScen!$B$9:$B$508,$R$10,$R$11,0)</f>
        <v>1.924926689273642E-3</v>
      </c>
      <c r="T80" s="1">
        <f t="shared" si="5"/>
        <v>313.85025793920681</v>
      </c>
      <c r="U80" s="1">
        <f>_xll.PDENSITY($T$80,SimDataScen!$C$9:$C$508,$T$10,$T$11,0)</f>
        <v>1.989192509490137E-3</v>
      </c>
      <c r="V80" s="1">
        <f t="shared" si="6"/>
        <v>230.48215834541176</v>
      </c>
      <c r="W80" s="1">
        <f>_xll.PDENSITY($V$80,SimDataScen!$D$9:$D$508,$V$10,$V$11,0)</f>
        <v>2.0549379312065387E-3</v>
      </c>
      <c r="X80" s="1">
        <f t="shared" si="7"/>
        <v>147.11405875161685</v>
      </c>
      <c r="Y80" s="1">
        <f>_xll.PDENSITY($X$80,SimDataScen!$E$9:$E$508,$X$10,$X$11,0)</f>
        <v>2.1238534087388932E-3</v>
      </c>
    </row>
    <row r="81" spans="1:25">
      <c r="A81">
        <v>73</v>
      </c>
      <c r="B81">
        <v>206.28731162556042</v>
      </c>
      <c r="C81">
        <v>131.56880721191268</v>
      </c>
      <c r="D81">
        <v>56.850302798264934</v>
      </c>
      <c r="E81">
        <v>-17.868201615382802</v>
      </c>
      <c r="H81">
        <f>SMALL(SimDataScen!$B$9:$B$508,75)</f>
        <v>193.24733753907043</v>
      </c>
      <c r="I81">
        <f>1/(COUNT(SimDataScen!$B$9:$B$508)-1)+$I$80</f>
        <v>0.14829659318637284</v>
      </c>
      <c r="J81">
        <f>SMALL(SimDataScen!$C$9:$C$508,75)</f>
        <v>117.80554297795763</v>
      </c>
      <c r="K81">
        <f>1/(COUNT(SimDataScen!$C$9:$C$508)-1)+$K$80</f>
        <v>0.14829659318637284</v>
      </c>
      <c r="L81">
        <f>SMALL(SimDataScen!$D$9:$D$508,75)</f>
        <v>41.869632894976689</v>
      </c>
      <c r="M81">
        <f>1/(COUNT(SimDataScen!$D$9:$D$508)-1)+$M$80</f>
        <v>0.14829659318637284</v>
      </c>
      <c r="N81">
        <f>SMALL(SimDataScen!$E$9:$E$508,75)</f>
        <v>-37.808346058164233</v>
      </c>
      <c r="O81">
        <f>1/(COUNT(SimDataScen!$E$9:$E$508)-1)+$O$80</f>
        <v>0.14829659318637284</v>
      </c>
      <c r="Q81">
        <v>66</v>
      </c>
      <c r="R81" s="1">
        <f t="shared" ref="R81:R115" si="8">1/99*($R$9-$R$8)+R80</f>
        <v>402.43145120726336</v>
      </c>
      <c r="S81" s="1">
        <f>_xll.PDENSITY($R$81,SimDataScen!$B$9:$B$508,$R$10,$R$11,0)</f>
        <v>1.8651429119332418E-3</v>
      </c>
      <c r="T81" s="1">
        <f t="shared" ref="T81:T115" si="9">1/99*($T$9-$T$8)+T80</f>
        <v>318.90183358485734</v>
      </c>
      <c r="U81" s="1">
        <f>_xll.PDENSITY($T$81,SimDataScen!$C$9:$C$508,$T$10,$T$11,0)</f>
        <v>1.9289560456931855E-3</v>
      </c>
      <c r="V81" s="1">
        <f t="shared" ref="V81:V115" si="10">1/99*($V$9-$V$8)+V80</f>
        <v>235.37221596245161</v>
      </c>
      <c r="W81" s="1">
        <f>_xll.PDENSITY($V$81,SimDataScen!$D$9:$D$508,$V$10,$V$11,0)</f>
        <v>1.9978491041898728E-3</v>
      </c>
      <c r="X81" s="1">
        <f t="shared" ref="X81:X115" si="11">1/99*($X$9-$X$8)+X80</f>
        <v>151.84259834004601</v>
      </c>
      <c r="Y81" s="1">
        <f>_xll.PDENSITY($X$81,SimDataScen!$E$9:$E$508,$X$10,$X$11,0)</f>
        <v>2.0731162566707149E-3</v>
      </c>
    </row>
    <row r="82" spans="1:25">
      <c r="A82">
        <v>74</v>
      </c>
      <c r="B82">
        <v>254.3089166723862</v>
      </c>
      <c r="C82">
        <v>178.35409017242307</v>
      </c>
      <c r="D82">
        <v>102.39926367245997</v>
      </c>
      <c r="E82">
        <v>26.444437172496862</v>
      </c>
      <c r="H82">
        <f>SMALL(SimDataScen!$B$9:$B$508,76)</f>
        <v>195.19991888929383</v>
      </c>
      <c r="I82">
        <f>1/(COUNT(SimDataScen!$B$9:$B$508)-1)+$I$81</f>
        <v>0.1503006012024049</v>
      </c>
      <c r="J82">
        <f>SMALL(SimDataScen!$C$9:$C$508,76)</f>
        <v>118.07095756528804</v>
      </c>
      <c r="K82">
        <f>1/(COUNT(SimDataScen!$C$9:$C$508)-1)+$K$81</f>
        <v>0.1503006012024049</v>
      </c>
      <c r="L82">
        <f>SMALL(SimDataScen!$D$9:$D$508,76)</f>
        <v>42.040002167478121</v>
      </c>
      <c r="M82">
        <f>1/(COUNT(SimDataScen!$D$9:$D$508)-1)+$M$81</f>
        <v>0.1503006012024049</v>
      </c>
      <c r="N82">
        <f>SMALL(SimDataScen!$E$9:$E$508,76)</f>
        <v>-36.069939092908442</v>
      </c>
      <c r="O82">
        <f>1/(COUNT(SimDataScen!$E$9:$E$508)-1)+$O$81</f>
        <v>0.1503006012024049</v>
      </c>
      <c r="Q82">
        <v>67</v>
      </c>
      <c r="R82" s="1">
        <f t="shared" si="8"/>
        <v>407.64454488152455</v>
      </c>
      <c r="S82" s="1">
        <f>_xll.PDENSITY($R$82,SimDataScen!$B$9:$B$508,$R$10,$R$11,0)</f>
        <v>1.8022990469847987E-3</v>
      </c>
      <c r="T82" s="1">
        <f t="shared" si="9"/>
        <v>323.95340923050787</v>
      </c>
      <c r="U82" s="1">
        <f>_xll.PDENSITY($T$82,SimDataScen!$C$9:$C$508,$T$10,$T$11,0)</f>
        <v>1.8653673498854465E-3</v>
      </c>
      <c r="V82" s="1">
        <f t="shared" si="10"/>
        <v>240.26227357949145</v>
      </c>
      <c r="W82" s="1">
        <f>_xll.PDENSITY($V$82,SimDataScen!$D$9:$D$508,$V$10,$V$11,0)</f>
        <v>1.9366573389429332E-3</v>
      </c>
      <c r="X82" s="1">
        <f t="shared" si="11"/>
        <v>156.57113792847517</v>
      </c>
      <c r="Y82" s="1">
        <f>_xll.PDENSITY($X$82,SimDataScen!$E$9:$E$508,$X$10,$X$11,0)</f>
        <v>2.0169819076684041E-3</v>
      </c>
    </row>
    <row r="83" spans="1:25">
      <c r="A83">
        <v>75</v>
      </c>
      <c r="B83">
        <v>311.75004563637242</v>
      </c>
      <c r="C83">
        <v>232.60534271559675</v>
      </c>
      <c r="D83">
        <v>153.46063979482105</v>
      </c>
      <c r="E83">
        <v>74.315936874045377</v>
      </c>
      <c r="H83">
        <f>SMALL(SimDataScen!$B$9:$B$508,77)</f>
        <v>195.61248749601856</v>
      </c>
      <c r="I83">
        <f>1/(COUNT(SimDataScen!$B$9:$B$508)-1)+$I$82</f>
        <v>0.15230460921843697</v>
      </c>
      <c r="J83">
        <f>SMALL(SimDataScen!$C$9:$C$508,77)</f>
        <v>119.26897738633009</v>
      </c>
      <c r="K83">
        <f>1/(COUNT(SimDataScen!$C$9:$C$508)-1)+$K$82</f>
        <v>0.15230460921843697</v>
      </c>
      <c r="L83">
        <f>SMALL(SimDataScen!$D$9:$D$508,77)</f>
        <v>42.343526773188785</v>
      </c>
      <c r="M83">
        <f>1/(COUNT(SimDataScen!$D$9:$D$508)-1)+$M$82</f>
        <v>0.15230460921843697</v>
      </c>
      <c r="N83">
        <f>SMALL(SimDataScen!$E$9:$E$508,77)</f>
        <v>-35.658242795960263</v>
      </c>
      <c r="O83">
        <f>1/(COUNT(SimDataScen!$E$9:$E$508)-1)+$O$82</f>
        <v>0.15230460921843697</v>
      </c>
      <c r="Q83">
        <v>68</v>
      </c>
      <c r="R83" s="1">
        <f t="shared" si="8"/>
        <v>412.85763855578574</v>
      </c>
      <c r="S83" s="1">
        <f>_xll.PDENSITY($R$83,SimDataScen!$B$9:$B$508,$R$10,$R$11,0)</f>
        <v>1.7362427847164401E-3</v>
      </c>
      <c r="T83" s="1">
        <f t="shared" si="9"/>
        <v>329.0049848761584</v>
      </c>
      <c r="U83" s="1">
        <f>_xll.PDENSITY($T$83,SimDataScen!$C$9:$C$508,$T$10,$T$11,0)</f>
        <v>1.7983081403567694E-3</v>
      </c>
      <c r="V83" s="1">
        <f t="shared" si="10"/>
        <v>245.15233119653129</v>
      </c>
      <c r="W83" s="1">
        <f>_xll.PDENSITY($V$83,SimDataScen!$D$9:$D$508,$V$10,$V$11,0)</f>
        <v>1.870899221882604E-3</v>
      </c>
      <c r="X83" s="1">
        <f t="shared" si="11"/>
        <v>161.29967751690432</v>
      </c>
      <c r="Y83" s="1">
        <f>_xll.PDENSITY($X$83,SimDataScen!$E$9:$E$508,$X$10,$X$11,0)</f>
        <v>1.9542334016738982E-3</v>
      </c>
    </row>
    <row r="84" spans="1:25">
      <c r="A84">
        <v>76</v>
      </c>
      <c r="B84">
        <v>125.65588608852377</v>
      </c>
      <c r="C84">
        <v>53.776965377911623</v>
      </c>
      <c r="D84">
        <v>-18.101955332700541</v>
      </c>
      <c r="E84">
        <v>-89.980876043312691</v>
      </c>
      <c r="H84">
        <f>SMALL(SimDataScen!$B$9:$B$508,78)</f>
        <v>195.91265154794726</v>
      </c>
      <c r="I84">
        <f>1/(COUNT(SimDataScen!$B$9:$B$508)-1)+$I$83</f>
        <v>0.15430861723446904</v>
      </c>
      <c r="J84">
        <f>SMALL(SimDataScen!$C$9:$C$508,78)</f>
        <v>119.37160724585024</v>
      </c>
      <c r="K84">
        <f>1/(COUNT(SimDataScen!$C$9:$C$508)-1)+$K$83</f>
        <v>0.15430861723446904</v>
      </c>
      <c r="L84">
        <f>SMALL(SimDataScen!$D$9:$D$508,78)</f>
        <v>43.062838758531129</v>
      </c>
      <c r="M84">
        <f>1/(COUNT(SimDataScen!$D$9:$D$508)-1)+$M$83</f>
        <v>0.15430861723446904</v>
      </c>
      <c r="N84">
        <f>SMALL(SimDataScen!$E$9:$E$508,78)</f>
        <v>-34.559764135707383</v>
      </c>
      <c r="O84">
        <f>1/(COUNT(SimDataScen!$E$9:$E$508)-1)+$O$83</f>
        <v>0.15430861723446904</v>
      </c>
      <c r="Q84">
        <v>69</v>
      </c>
      <c r="R84" s="1">
        <f t="shared" si="8"/>
        <v>418.07073223004693</v>
      </c>
      <c r="S84" s="1">
        <f>_xll.PDENSITY($R$84,SimDataScen!$B$9:$B$508,$R$10,$R$11,0)</f>
        <v>1.6672140623654136E-3</v>
      </c>
      <c r="T84" s="1">
        <f t="shared" si="9"/>
        <v>334.05656052180893</v>
      </c>
      <c r="U84" s="1">
        <f>_xll.PDENSITY($T$84,SimDataScen!$C$9:$C$508,$T$10,$T$11,0)</f>
        <v>1.7279758762253265E-3</v>
      </c>
      <c r="V84" s="1">
        <f t="shared" si="10"/>
        <v>250.04238881357114</v>
      </c>
      <c r="W84" s="1">
        <f>_xll.PDENSITY($V$84,SimDataScen!$D$9:$D$508,$V$10,$V$11,0)</f>
        <v>1.8005370012119152E-3</v>
      </c>
      <c r="X84" s="1">
        <f t="shared" si="11"/>
        <v>166.02821710533348</v>
      </c>
      <c r="Y84" s="1">
        <f>_xll.PDENSITY($X$84,SimDataScen!$E$9:$E$508,$X$10,$X$11,0)</f>
        <v>1.8844680542005783E-3</v>
      </c>
    </row>
    <row r="85" spans="1:25">
      <c r="A85">
        <v>77</v>
      </c>
      <c r="B85">
        <v>236.66059009880672</v>
      </c>
      <c r="C85">
        <v>157.0798702087875</v>
      </c>
      <c r="D85">
        <v>77.499150318768272</v>
      </c>
      <c r="E85">
        <v>-2.0815695712509523</v>
      </c>
      <c r="H85">
        <f>SMALL(SimDataScen!$B$9:$B$508,79)</f>
        <v>196.19473662657069</v>
      </c>
      <c r="I85">
        <f>1/(COUNT(SimDataScen!$B$9:$B$508)-1)+$I$84</f>
        <v>0.1563126252505011</v>
      </c>
      <c r="J85">
        <f>SMALL(SimDataScen!$C$9:$C$508,79)</f>
        <v>120.57450523564489</v>
      </c>
      <c r="K85">
        <f>1/(COUNT(SimDataScen!$C$9:$C$508)-1)+$K$84</f>
        <v>0.1563126252505011</v>
      </c>
      <c r="L85">
        <f>SMALL(SimDataScen!$D$9:$D$508,79)</f>
        <v>43.194538807350852</v>
      </c>
      <c r="M85">
        <f>1/(COUNT(SimDataScen!$D$9:$D$508)-1)+$M$84</f>
        <v>0.1563126252505011</v>
      </c>
      <c r="N85">
        <f>SMALL(SimDataScen!$E$9:$E$508,79)</f>
        <v>-33.49684643236489</v>
      </c>
      <c r="O85">
        <f>1/(COUNT(SimDataScen!$E$9:$E$508)-1)+$O$84</f>
        <v>0.1563126252505011</v>
      </c>
      <c r="Q85">
        <v>70</v>
      </c>
      <c r="R85" s="1">
        <f t="shared" si="8"/>
        <v>423.28382590430812</v>
      </c>
      <c r="S85" s="1">
        <f>_xll.PDENSITY($R$85,SimDataScen!$B$9:$B$508,$R$10,$R$11,0)</f>
        <v>1.5956702331360473E-3</v>
      </c>
      <c r="T85" s="1">
        <f t="shared" si="9"/>
        <v>339.10813616745946</v>
      </c>
      <c r="U85" s="1">
        <f>_xll.PDENSITY($T$85,SimDataScen!$C$9:$C$508,$T$10,$T$11,0)</f>
        <v>1.6547170651586578E-3</v>
      </c>
      <c r="V85" s="1">
        <f t="shared" si="10"/>
        <v>254.93244643061098</v>
      </c>
      <c r="W85" s="1">
        <f>_xll.PDENSITY($V$85,SimDataScen!$D$9:$D$508,$V$10,$V$11,0)</f>
        <v>1.7258015797807611E-3</v>
      </c>
      <c r="X85" s="1">
        <f t="shared" si="11"/>
        <v>170.75675669376264</v>
      </c>
      <c r="Y85" s="1">
        <f>_xll.PDENSITY($X$85,SimDataScen!$E$9:$E$508,$X$10,$X$11,0)</f>
        <v>1.8079240378629687E-3</v>
      </c>
    </row>
    <row r="86" spans="1:25">
      <c r="A86">
        <v>78</v>
      </c>
      <c r="B86">
        <v>252.04453310944001</v>
      </c>
      <c r="C86">
        <v>162.06469952383867</v>
      </c>
      <c r="D86">
        <v>72.084865938237272</v>
      </c>
      <c r="E86">
        <v>-17.894967647364069</v>
      </c>
      <c r="H86">
        <f>SMALL(SimDataScen!$B$9:$B$508,80)</f>
        <v>196.90255639670244</v>
      </c>
      <c r="I86">
        <f>1/(COUNT(SimDataScen!$B$9:$B$508)-1)+$I$85</f>
        <v>0.15831663326653317</v>
      </c>
      <c r="J86">
        <f>SMALL(SimDataScen!$C$9:$C$508,80)</f>
        <v>120.68544165276965</v>
      </c>
      <c r="K86">
        <f>1/(COUNT(SimDataScen!$C$9:$C$508)-1)+$K$85</f>
        <v>0.15831663326653317</v>
      </c>
      <c r="L86">
        <f>SMALL(SimDataScen!$D$9:$D$508,80)</f>
        <v>43.500207858930565</v>
      </c>
      <c r="M86">
        <f>1/(COUNT(SimDataScen!$D$9:$D$508)-1)+$M$85</f>
        <v>0.15831663326653317</v>
      </c>
      <c r="N86">
        <f>SMALL(SimDataScen!$E$9:$E$508,80)</f>
        <v>-33.044492461312075</v>
      </c>
      <c r="O86">
        <f>1/(COUNT(SimDataScen!$E$9:$E$508)-1)+$O$85</f>
        <v>0.15831663326653317</v>
      </c>
      <c r="Q86">
        <v>71</v>
      </c>
      <c r="R86" s="1">
        <f t="shared" si="8"/>
        <v>428.4969195785693</v>
      </c>
      <c r="S86" s="1">
        <f>_xll.PDENSITY($R$86,SimDataScen!$B$9:$B$508,$R$10,$R$11,0)</f>
        <v>1.5221579371111188E-3</v>
      </c>
      <c r="T86" s="1">
        <f t="shared" si="9"/>
        <v>344.15971181310999</v>
      </c>
      <c r="U86" s="1">
        <f>_xll.PDENSITY($T$86,SimDataScen!$C$9:$C$508,$T$10,$T$11,0)</f>
        <v>1.5789399287619334E-3</v>
      </c>
      <c r="V86" s="1">
        <f t="shared" si="10"/>
        <v>259.8225040476508</v>
      </c>
      <c r="W86" s="1">
        <f>_xll.PDENSITY($V$86,SimDataScen!$D$9:$D$508,$V$10,$V$11,0)</f>
        <v>1.6471129809047214E-3</v>
      </c>
      <c r="X86" s="1">
        <f t="shared" si="11"/>
        <v>175.4852962821918</v>
      </c>
      <c r="Y86" s="1">
        <f>_xll.PDENSITY($X$86,SimDataScen!$E$9:$E$508,$X$10,$X$11,0)</f>
        <v>1.7253262219425107E-3</v>
      </c>
    </row>
    <row r="87" spans="1:25">
      <c r="A87">
        <v>79</v>
      </c>
      <c r="B87">
        <v>285.90910865485137</v>
      </c>
      <c r="C87">
        <v>199.97426850009964</v>
      </c>
      <c r="D87">
        <v>114.03942834534783</v>
      </c>
      <c r="E87">
        <v>28.104588190596075</v>
      </c>
      <c r="H87">
        <f>SMALL(SimDataScen!$B$9:$B$508,81)</f>
        <v>197.1588747858238</v>
      </c>
      <c r="I87">
        <f>1/(COUNT(SimDataScen!$B$9:$B$508)-1)+$I$86</f>
        <v>0.16032064128256523</v>
      </c>
      <c r="J87">
        <f>SMALL(SimDataScen!$C$9:$C$508,81)</f>
        <v>120.94205663640535</v>
      </c>
      <c r="K87">
        <f>1/(COUNT(SimDataScen!$C$9:$C$508)-1)+$K$86</f>
        <v>0.16032064128256523</v>
      </c>
      <c r="L87">
        <f>SMALL(SimDataScen!$D$9:$D$508,81)</f>
        <v>43.512624176094789</v>
      </c>
      <c r="M87">
        <f>1/(COUNT(SimDataScen!$D$9:$D$508)-1)+$M$86</f>
        <v>0.16032064128256523</v>
      </c>
      <c r="N87">
        <f>SMALL(SimDataScen!$E$9:$E$508,81)</f>
        <v>-32.817177286091464</v>
      </c>
      <c r="O87">
        <f>1/(COUNT(SimDataScen!$E$9:$E$508)-1)+$O$86</f>
        <v>0.16032064128256523</v>
      </c>
      <c r="Q87">
        <v>72</v>
      </c>
      <c r="R87" s="1">
        <f t="shared" si="8"/>
        <v>433.71001325283049</v>
      </c>
      <c r="S87" s="1">
        <f>_xll.PDENSITY($R$87,SimDataScen!$B$9:$B$508,$R$10,$R$11,0)</f>
        <v>1.4472369213061078E-3</v>
      </c>
      <c r="T87" s="1">
        <f t="shared" si="9"/>
        <v>349.21128745876052</v>
      </c>
      <c r="U87" s="1">
        <f>_xll.PDENSITY($T$87,SimDataScen!$C$9:$C$508,$T$10,$T$11,0)</f>
        <v>1.5010968793177837E-3</v>
      </c>
      <c r="V87" s="1">
        <f t="shared" si="10"/>
        <v>264.71256166469061</v>
      </c>
      <c r="W87" s="1">
        <f>_xll.PDENSITY($V$87,SimDataScen!$D$9:$D$508,$V$10,$V$11,0)</f>
        <v>1.5650672799278182E-3</v>
      </c>
      <c r="X87" s="1">
        <f t="shared" si="11"/>
        <v>180.21383587062095</v>
      </c>
      <c r="Y87" s="1">
        <f>_xll.PDENSITY($X$87,SimDataScen!$E$9:$E$508,$X$10,$X$11,0)</f>
        <v>1.6377664007358108E-3</v>
      </c>
    </row>
    <row r="88" spans="1:25">
      <c r="A88">
        <v>80</v>
      </c>
      <c r="B88">
        <v>232.55532778766724</v>
      </c>
      <c r="C88">
        <v>149.58558022388826</v>
      </c>
      <c r="D88">
        <v>66.615832660109277</v>
      </c>
      <c r="E88">
        <v>-16.353914903669704</v>
      </c>
      <c r="H88">
        <f>SMALL(SimDataScen!$B$9:$B$508,82)</f>
        <v>197.28928119186901</v>
      </c>
      <c r="I88">
        <f>1/(COUNT(SimDataScen!$B$9:$B$508)-1)+$I$87</f>
        <v>0.1623246492985973</v>
      </c>
      <c r="J88">
        <f>SMALL(SimDataScen!$C$9:$C$508,82)</f>
        <v>122.08120602591993</v>
      </c>
      <c r="K88">
        <f>1/(COUNT(SimDataScen!$C$9:$C$508)-1)+$K$87</f>
        <v>0.1623246492985973</v>
      </c>
      <c r="L88">
        <f>SMALL(SimDataScen!$D$9:$D$508,82)</f>
        <v>44.129366908912459</v>
      </c>
      <c r="M88">
        <f>1/(COUNT(SimDataScen!$D$9:$D$508)-1)+$M$87</f>
        <v>0.1623246492985973</v>
      </c>
      <c r="N88">
        <f>SMALL(SimDataScen!$E$9:$E$508,82)</f>
        <v>-32.559298845037972</v>
      </c>
      <c r="O88">
        <f>1/(COUNT(SimDataScen!$E$9:$E$508)-1)+$O$87</f>
        <v>0.1623246492985973</v>
      </c>
      <c r="Q88">
        <v>73</v>
      </c>
      <c r="R88" s="1">
        <f t="shared" si="8"/>
        <v>438.92310692709168</v>
      </c>
      <c r="S88" s="1">
        <f>_xll.PDENSITY($R$88,SimDataScen!$B$9:$B$508,$R$10,$R$11,0)</f>
        <v>1.3714467655906602E-3</v>
      </c>
      <c r="T88" s="1">
        <f t="shared" si="9"/>
        <v>354.26286310441105</v>
      </c>
      <c r="U88" s="1">
        <f>_xll.PDENSITY($T$88,SimDataScen!$C$9:$C$508,$T$10,$T$11,0)</f>
        <v>1.4217054179385632E-3</v>
      </c>
      <c r="V88" s="1">
        <f t="shared" si="10"/>
        <v>269.60261928173043</v>
      </c>
      <c r="W88" s="1">
        <f>_xll.PDENSITY($V$88,SimDataScen!$D$9:$D$508,$V$10,$V$11,0)</f>
        <v>1.4804502880943311E-3</v>
      </c>
      <c r="X88" s="1">
        <f t="shared" si="11"/>
        <v>184.94237545905011</v>
      </c>
      <c r="Y88" s="1">
        <f>_xll.PDENSITY($X$88,SimDataScen!$E$9:$E$508,$X$10,$X$11,0)</f>
        <v>1.5466032404764937E-3</v>
      </c>
    </row>
    <row r="89" spans="1:25">
      <c r="A89">
        <v>81</v>
      </c>
      <c r="B89">
        <v>307.00026120714068</v>
      </c>
      <c r="C89">
        <v>225.36675143388095</v>
      </c>
      <c r="D89">
        <v>143.73324166062125</v>
      </c>
      <c r="E89">
        <v>62.099731887361543</v>
      </c>
      <c r="H89">
        <f>SMALL(SimDataScen!$B$9:$B$508,83)</f>
        <v>197.47479322488775</v>
      </c>
      <c r="I89">
        <f>1/(COUNT(SimDataScen!$B$9:$B$508)-1)+$I$88</f>
        <v>0.16432865731462937</v>
      </c>
      <c r="J89">
        <f>SMALL(SimDataScen!$C$9:$C$508,83)</f>
        <v>122.25021768948513</v>
      </c>
      <c r="K89">
        <f>1/(COUNT(SimDataScen!$C$9:$C$508)-1)+$K$88</f>
        <v>0.16432865731462937</v>
      </c>
      <c r="L89">
        <f>SMALL(SimDataScen!$D$9:$D$508,83)</f>
        <v>44.292497725105449</v>
      </c>
      <c r="M89">
        <f>1/(COUNT(SimDataScen!$D$9:$D$508)-1)+$M$88</f>
        <v>0.16432865731462937</v>
      </c>
      <c r="N89">
        <f>SMALL(SimDataScen!$E$9:$E$508,83)</f>
        <v>-32.489783850153032</v>
      </c>
      <c r="O89">
        <f>1/(COUNT(SimDataScen!$E$9:$E$508)-1)+$O$88</f>
        <v>0.16432865731462937</v>
      </c>
      <c r="Q89">
        <v>74</v>
      </c>
      <c r="R89" s="1">
        <f t="shared" si="8"/>
        <v>444.13620060135287</v>
      </c>
      <c r="S89" s="1">
        <f>_xll.PDENSITY($R$89,SimDataScen!$B$9:$B$508,$R$10,$R$11,0)</f>
        <v>1.2952992199752446E-3</v>
      </c>
      <c r="T89" s="1">
        <f t="shared" si="9"/>
        <v>359.31443875006158</v>
      </c>
      <c r="U89" s="1">
        <f>_xll.PDENSITY($T$89,SimDataScen!$C$9:$C$508,$T$10,$T$11,0)</f>
        <v>1.3413687347365018E-3</v>
      </c>
      <c r="V89" s="1">
        <f t="shared" si="10"/>
        <v>274.49267689877024</v>
      </c>
      <c r="W89" s="1">
        <f>_xll.PDENSITY($V$89,SimDataScen!$D$9:$D$508,$V$10,$V$11,0)</f>
        <v>1.3942295893847737E-3</v>
      </c>
      <c r="X89" s="1">
        <f t="shared" si="11"/>
        <v>189.67091504747927</v>
      </c>
      <c r="Y89" s="1">
        <f>_xll.PDENSITY($X$89,SimDataScen!$E$9:$E$508,$X$10,$X$11,0)</f>
        <v>1.4533535777172312E-3</v>
      </c>
    </row>
    <row r="90" spans="1:25">
      <c r="A90">
        <v>82</v>
      </c>
      <c r="B90">
        <v>439.57086109363001</v>
      </c>
      <c r="C90">
        <v>354.57641371778811</v>
      </c>
      <c r="D90">
        <v>269.5819663419461</v>
      </c>
      <c r="E90">
        <v>184.5875189661042</v>
      </c>
      <c r="H90">
        <f>SMALL(SimDataScen!$B$9:$B$508,84)</f>
        <v>198.30804454700817</v>
      </c>
      <c r="I90">
        <f>1/(COUNT(SimDataScen!$B$9:$B$508)-1)+$I$89</f>
        <v>0.16633266533066143</v>
      </c>
      <c r="J90">
        <f>SMALL(SimDataScen!$C$9:$C$508,84)</f>
        <v>122.37572742080179</v>
      </c>
      <c r="K90">
        <f>1/(COUNT(SimDataScen!$C$9:$C$508)-1)+$K$89</f>
        <v>0.16633266533066143</v>
      </c>
      <c r="L90">
        <f>SMALL(SimDataScen!$D$9:$D$508,84)</f>
        <v>45.062069025709775</v>
      </c>
      <c r="M90">
        <f>1/(COUNT(SimDataScen!$D$9:$D$508)-1)+$M$89</f>
        <v>0.16633266533066143</v>
      </c>
      <c r="N90">
        <f>SMALL(SimDataScen!$E$9:$E$508,84)</f>
        <v>-31.768670557552468</v>
      </c>
      <c r="O90">
        <f>1/(COUNT(SimDataScen!$E$9:$E$508)-1)+$O$89</f>
        <v>0.16633266533066143</v>
      </c>
      <c r="Q90">
        <v>75</v>
      </c>
      <c r="R90" s="1">
        <f t="shared" si="8"/>
        <v>449.34929427561406</v>
      </c>
      <c r="S90" s="1">
        <f>_xll.PDENSITY($R$90,SimDataScen!$B$9:$B$508,$R$10,$R$11,0)</f>
        <v>1.2192773205391772E-3</v>
      </c>
      <c r="T90" s="1">
        <f t="shared" si="9"/>
        <v>364.36601439571211</v>
      </c>
      <c r="U90" s="1">
        <f>_xll.PDENSITY($T$90,SimDataScen!$C$9:$C$508,$T$10,$T$11,0)</f>
        <v>1.2607651897935228E-3</v>
      </c>
      <c r="V90" s="1">
        <f t="shared" si="10"/>
        <v>279.38273451581006</v>
      </c>
      <c r="W90" s="1">
        <f>_xll.PDENSITY($V$90,SimDataScen!$D$9:$D$508,$V$10,$V$11,0)</f>
        <v>1.3074906329654746E-3</v>
      </c>
      <c r="X90" s="1">
        <f t="shared" si="11"/>
        <v>194.39945463590843</v>
      </c>
      <c r="Y90" s="1">
        <f>_xll.PDENSITY($X$90,SimDataScen!$E$9:$E$508,$X$10,$X$11,0)</f>
        <v>1.3595544068557769E-3</v>
      </c>
    </row>
    <row r="91" spans="1:25">
      <c r="A91">
        <v>83</v>
      </c>
      <c r="B91">
        <v>306.22950231153254</v>
      </c>
      <c r="C91">
        <v>220.80959144212176</v>
      </c>
      <c r="D91">
        <v>135.38968057271089</v>
      </c>
      <c r="E91">
        <v>49.969769703300074</v>
      </c>
      <c r="H91">
        <f>SMALL(SimDataScen!$B$9:$B$508,85)</f>
        <v>198.6679780621773</v>
      </c>
      <c r="I91">
        <f>1/(COUNT(SimDataScen!$B$9:$B$508)-1)+$I$90</f>
        <v>0.1683366733466935</v>
      </c>
      <c r="J91">
        <f>SMALL(SimDataScen!$C$9:$C$508,85)</f>
        <v>122.56491002207264</v>
      </c>
      <c r="K91">
        <f>1/(COUNT(SimDataScen!$C$9:$C$508)-1)+$K$90</f>
        <v>0.1683366733466935</v>
      </c>
      <c r="L91">
        <f>SMALL(SimDataScen!$D$9:$D$508,85)</f>
        <v>46.083476779426277</v>
      </c>
      <c r="M91">
        <f>1/(COUNT(SimDataScen!$D$9:$D$508)-1)+$M$90</f>
        <v>0.1683366733466935</v>
      </c>
      <c r="N91">
        <f>SMALL(SimDataScen!$E$9:$E$508,85)</f>
        <v>-30.208773861949226</v>
      </c>
      <c r="O91">
        <f>1/(COUNT(SimDataScen!$E$9:$E$508)-1)+$O$90</f>
        <v>0.1683366733466935</v>
      </c>
      <c r="Q91">
        <v>76</v>
      </c>
      <c r="R91" s="1">
        <f t="shared" si="8"/>
        <v>454.56238794987524</v>
      </c>
      <c r="S91" s="1">
        <f>_xll.PDENSITY($R$91,SimDataScen!$B$9:$B$508,$R$10,$R$11,0)</f>
        <v>1.1438271044480089E-3</v>
      </c>
      <c r="T91" s="1">
        <f t="shared" si="9"/>
        <v>369.41759004136264</v>
      </c>
      <c r="U91" s="1">
        <f>_xll.PDENSITY($T$91,SimDataScen!$C$9:$C$508,$T$10,$T$11,0)</f>
        <v>1.1805948049020004E-3</v>
      </c>
      <c r="V91" s="1">
        <f t="shared" si="10"/>
        <v>284.27279213284987</v>
      </c>
      <c r="W91" s="1">
        <f>_xll.PDENSITY($V$91,SimDataScen!$D$9:$D$508,$V$10,$V$11,0)</f>
        <v>1.2213127372887899E-3</v>
      </c>
      <c r="X91" s="1">
        <f t="shared" si="11"/>
        <v>199.12799422433758</v>
      </c>
      <c r="Y91" s="1">
        <f>_xll.PDENSITY($X$91,SimDataScen!$E$9:$E$508,$X$10,$X$11,0)</f>
        <v>1.2665985636636649E-3</v>
      </c>
    </row>
    <row r="92" spans="1:25">
      <c r="A92">
        <v>84</v>
      </c>
      <c r="B92">
        <v>304.22928482826529</v>
      </c>
      <c r="C92">
        <v>221.89820236192531</v>
      </c>
      <c r="D92">
        <v>139.56711989558534</v>
      </c>
      <c r="E92">
        <v>57.236037429245357</v>
      </c>
      <c r="H92">
        <f>SMALL(SimDataScen!$B$9:$B$508,86)</f>
        <v>198.79850771814409</v>
      </c>
      <c r="I92">
        <f>1/(COUNT(SimDataScen!$B$9:$B$508)-1)+$I$91</f>
        <v>0.17034068136272557</v>
      </c>
      <c r="J92">
        <f>SMALL(SimDataScen!$C$9:$C$508,86)</f>
        <v>122.57282468506654</v>
      </c>
      <c r="K92">
        <f>1/(COUNT(SimDataScen!$C$9:$C$508)-1)+$K$91</f>
        <v>0.17034068136272557</v>
      </c>
      <c r="L92">
        <f>SMALL(SimDataScen!$D$9:$D$508,86)</f>
        <v>46.684194383516882</v>
      </c>
      <c r="M92">
        <f>1/(COUNT(SimDataScen!$D$9:$D$508)-1)+$M$91</f>
        <v>0.17034068136272557</v>
      </c>
      <c r="N92">
        <f>SMALL(SimDataScen!$E$9:$E$508,86)</f>
        <v>-29.052344525362884</v>
      </c>
      <c r="O92">
        <f>1/(COUNT(SimDataScen!$E$9:$E$508)-1)+$O$91</f>
        <v>0.17034068136272557</v>
      </c>
      <c r="Q92">
        <v>77</v>
      </c>
      <c r="R92" s="1">
        <f t="shared" si="8"/>
        <v>459.77548162413643</v>
      </c>
      <c r="S92" s="1">
        <f>_xll.PDENSITY($R$92,SimDataScen!$B$9:$B$508,$R$10,$R$11,0)</f>
        <v>1.0693367711061463E-3</v>
      </c>
      <c r="T92" s="1">
        <f t="shared" si="9"/>
        <v>374.46916568701317</v>
      </c>
      <c r="U92" s="1">
        <f>_xll.PDENSITY($T$92,SimDataScen!$C$9:$C$508,$T$10,$T$11,0)</f>
        <v>1.1014932987957202E-3</v>
      </c>
      <c r="V92" s="1">
        <f t="shared" si="10"/>
        <v>289.16284974988969</v>
      </c>
      <c r="W92" s="1">
        <f>_xll.PDENSITY($V$92,SimDataScen!$D$9:$D$508,$V$10,$V$11,0)</f>
        <v>1.1366136002149058E-3</v>
      </c>
      <c r="X92" s="1">
        <f t="shared" si="11"/>
        <v>203.85653381276674</v>
      </c>
      <c r="Y92" s="1">
        <f>_xll.PDENSITY($X$92,SimDataScen!$E$9:$E$508,$X$10,$X$11,0)</f>
        <v>1.1755735488750228E-3</v>
      </c>
    </row>
    <row r="93" spans="1:25">
      <c r="A93">
        <v>85</v>
      </c>
      <c r="B93">
        <v>369.62888743140934</v>
      </c>
      <c r="C93">
        <v>288.79131026655517</v>
      </c>
      <c r="D93">
        <v>207.953733101701</v>
      </c>
      <c r="E93">
        <v>127.11615593684684</v>
      </c>
      <c r="H93">
        <f>SMALL(SimDataScen!$B$9:$B$508,87)</f>
        <v>199.57144552392597</v>
      </c>
      <c r="I93">
        <f>1/(COUNT(SimDataScen!$B$9:$B$508)-1)+$I$92</f>
        <v>0.17234468937875763</v>
      </c>
      <c r="J93">
        <f>SMALL(SimDataScen!$C$9:$C$508,87)</f>
        <v>122.77970684351207</v>
      </c>
      <c r="K93">
        <f>1/(COUNT(SimDataScen!$C$9:$C$508)-1)+$K$92</f>
        <v>0.17234468937875763</v>
      </c>
      <c r="L93">
        <f>SMALL(SimDataScen!$D$9:$D$508,87)</f>
        <v>46.873130859970843</v>
      </c>
      <c r="M93">
        <f>1/(COUNT(SimDataScen!$D$9:$D$508)-1)+$M$92</f>
        <v>0.17234468937875763</v>
      </c>
      <c r="N93">
        <f>SMALL(SimDataScen!$E$9:$E$508,87)</f>
        <v>-28.65602323849734</v>
      </c>
      <c r="O93">
        <f>1/(COUNT(SimDataScen!$E$9:$E$508)-1)+$O$92</f>
        <v>0.17234468937875763</v>
      </c>
      <c r="Q93">
        <v>78</v>
      </c>
      <c r="R93" s="1">
        <f t="shared" si="8"/>
        <v>464.98857529839762</v>
      </c>
      <c r="S93" s="1">
        <f>_xll.PDENSITY($R$93,SimDataScen!$B$9:$B$508,$R$10,$R$11,0)</f>
        <v>9.9610844889342059E-4</v>
      </c>
      <c r="T93" s="1">
        <f t="shared" si="9"/>
        <v>379.5207413326637</v>
      </c>
      <c r="U93" s="1">
        <f>_xll.PDENSITY($T$93,SimDataScen!$C$9:$C$508,$T$10,$T$11,0)</f>
        <v>1.0239416312246934E-3</v>
      </c>
      <c r="V93" s="1">
        <f t="shared" si="10"/>
        <v>294.0529073669295</v>
      </c>
      <c r="W93" s="1">
        <f>_xll.PDENSITY($V$93,SimDataScen!$D$9:$D$508,$V$10,$V$11,0)</f>
        <v>1.0540119476307416E-3</v>
      </c>
      <c r="X93" s="1">
        <f t="shared" si="11"/>
        <v>208.5850734011959</v>
      </c>
      <c r="Y93" s="1">
        <f>_xll.PDENSITY($X$93,SimDataScen!$E$9:$E$508,$X$10,$X$11,0)</f>
        <v>1.0871479202338274E-3</v>
      </c>
    </row>
    <row r="94" spans="1:25">
      <c r="A94">
        <v>86</v>
      </c>
      <c r="B94">
        <v>262.7928074022675</v>
      </c>
      <c r="C94">
        <v>186.27083149788251</v>
      </c>
      <c r="D94">
        <v>109.74885559349752</v>
      </c>
      <c r="E94">
        <v>33.226879689112536</v>
      </c>
      <c r="H94">
        <f>SMALL(SimDataScen!$B$9:$B$508,88)</f>
        <v>200.00524409314633</v>
      </c>
      <c r="I94">
        <f>1/(COUNT(SimDataScen!$B$9:$B$508)-1)+$I$93</f>
        <v>0.1743486973947897</v>
      </c>
      <c r="J94">
        <f>SMALL(SimDataScen!$C$9:$C$508,88)</f>
        <v>122.80478343690748</v>
      </c>
      <c r="K94">
        <f>1/(COUNT(SimDataScen!$C$9:$C$508)-1)+$K$93</f>
        <v>0.1743486973947897</v>
      </c>
      <c r="L94">
        <f>SMALL(SimDataScen!$D$9:$D$508,88)</f>
        <v>47.901672932219356</v>
      </c>
      <c r="M94">
        <f>1/(COUNT(SimDataScen!$D$9:$D$508)-1)+$M$93</f>
        <v>0.1743486973947897</v>
      </c>
      <c r="N94">
        <f>SMALL(SimDataScen!$E$9:$E$508,88)</f>
        <v>-28.33494430597824</v>
      </c>
      <c r="O94">
        <f>1/(COUNT(SimDataScen!$E$9:$E$508)-1)+$O$93</f>
        <v>0.1743486973947897</v>
      </c>
      <c r="Q94">
        <v>79</v>
      </c>
      <c r="R94" s="1">
        <f t="shared" si="8"/>
        <v>470.20166897265881</v>
      </c>
      <c r="S94" s="1">
        <f>_xll.PDENSITY($R$94,SimDataScen!$B$9:$B$508,$R$10,$R$11,0)</f>
        <v>9.2433553849237632E-4</v>
      </c>
      <c r="T94" s="1">
        <f t="shared" si="9"/>
        <v>384.57231697831423</v>
      </c>
      <c r="U94" s="1">
        <f>_xll.PDENSITY($T$94,SimDataScen!$C$9:$C$508,$T$10,$T$11,0)</f>
        <v>9.4820513151040221E-4</v>
      </c>
      <c r="V94" s="1">
        <f t="shared" si="10"/>
        <v>298.94296498396932</v>
      </c>
      <c r="W94" s="1">
        <f>_xll.PDENSITY($V$94,SimDataScen!$D$9:$D$508,$V$10,$V$11,0)</f>
        <v>9.7375838992198654E-4</v>
      </c>
      <c r="X94" s="1">
        <f t="shared" si="11"/>
        <v>213.31361298962506</v>
      </c>
      <c r="Y94" s="1">
        <f>_xll.PDENSITY($X$94,SimDataScen!$E$9:$E$508,$X$10,$X$11,0)</f>
        <v>1.0015449191149786E-3</v>
      </c>
    </row>
    <row r="95" spans="1:25">
      <c r="A95">
        <v>87</v>
      </c>
      <c r="B95">
        <v>226.20615560520275</v>
      </c>
      <c r="C95">
        <v>149.11841921586125</v>
      </c>
      <c r="D95">
        <v>72.030682826519751</v>
      </c>
      <c r="E95">
        <v>-5.0570535628217499</v>
      </c>
      <c r="H95">
        <f>SMALL(SimDataScen!$B$9:$B$508,89)</f>
        <v>201.73785772483583</v>
      </c>
      <c r="I95">
        <f>1/(COUNT(SimDataScen!$B$9:$B$508)-1)+$I$94</f>
        <v>0.17635270541082176</v>
      </c>
      <c r="J95">
        <f>SMALL(SimDataScen!$C$9:$C$508,89)</f>
        <v>124.01020496616155</v>
      </c>
      <c r="K95">
        <f>1/(COUNT(SimDataScen!$C$9:$C$508)-1)+$K$94</f>
        <v>0.17635270541082176</v>
      </c>
      <c r="L95">
        <f>SMALL(SimDataScen!$D$9:$D$508,89)</f>
        <v>48.227263647442811</v>
      </c>
      <c r="M95">
        <f>1/(COUNT(SimDataScen!$D$9:$D$508)-1)+$M$94</f>
        <v>0.17635270541082176</v>
      </c>
      <c r="N95">
        <f>SMALL(SimDataScen!$E$9:$E$508,89)</f>
        <v>-27.906924384084476</v>
      </c>
      <c r="O95">
        <f>1/(COUNT(SimDataScen!$E$9:$E$508)-1)+$O$94</f>
        <v>0.17635270541082176</v>
      </c>
      <c r="Q95">
        <v>80</v>
      </c>
      <c r="R95" s="1">
        <f t="shared" si="8"/>
        <v>475.41476264692</v>
      </c>
      <c r="S95" s="1">
        <f>_xll.PDENSITY($R$95,SimDataScen!$B$9:$B$508,$R$10,$R$11,0)</f>
        <v>8.5410064135320416E-4</v>
      </c>
      <c r="T95" s="1">
        <f t="shared" si="9"/>
        <v>389.62389262396476</v>
      </c>
      <c r="U95" s="1">
        <f>_xll.PDENSITY($T$95,SimDataScen!$C$9:$C$508,$T$10,$T$11,0)</f>
        <v>8.7432895825736328E-4</v>
      </c>
      <c r="V95" s="1">
        <f t="shared" si="10"/>
        <v>303.83302260100913</v>
      </c>
      <c r="W95" s="1">
        <f>_xll.PDENSITY($V$95,SimDataScen!$D$9:$D$508,$V$10,$V$11,0)</f>
        <v>8.9576442420617459E-4</v>
      </c>
      <c r="X95" s="1">
        <f t="shared" si="11"/>
        <v>218.04215257805421</v>
      </c>
      <c r="Y95" s="1">
        <f>_xll.PDENSITY($X$95,SimDataScen!$E$9:$E$508,$X$10,$X$11,0)</f>
        <v>9.1861977423995445E-4</v>
      </c>
    </row>
    <row r="96" spans="1:25">
      <c r="A96">
        <v>88</v>
      </c>
      <c r="B96">
        <v>337.25005052298314</v>
      </c>
      <c r="C96">
        <v>249.74262679027254</v>
      </c>
      <c r="D96">
        <v>162.23520305756196</v>
      </c>
      <c r="E96">
        <v>74.727779324851383</v>
      </c>
      <c r="H96">
        <f>SMALL(SimDataScen!$B$9:$B$508,90)</f>
        <v>203.18904968410681</v>
      </c>
      <c r="I96">
        <f>1/(COUNT(SimDataScen!$B$9:$B$508)-1)+$I$95</f>
        <v>0.17835671342685383</v>
      </c>
      <c r="J96">
        <f>SMALL(SimDataScen!$C$9:$C$508,90)</f>
        <v>124.44100051404567</v>
      </c>
      <c r="K96">
        <f>1/(COUNT(SimDataScen!$C$9:$C$508)-1)+$K$95</f>
        <v>0.17835671342685383</v>
      </c>
      <c r="L96">
        <f>SMALL(SimDataScen!$D$9:$D$508,90)</f>
        <v>48.273787988597633</v>
      </c>
      <c r="M96">
        <f>1/(COUNT(SimDataScen!$D$9:$D$508)-1)+$M$95</f>
        <v>0.17835671342685383</v>
      </c>
      <c r="N96">
        <f>SMALL(SimDataScen!$E$9:$E$508,90)</f>
        <v>-27.573667869371576</v>
      </c>
      <c r="O96">
        <f>1/(COUNT(SimDataScen!$E$9:$E$508)-1)+$O$95</f>
        <v>0.17835671342685383</v>
      </c>
      <c r="Q96">
        <v>81</v>
      </c>
      <c r="R96" s="1">
        <f t="shared" si="8"/>
        <v>480.62785632118118</v>
      </c>
      <c r="S96" s="1">
        <f>_xll.PDENSITY($R$96,SimDataScen!$B$9:$B$508,$R$10,$R$11,0)</f>
        <v>7.8540402198453579E-4</v>
      </c>
      <c r="T96" s="1">
        <f t="shared" si="9"/>
        <v>394.67546826961529</v>
      </c>
      <c r="U96" s="1">
        <f>_xll.PDENSITY($T$96,SimDataScen!$C$9:$C$508,$T$10,$T$11,0)</f>
        <v>8.0219865240821627E-4</v>
      </c>
      <c r="V96" s="1">
        <f t="shared" si="10"/>
        <v>308.72308021804895</v>
      </c>
      <c r="W96" s="1">
        <f>_xll.PDENSITY($V$96,SimDataScen!$D$9:$D$508,$V$10,$V$11,0)</f>
        <v>8.197272075158177E-4</v>
      </c>
      <c r="X96" s="1">
        <f t="shared" si="11"/>
        <v>222.77069216648337</v>
      </c>
      <c r="Y96" s="1">
        <f>_xll.PDENSITY($X$96,SimDataScen!$E$9:$E$508,$X$10,$X$11,0)</f>
        <v>8.3802508586497762E-4</v>
      </c>
    </row>
    <row r="97" spans="1:25">
      <c r="A97">
        <v>89</v>
      </c>
      <c r="B97">
        <v>211.24316709322665</v>
      </c>
      <c r="C97">
        <v>133.69961414819619</v>
      </c>
      <c r="D97">
        <v>56.156061203165748</v>
      </c>
      <c r="E97">
        <v>-21.387491741864693</v>
      </c>
      <c r="H97">
        <f>SMALL(SimDataScen!$B$9:$B$508,91)</f>
        <v>203.6343884100917</v>
      </c>
      <c r="I97">
        <f>1/(COUNT(SimDataScen!$B$9:$B$508)-1)+$I$96</f>
        <v>0.1803607214428859</v>
      </c>
      <c r="J97">
        <f>SMALL(SimDataScen!$C$9:$C$508,91)</f>
        <v>125.51149738665947</v>
      </c>
      <c r="K97">
        <f>1/(COUNT(SimDataScen!$C$9:$C$508)-1)+$K$96</f>
        <v>0.1803607214428859</v>
      </c>
      <c r="L97">
        <f>SMALL(SimDataScen!$D$9:$D$508,91)</f>
        <v>49.414830247244254</v>
      </c>
      <c r="M97">
        <f>1/(COUNT(SimDataScen!$D$9:$D$508)-1)+$M$96</f>
        <v>0.1803607214428859</v>
      </c>
      <c r="N97">
        <f>SMALL(SimDataScen!$E$9:$E$508,91)</f>
        <v>-27.500839263495834</v>
      </c>
      <c r="O97">
        <f>1/(COUNT(SimDataScen!$E$9:$E$508)-1)+$O$96</f>
        <v>0.1803607214428859</v>
      </c>
      <c r="Q97">
        <v>82</v>
      </c>
      <c r="R97" s="1">
        <f t="shared" si="8"/>
        <v>485.84094999544237</v>
      </c>
      <c r="S97" s="1">
        <f>_xll.PDENSITY($R$97,SimDataScen!$B$9:$B$508,$R$10,$R$11,0)</f>
        <v>7.1822191686850929E-4</v>
      </c>
      <c r="T97" s="1">
        <f t="shared" si="9"/>
        <v>399.72704391526582</v>
      </c>
      <c r="U97" s="1">
        <f>_xll.PDENSITY($T$97,SimDataScen!$C$9:$C$508,$T$10,$T$11,0)</f>
        <v>7.316525046213644E-4</v>
      </c>
      <c r="V97" s="1">
        <f t="shared" si="10"/>
        <v>313.61313783508876</v>
      </c>
      <c r="W97" s="1">
        <f>_xll.PDENSITY($V$97,SimDataScen!$D$9:$D$508,$V$10,$V$11,0)</f>
        <v>7.4531589581594321E-4</v>
      </c>
      <c r="X97" s="1">
        <f t="shared" si="11"/>
        <v>227.49923175491253</v>
      </c>
      <c r="Y97" s="1">
        <f>_xll.PDENSITY($X$97,SimDataScen!$E$9:$E$508,$X$10,$X$11,0)</f>
        <v>7.5942082661852517E-4</v>
      </c>
    </row>
    <row r="98" spans="1:25">
      <c r="A98">
        <v>90</v>
      </c>
      <c r="B98">
        <v>501.3181090360319</v>
      </c>
      <c r="C98">
        <v>416.64521973587171</v>
      </c>
      <c r="D98">
        <v>331.97233043571157</v>
      </c>
      <c r="E98">
        <v>247.2994411355514</v>
      </c>
      <c r="H98">
        <f>SMALL(SimDataScen!$B$9:$B$508,92)</f>
        <v>205.68746222074046</v>
      </c>
      <c r="I98">
        <f>1/(COUNT(SimDataScen!$B$9:$B$508)-1)+$I$97</f>
        <v>0.18236472945891796</v>
      </c>
      <c r="J98">
        <f>SMALL(SimDataScen!$C$9:$C$508,92)</f>
        <v>127.6636211124568</v>
      </c>
      <c r="K98">
        <f>1/(COUNT(SimDataScen!$C$9:$C$508)-1)+$K$97</f>
        <v>0.18236472945891796</v>
      </c>
      <c r="L98">
        <f>SMALL(SimDataScen!$D$9:$D$508,92)</f>
        <v>50.545616707435329</v>
      </c>
      <c r="M98">
        <f>1/(COUNT(SimDataScen!$D$9:$D$508)-1)+$M$97</f>
        <v>0.18236472945891796</v>
      </c>
      <c r="N98">
        <f>SMALL(SimDataScen!$E$9:$E$508,92)</f>
        <v>-26.110382727187002</v>
      </c>
      <c r="O98">
        <f>1/(COUNT(SimDataScen!$E$9:$E$508)-1)+$O$97</f>
        <v>0.18236472945891796</v>
      </c>
      <c r="Q98">
        <v>83</v>
      </c>
      <c r="R98" s="1">
        <f t="shared" si="8"/>
        <v>491.05404366970356</v>
      </c>
      <c r="S98" s="1">
        <f>_xll.PDENSITY($R$98,SimDataScen!$B$9:$B$508,$R$10,$R$11,0)</f>
        <v>6.5258185867049425E-4</v>
      </c>
      <c r="T98" s="1">
        <f t="shared" si="9"/>
        <v>404.77861956091635</v>
      </c>
      <c r="U98" s="1">
        <f>_xll.PDENSITY($T$98,SimDataScen!$C$9:$C$508,$T$10,$T$11,0)</f>
        <v>6.6261432361017203E-4</v>
      </c>
      <c r="V98" s="1">
        <f t="shared" si="10"/>
        <v>318.50319545212858</v>
      </c>
      <c r="W98" s="1">
        <f>_xll.PDENSITY($V$98,SimDataScen!$D$9:$D$508,$V$10,$V$11,0)</f>
        <v>6.7236554137366049E-4</v>
      </c>
      <c r="X98" s="1">
        <f t="shared" si="11"/>
        <v>232.22777134334169</v>
      </c>
      <c r="Y98" s="1">
        <f>_xll.PDENSITY($X$98,SimDataScen!$E$9:$E$508,$X$10,$X$11,0)</f>
        <v>6.826721744272753E-4</v>
      </c>
    </row>
    <row r="99" spans="1:25">
      <c r="A99">
        <v>91</v>
      </c>
      <c r="B99">
        <v>315.72958078405458</v>
      </c>
      <c r="C99">
        <v>238.67598103925155</v>
      </c>
      <c r="D99">
        <v>161.62238129444853</v>
      </c>
      <c r="E99">
        <v>84.568781549645479</v>
      </c>
      <c r="H99">
        <f>SMALL(SimDataScen!$B$9:$B$508,93)</f>
        <v>206.09748553585342</v>
      </c>
      <c r="I99">
        <f>1/(COUNT(SimDataScen!$B$9:$B$508)-1)+$I$98</f>
        <v>0.18436873747495003</v>
      </c>
      <c r="J99">
        <f>SMALL(SimDataScen!$C$9:$C$508,93)</f>
        <v>128.31624653474773</v>
      </c>
      <c r="K99">
        <f>1/(COUNT(SimDataScen!$C$9:$C$508)-1)+$K$98</f>
        <v>0.18436873747495003</v>
      </c>
      <c r="L99">
        <f>SMALL(SimDataScen!$D$9:$D$508,93)</f>
        <v>51.519303453056992</v>
      </c>
      <c r="M99">
        <f>1/(COUNT(SimDataScen!$D$9:$D$508)-1)+$M$98</f>
        <v>0.18436873747495003</v>
      </c>
      <c r="N99">
        <f>SMALL(SimDataScen!$E$9:$E$508,93)</f>
        <v>-24.771159371206181</v>
      </c>
      <c r="O99">
        <f>1/(COUNT(SimDataScen!$E$9:$E$508)-1)+$O$98</f>
        <v>0.18436873747495003</v>
      </c>
      <c r="Q99">
        <v>84</v>
      </c>
      <c r="R99" s="1">
        <f t="shared" si="8"/>
        <v>496.26713734396475</v>
      </c>
      <c r="S99" s="1">
        <f>_xll.PDENSITY($R$99,SimDataScen!$B$9:$B$508,$R$10,$R$11,0)</f>
        <v>5.8863357782351145E-4</v>
      </c>
      <c r="T99" s="1">
        <f t="shared" si="9"/>
        <v>409.83019520656688</v>
      </c>
      <c r="U99" s="1">
        <f>_xll.PDENSITY($T$99,SimDataScen!$C$9:$C$508,$T$10,$T$11,0)</f>
        <v>5.9520737731967198E-4</v>
      </c>
      <c r="V99" s="1">
        <f t="shared" si="10"/>
        <v>323.3932530691684</v>
      </c>
      <c r="W99" s="1">
        <f>_xll.PDENSITY($V$99,SimDataScen!$D$9:$D$508,$V$10,$V$11,0)</f>
        <v>6.0102293253882599E-4</v>
      </c>
      <c r="X99" s="1">
        <f t="shared" si="11"/>
        <v>236.95631093177084</v>
      </c>
      <c r="Y99" s="1">
        <f>_xll.PDENSITY($X$99,SimDataScen!$E$9:$E$508,$X$10,$X$11,0)</f>
        <v>6.0798340937011581E-4</v>
      </c>
    </row>
    <row r="100" spans="1:25">
      <c r="A100">
        <v>92</v>
      </c>
      <c r="B100">
        <v>282.52686329123929</v>
      </c>
      <c r="C100">
        <v>198.53856813591278</v>
      </c>
      <c r="D100">
        <v>114.55027298058624</v>
      </c>
      <c r="E100">
        <v>30.561977825259731</v>
      </c>
      <c r="H100">
        <f>SMALL(SimDataScen!$B$9:$B$508,94)</f>
        <v>206.28731162556042</v>
      </c>
      <c r="I100">
        <f>1/(COUNT(SimDataScen!$B$9:$B$508)-1)+$I$99</f>
        <v>0.18637274549098209</v>
      </c>
      <c r="J100">
        <f>SMALL(SimDataScen!$C$9:$C$508,94)</f>
        <v>128.31903422974042</v>
      </c>
      <c r="K100">
        <f>1/(COUNT(SimDataScen!$C$9:$C$508)-1)+$K$99</f>
        <v>0.18637274549098209</v>
      </c>
      <c r="L100">
        <f>SMALL(SimDataScen!$D$9:$D$508,94)</f>
        <v>52.71945890731665</v>
      </c>
      <c r="M100">
        <f>1/(COUNT(SimDataScen!$D$9:$D$508)-1)+$M$99</f>
        <v>0.18637274549098209</v>
      </c>
      <c r="N100">
        <f>SMALL(SimDataScen!$E$9:$E$508,94)</f>
        <v>-24.40469999004759</v>
      </c>
      <c r="O100">
        <f>1/(COUNT(SimDataScen!$E$9:$E$508)-1)+$O$99</f>
        <v>0.18637274549098209</v>
      </c>
      <c r="Q100">
        <v>85</v>
      </c>
      <c r="R100" s="1">
        <f t="shared" si="8"/>
        <v>501.48023101822594</v>
      </c>
      <c r="S100" s="1">
        <f>_xll.PDENSITY($R$100,SimDataScen!$B$9:$B$508,$R$10,$R$11,0)</f>
        <v>5.2669280312408833E-4</v>
      </c>
      <c r="T100" s="1">
        <f t="shared" si="9"/>
        <v>414.88177085221741</v>
      </c>
      <c r="U100" s="1">
        <f>_xll.PDENSITY($T$100,SimDataScen!$C$9:$C$508,$T$10,$T$11,0)</f>
        <v>5.2981535432143991E-4</v>
      </c>
      <c r="V100" s="1">
        <f t="shared" si="10"/>
        <v>328.28331068620821</v>
      </c>
      <c r="W100" s="1">
        <f>_xll.PDENSITY($V$100,SimDataScen!$D$9:$D$508,$V$10,$V$11,0)</f>
        <v>5.3180454211112062E-4</v>
      </c>
      <c r="X100" s="1">
        <f t="shared" si="11"/>
        <v>241.6848505202</v>
      </c>
      <c r="Y100" s="1">
        <f>_xll.PDENSITY($X$100,SimDataScen!$E$9:$E$508,$X$10,$X$11,0)</f>
        <v>5.3593614246397539E-4</v>
      </c>
    </row>
    <row r="101" spans="1:25">
      <c r="A101">
        <v>93</v>
      </c>
      <c r="B101">
        <v>413.77377177369772</v>
      </c>
      <c r="C101">
        <v>326.43781085165932</v>
      </c>
      <c r="D101">
        <v>239.10184992962087</v>
      </c>
      <c r="E101">
        <v>151.76588900758244</v>
      </c>
      <c r="H101">
        <f>SMALL(SimDataScen!$B$9:$B$508,95)</f>
        <v>206.70752193603829</v>
      </c>
      <c r="I101">
        <f>1/(COUNT(SimDataScen!$B$9:$B$508)-1)+$I$100</f>
        <v>0.18837675350701416</v>
      </c>
      <c r="J101">
        <f>SMALL(SimDataScen!$C$9:$C$508,95)</f>
        <v>128.90100610650862</v>
      </c>
      <c r="K101">
        <f>1/(COUNT(SimDataScen!$C$9:$C$508)-1)+$K$100</f>
        <v>0.18837675350701416</v>
      </c>
      <c r="L101">
        <f>SMALL(SimDataScen!$D$9:$D$508,95)</f>
        <v>53.489158985850111</v>
      </c>
      <c r="M101">
        <f>1/(COUNT(SimDataScen!$D$9:$D$508)-1)+$M$100</f>
        <v>0.18837675350701416</v>
      </c>
      <c r="N101">
        <f>SMALL(SimDataScen!$E$9:$E$508,95)</f>
        <v>-23.975122942418949</v>
      </c>
      <c r="O101">
        <f>1/(COUNT(SimDataScen!$E$9:$E$508)-1)+$O$100</f>
        <v>0.18837675350701416</v>
      </c>
      <c r="Q101">
        <v>86</v>
      </c>
      <c r="R101" s="1">
        <f t="shared" si="8"/>
        <v>506.69332469248712</v>
      </c>
      <c r="S101" s="1">
        <f>_xll.PDENSITY($R$101,SimDataScen!$B$9:$B$508,$R$10,$R$11,0)</f>
        <v>4.6724226266623044E-4</v>
      </c>
      <c r="T101" s="1">
        <f t="shared" si="9"/>
        <v>419.93334649786794</v>
      </c>
      <c r="U101" s="1">
        <f>_xll.PDENSITY($T$101,SimDataScen!$C$9:$C$508,$T$10,$T$11,0)</f>
        <v>4.6707208329658617E-4</v>
      </c>
      <c r="V101" s="1">
        <f t="shared" si="10"/>
        <v>333.17336830324803</v>
      </c>
      <c r="W101" s="1">
        <f>_xll.PDENSITY($V$101,SimDataScen!$D$9:$D$508,$V$10,$V$11,0)</f>
        <v>4.6555336903178544E-4</v>
      </c>
      <c r="X101" s="1">
        <f t="shared" si="11"/>
        <v>246.41339010862916</v>
      </c>
      <c r="Y101" s="1">
        <f>_xll.PDENSITY($X$101,SimDataScen!$E$9:$E$508,$X$10,$X$11,0)</f>
        <v>4.6742723932512403E-4</v>
      </c>
    </row>
    <row r="102" spans="1:25">
      <c r="A102">
        <v>94</v>
      </c>
      <c r="B102">
        <v>275.73613838529963</v>
      </c>
      <c r="C102">
        <v>201.29550920148824</v>
      </c>
      <c r="D102">
        <v>126.85488001767683</v>
      </c>
      <c r="E102">
        <v>52.414250833865452</v>
      </c>
      <c r="H102">
        <f>SMALL(SimDataScen!$B$9:$B$508,96)</f>
        <v>207.51037059722412</v>
      </c>
      <c r="I102">
        <f>1/(COUNT(SimDataScen!$B$9:$B$508)-1)+$I$101</f>
        <v>0.19038076152304623</v>
      </c>
      <c r="J102">
        <f>SMALL(SimDataScen!$C$9:$C$508,96)</f>
        <v>130.49971702740407</v>
      </c>
      <c r="K102">
        <f>1/(COUNT(SimDataScen!$C$9:$C$508)-1)+$K$101</f>
        <v>0.19038076152304623</v>
      </c>
      <c r="L102">
        <f>SMALL(SimDataScen!$D$9:$D$508,96)</f>
        <v>54.370307774753883</v>
      </c>
      <c r="M102">
        <f>1/(COUNT(SimDataScen!$D$9:$D$508)-1)+$M$101</f>
        <v>0.19038076152304623</v>
      </c>
      <c r="N102">
        <f>SMALL(SimDataScen!$E$9:$E$508,96)</f>
        <v>-22.918971551290866</v>
      </c>
      <c r="O102">
        <f>1/(COUNT(SimDataScen!$E$9:$E$508)-1)+$O$101</f>
        <v>0.19038076152304623</v>
      </c>
      <c r="Q102">
        <v>87</v>
      </c>
      <c r="R102" s="1">
        <f t="shared" si="8"/>
        <v>511.90641836674831</v>
      </c>
      <c r="S102" s="1">
        <f>_xll.PDENSITY($R$102,SimDataScen!$B$9:$B$508,$R$10,$R$11,0)</f>
        <v>4.108868479629407E-4</v>
      </c>
      <c r="T102" s="1">
        <f t="shared" si="9"/>
        <v>424.98492214351847</v>
      </c>
      <c r="U102" s="1">
        <f>_xll.PDENSITY($T$102,SimDataScen!$C$9:$C$508,$T$10,$T$11,0)</f>
        <v>4.077826982226528E-4</v>
      </c>
      <c r="V102" s="1">
        <f t="shared" si="10"/>
        <v>338.06342592028784</v>
      </c>
      <c r="W102" s="1">
        <f>_xll.PDENSITY($V$102,SimDataScen!$D$9:$D$508,$V$10,$V$11,0)</f>
        <v>4.0330964636475233E-4</v>
      </c>
      <c r="X102" s="1">
        <f t="shared" si="11"/>
        <v>251.14192969705832</v>
      </c>
      <c r="Y102" s="1">
        <f>_xll.PDENSITY($X$102,SimDataScen!$E$9:$E$508,$X$10,$X$11,0)</f>
        <v>4.0352707448814822E-4</v>
      </c>
    </row>
    <row r="103" spans="1:25">
      <c r="A103">
        <v>95</v>
      </c>
      <c r="B103">
        <v>445.39934415757648</v>
      </c>
      <c r="C103">
        <v>356.83501630980072</v>
      </c>
      <c r="D103">
        <v>268.27068846202491</v>
      </c>
      <c r="E103">
        <v>179.70636061424912</v>
      </c>
      <c r="H103">
        <f>SMALL(SimDataScen!$B$9:$B$508,97)</f>
        <v>208.35870508089783</v>
      </c>
      <c r="I103">
        <f>1/(COUNT(SimDataScen!$B$9:$B$508)-1)+$I$102</f>
        <v>0.19238476953907829</v>
      </c>
      <c r="J103">
        <f>SMALL(SimDataScen!$C$9:$C$508,97)</f>
        <v>131.56880721191268</v>
      </c>
      <c r="K103">
        <f>1/(COUNT(SimDataScen!$C$9:$C$508)-1)+$K$102</f>
        <v>0.19238476953907829</v>
      </c>
      <c r="L103">
        <f>SMALL(SimDataScen!$D$9:$D$508,97)</f>
        <v>55.021881992593791</v>
      </c>
      <c r="M103">
        <f>1/(COUNT(SimDataScen!$D$9:$D$508)-1)+$M$102</f>
        <v>0.19238476953907829</v>
      </c>
      <c r="N103">
        <f>SMALL(SimDataScen!$E$9:$E$508,97)</f>
        <v>-22.285653426118728</v>
      </c>
      <c r="O103">
        <f>1/(COUNT(SimDataScen!$E$9:$E$508)-1)+$O$102</f>
        <v>0.19238476953907829</v>
      </c>
      <c r="Q103">
        <v>88</v>
      </c>
      <c r="R103" s="1">
        <f t="shared" si="8"/>
        <v>517.11951204100944</v>
      </c>
      <c r="S103" s="1">
        <f>_xll.PDENSITY($R$103,SimDataScen!$B$9:$B$508,$R$10,$R$11,0)</f>
        <v>3.5827346386493078E-4</v>
      </c>
      <c r="T103" s="1">
        <f t="shared" si="9"/>
        <v>430.036497789169</v>
      </c>
      <c r="U103" s="1">
        <f>_xll.PDENSITY($T$103,SimDataScen!$C$9:$C$508,$T$10,$T$11,0)</f>
        <v>3.5279781618751966E-4</v>
      </c>
      <c r="V103" s="1">
        <f t="shared" si="10"/>
        <v>342.95348353732766</v>
      </c>
      <c r="W103" s="1">
        <f>_xll.PDENSITY($V$103,SimDataScen!$D$9:$D$508,$V$10,$V$11,0)</f>
        <v>3.4613159662499324E-4</v>
      </c>
      <c r="X103" s="1">
        <f t="shared" si="11"/>
        <v>255.87046928548747</v>
      </c>
      <c r="Y103" s="1">
        <f>_xll.PDENSITY($X$103,SimDataScen!$E$9:$E$508,$X$10,$X$11,0)</f>
        <v>3.4529554619033116E-4</v>
      </c>
    </row>
    <row r="104" spans="1:25">
      <c r="A104">
        <v>96</v>
      </c>
      <c r="B104">
        <v>349.13519666666372</v>
      </c>
      <c r="C104">
        <v>261.864320399554</v>
      </c>
      <c r="D104">
        <v>174.59344413244423</v>
      </c>
      <c r="E104">
        <v>87.322567865334491</v>
      </c>
      <c r="H104">
        <f>SMALL(SimDataScen!$B$9:$B$508,98)</f>
        <v>208.7192531556671</v>
      </c>
      <c r="I104">
        <f>1/(COUNT(SimDataScen!$B$9:$B$508)-1)+$I$103</f>
        <v>0.19438877755511036</v>
      </c>
      <c r="J104">
        <f>SMALL(SimDataScen!$C$9:$C$508,98)</f>
        <v>132.09095143147687</v>
      </c>
      <c r="K104">
        <f>1/(COUNT(SimDataScen!$C$9:$C$508)-1)+$K$103</f>
        <v>0.19438877755511036</v>
      </c>
      <c r="L104">
        <f>SMALL(SimDataScen!$D$9:$D$508,98)</f>
        <v>55.321998131767245</v>
      </c>
      <c r="M104">
        <f>1/(COUNT(SimDataScen!$D$9:$D$508)-1)+$M$103</f>
        <v>0.19438877755511036</v>
      </c>
      <c r="N104">
        <f>SMALL(SimDataScen!$E$9:$E$508,98)</f>
        <v>-21.387491741864693</v>
      </c>
      <c r="O104">
        <f>1/(COUNT(SimDataScen!$E$9:$E$508)-1)+$O$103</f>
        <v>0.19438877755511036</v>
      </c>
      <c r="Q104">
        <v>89</v>
      </c>
      <c r="R104" s="1">
        <f t="shared" si="8"/>
        <v>522.33260571527057</v>
      </c>
      <c r="S104" s="1">
        <f>_xll.PDENSITY($R$104,SimDataScen!$B$9:$B$508,$R$10,$R$11,0)</f>
        <v>3.0999564477184115E-4</v>
      </c>
      <c r="T104" s="1">
        <f t="shared" si="9"/>
        <v>435.08807343481953</v>
      </c>
      <c r="U104" s="1">
        <f>_xll.PDENSITY($T$104,SimDataScen!$C$9:$C$508,$T$10,$T$11,0)</f>
        <v>3.0287328071551951E-4</v>
      </c>
      <c r="V104" s="1">
        <f t="shared" si="10"/>
        <v>347.84354115436747</v>
      </c>
      <c r="W104" s="1">
        <f>_xll.PDENSITY($V$104,SimDataScen!$D$9:$D$508,$V$10,$V$11,0)</f>
        <v>2.9491140991380995E-4</v>
      </c>
      <c r="X104" s="1">
        <f t="shared" si="11"/>
        <v>260.59900887391666</v>
      </c>
      <c r="Y104" s="1">
        <f>_xll.PDENSITY($X$104,SimDataScen!$E$9:$E$508,$X$10,$X$11,0)</f>
        <v>2.9359868635924163E-4</v>
      </c>
    </row>
    <row r="105" spans="1:25">
      <c r="A105">
        <v>97</v>
      </c>
      <c r="B105">
        <v>214.91088130379424</v>
      </c>
      <c r="C105">
        <v>144.18278649598869</v>
      </c>
      <c r="D105">
        <v>73.454691688183118</v>
      </c>
      <c r="E105">
        <v>2.7265968803775564</v>
      </c>
      <c r="H105">
        <f>SMALL(SimDataScen!$B$9:$B$508,99)</f>
        <v>209.63695283001886</v>
      </c>
      <c r="I105">
        <f>1/(COUNT(SimDataScen!$B$9:$B$508)-1)+$I$104</f>
        <v>0.19639278557114243</v>
      </c>
      <c r="J105">
        <f>SMALL(SimDataScen!$C$9:$C$508,99)</f>
        <v>132.32941741130634</v>
      </c>
      <c r="K105">
        <f>1/(COUNT(SimDataScen!$C$9:$C$508)-1)+$K$104</f>
        <v>0.19639278557114243</v>
      </c>
      <c r="L105">
        <f>SMALL(SimDataScen!$D$9:$D$508,99)</f>
        <v>55.590881099710458</v>
      </c>
      <c r="M105">
        <f>1/(COUNT(SimDataScen!$D$9:$D$508)-1)+$M$104</f>
        <v>0.19639278557114243</v>
      </c>
      <c r="N105">
        <f>SMALL(SimDataScen!$E$9:$E$508,99)</f>
        <v>-21.22330430832713</v>
      </c>
      <c r="O105">
        <f>1/(COUNT(SimDataScen!$E$9:$E$508)-1)+$O$104</f>
        <v>0.19639278557114243</v>
      </c>
      <c r="Q105">
        <v>90</v>
      </c>
      <c r="R105" s="1">
        <f t="shared" si="8"/>
        <v>527.54569938953171</v>
      </c>
      <c r="S105" s="1">
        <f>_xll.PDENSITY($R$105,SimDataScen!$B$9:$B$508,$R$10,$R$11,0)</f>
        <v>2.6650560678560516E-4</v>
      </c>
      <c r="T105" s="1">
        <f t="shared" si="9"/>
        <v>440.13964908047006</v>
      </c>
      <c r="U105" s="1">
        <f>_xll.PDENSITY($T$105,SimDataScen!$C$9:$C$508,$T$10,$T$11,0)</f>
        <v>2.5854856905853553E-4</v>
      </c>
      <c r="V105" s="1">
        <f t="shared" si="10"/>
        <v>352.73359877140729</v>
      </c>
      <c r="W105" s="1">
        <f>_xll.PDENSITY($V$105,SimDataScen!$D$9:$D$508,$V$10,$V$11,0)</f>
        <v>2.5022758545208362E-4</v>
      </c>
      <c r="X105" s="1">
        <f t="shared" si="11"/>
        <v>265.32754846234582</v>
      </c>
      <c r="Y105" s="1">
        <f>_xll.PDENSITY($X$105,SimDataScen!$E$9:$E$508,$X$10,$X$11,0)</f>
        <v>2.4896343116843038E-4</v>
      </c>
    </row>
    <row r="106" spans="1:25">
      <c r="A106">
        <v>98</v>
      </c>
      <c r="B106">
        <v>360.41140092453327</v>
      </c>
      <c r="C106">
        <v>273.42633333125377</v>
      </c>
      <c r="D106">
        <v>186.44126573797422</v>
      </c>
      <c r="E106">
        <v>99.456198144694696</v>
      </c>
      <c r="H106">
        <f>SMALL(SimDataScen!$B$9:$B$508,100)</f>
        <v>210.36337574196648</v>
      </c>
      <c r="I106">
        <f>1/(COUNT(SimDataScen!$B$9:$B$508)-1)+$I$105</f>
        <v>0.19839679358717449</v>
      </c>
      <c r="J106">
        <f>SMALL(SimDataScen!$C$9:$C$508,100)</f>
        <v>133.69961414819619</v>
      </c>
      <c r="K106">
        <f>1/(COUNT(SimDataScen!$C$9:$C$508)-1)+$K$105</f>
        <v>0.19839679358717449</v>
      </c>
      <c r="L106">
        <f>SMALL(SimDataScen!$D$9:$D$508,100)</f>
        <v>55.807399892699408</v>
      </c>
      <c r="M106">
        <f>1/(COUNT(SimDataScen!$D$9:$D$508)-1)+$M$105</f>
        <v>0.19839679358717449</v>
      </c>
      <c r="N106">
        <f>SMALL(SimDataScen!$E$9:$E$508,100)</f>
        <v>-20.591421382462016</v>
      </c>
      <c r="O106">
        <f>1/(COUNT(SimDataScen!$E$9:$E$508)-1)+$O$105</f>
        <v>0.19839679358717449</v>
      </c>
      <c r="Q106">
        <v>91</v>
      </c>
      <c r="R106" s="1">
        <f t="shared" si="8"/>
        <v>532.75879306379284</v>
      </c>
      <c r="S106" s="1">
        <f>_xll.PDENSITY($R$106,SimDataScen!$B$9:$B$508,$R$10,$R$11,0)</f>
        <v>2.2805200716716025E-4</v>
      </c>
      <c r="T106" s="1">
        <f t="shared" si="9"/>
        <v>445.19122472612059</v>
      </c>
      <c r="U106" s="1">
        <f>_xll.PDENSITY($T$106,SimDataScen!$C$9:$C$508,$T$10,$T$11,0)</f>
        <v>2.2006832494839815E-4</v>
      </c>
      <c r="V106" s="1">
        <f t="shared" si="10"/>
        <v>357.6236563884471</v>
      </c>
      <c r="W106" s="1">
        <f>_xll.PDENSITY($V$106,SimDataScen!$D$9:$D$508,$V$10,$V$11,0)</f>
        <v>2.1226085452623824E-4</v>
      </c>
      <c r="X106" s="1">
        <f t="shared" si="11"/>
        <v>270.05608805077497</v>
      </c>
      <c r="Y106" s="1">
        <f>_xll.PDENSITY($X$106,SimDataScen!$E$9:$E$508,$X$10,$X$11,0)</f>
        <v>2.1149537736301697E-4</v>
      </c>
    </row>
    <row r="107" spans="1:25">
      <c r="A107">
        <v>99</v>
      </c>
      <c r="B107">
        <v>330.09120984862199</v>
      </c>
      <c r="C107">
        <v>246.62487829132357</v>
      </c>
      <c r="D107">
        <v>163.15854673402512</v>
      </c>
      <c r="E107">
        <v>79.692215176726677</v>
      </c>
      <c r="H107">
        <f>SMALL(SimDataScen!$B$9:$B$508,101)</f>
        <v>211.24316709322665</v>
      </c>
      <c r="I107">
        <f>1/(COUNT(SimDataScen!$B$9:$B$508)-1)+$I$106</f>
        <v>0.20040080160320656</v>
      </c>
      <c r="J107">
        <f>SMALL(SimDataScen!$C$9:$C$508,101)</f>
        <v>134.326398108565</v>
      </c>
      <c r="K107">
        <f>1/(COUNT(SimDataScen!$C$9:$C$508)-1)+$K$106</f>
        <v>0.20040080160320656</v>
      </c>
      <c r="L107">
        <f>SMALL(SimDataScen!$D$9:$D$508,101)</f>
        <v>56.156061203165748</v>
      </c>
      <c r="M107">
        <f>1/(COUNT(SimDataScen!$D$9:$D$508)-1)+$M$106</f>
        <v>0.20040080160320656</v>
      </c>
      <c r="N107">
        <f>SMALL(SimDataScen!$E$9:$E$508,101)</f>
        <v>-19.996182617812735</v>
      </c>
      <c r="O107">
        <f>1/(COUNT(SimDataScen!$E$9:$E$508)-1)+$O$106</f>
        <v>0.20040080160320656</v>
      </c>
      <c r="Q107">
        <v>92</v>
      </c>
      <c r="R107" s="1">
        <f t="shared" si="8"/>
        <v>537.97188673805397</v>
      </c>
      <c r="S107" s="1">
        <f>_xll.PDENSITY($R$107,SimDataScen!$B$9:$B$508,$R$10,$R$11,0)</f>
        <v>1.9465284265759642E-4</v>
      </c>
      <c r="T107" s="1">
        <f t="shared" si="9"/>
        <v>450.24280037177112</v>
      </c>
      <c r="U107" s="1">
        <f>_xll.PDENSITY($T$107,SimDataScen!$C$9:$C$508,$T$10,$T$11,0)</f>
        <v>1.8735774358083027E-4</v>
      </c>
      <c r="V107" s="1">
        <f t="shared" si="10"/>
        <v>362.51371400548692</v>
      </c>
      <c r="W107" s="1">
        <f>_xll.PDENSITY($V$107,SimDataScen!$D$9:$D$508,$V$10,$V$11,0)</f>
        <v>1.8078257606977139E-4</v>
      </c>
      <c r="X107" s="1">
        <f t="shared" si="11"/>
        <v>274.78462763920413</v>
      </c>
      <c r="Y107" s="1">
        <f>_xll.PDENSITY($X$107,SimDataScen!$E$9:$E$508,$X$10,$X$11,0)</f>
        <v>1.8086840673178182E-4</v>
      </c>
    </row>
    <row r="108" spans="1:25">
      <c r="A108">
        <v>100</v>
      </c>
      <c r="B108">
        <v>246.833131747371</v>
      </c>
      <c r="C108">
        <v>167.48702890626785</v>
      </c>
      <c r="D108">
        <v>88.140926065164706</v>
      </c>
      <c r="E108">
        <v>8.7948232240615596</v>
      </c>
      <c r="H108">
        <f>SMALL(SimDataScen!$B$9:$B$508,102)</f>
        <v>212.04353054994795</v>
      </c>
      <c r="I108">
        <f>1/(COUNT(SimDataScen!$B$9:$B$508)-1)+$I$107</f>
        <v>0.20240480961923862</v>
      </c>
      <c r="J108">
        <f>SMALL(SimDataScen!$C$9:$C$508,102)</f>
        <v>134.69695949402774</v>
      </c>
      <c r="K108">
        <f>1/(COUNT(SimDataScen!$C$9:$C$508)-1)+$K$107</f>
        <v>0.20240480961923862</v>
      </c>
      <c r="L108">
        <f>SMALL(SimDataScen!$D$9:$D$508,102)</f>
        <v>56.850302798264934</v>
      </c>
      <c r="M108">
        <f>1/(COUNT(SimDataScen!$D$9:$D$508)-1)+$M$107</f>
        <v>0.20240480961923862</v>
      </c>
      <c r="N108">
        <f>SMALL(SimDataScen!$E$9:$E$508,102)</f>
        <v>-19.819789104925519</v>
      </c>
      <c r="O108">
        <f>1/(COUNT(SimDataScen!$E$9:$E$508)-1)+$O$107</f>
        <v>0.20240480961923862</v>
      </c>
      <c r="Q108">
        <v>93</v>
      </c>
      <c r="R108" s="1">
        <f t="shared" si="8"/>
        <v>543.1849804123151</v>
      </c>
      <c r="S108" s="1">
        <f>_xll.PDENSITY($R$108,SimDataScen!$B$9:$B$508,$R$10,$R$11,0)</f>
        <v>1.661033199036967E-4</v>
      </c>
      <c r="T108" s="1">
        <f t="shared" si="9"/>
        <v>455.29437601742165</v>
      </c>
      <c r="U108" s="1">
        <f>_xll.PDENSITY($T$108,SimDataScen!$C$9:$C$508,$T$10,$T$11,0)</f>
        <v>1.6004870568228988E-4</v>
      </c>
      <c r="V108" s="1">
        <f t="shared" si="10"/>
        <v>367.40377162252673</v>
      </c>
      <c r="W108" s="1">
        <f>_xll.PDENSITY($V$108,SimDataScen!$D$9:$D$508,$V$10,$V$11,0)</f>
        <v>1.5520750525680331E-4</v>
      </c>
      <c r="X108" s="1">
        <f t="shared" si="11"/>
        <v>279.51316722763329</v>
      </c>
      <c r="Y108" s="1">
        <f>_xll.PDENSITY($X$108,SimDataScen!$E$9:$E$508,$X$10,$X$11,0)</f>
        <v>1.5638000949292613E-4</v>
      </c>
    </row>
    <row r="109" spans="1:25">
      <c r="A109">
        <v>101</v>
      </c>
      <c r="B109">
        <v>376.02219089070724</v>
      </c>
      <c r="C109">
        <v>295.58258852347598</v>
      </c>
      <c r="D109">
        <v>215.14298615624466</v>
      </c>
      <c r="E109">
        <v>134.7033837890134</v>
      </c>
      <c r="H109">
        <f>SMALL(SimDataScen!$B$9:$B$508,103)</f>
        <v>212.66259940989676</v>
      </c>
      <c r="I109">
        <f>1/(COUNT(SimDataScen!$B$9:$B$508)-1)+$I$108</f>
        <v>0.20440881763527069</v>
      </c>
      <c r="J109">
        <f>SMALL(SimDataScen!$C$9:$C$508,103)</f>
        <v>135.19501688425288</v>
      </c>
      <c r="K109">
        <f>1/(COUNT(SimDataScen!$C$9:$C$508)-1)+$K$108</f>
        <v>0.20440881763527069</v>
      </c>
      <c r="L109">
        <f>SMALL(SimDataScen!$D$9:$D$508,103)</f>
        <v>57.321006069050455</v>
      </c>
      <c r="M109">
        <f>1/(COUNT(SimDataScen!$D$9:$D$508)-1)+$M$108</f>
        <v>0.20440881763527069</v>
      </c>
      <c r="N109">
        <f>SMALL(SimDataScen!$E$9:$E$508,103)</f>
        <v>-18.583465947836714</v>
      </c>
      <c r="O109">
        <f>1/(COUNT(SimDataScen!$E$9:$E$508)-1)+$O$108</f>
        <v>0.20440881763527069</v>
      </c>
      <c r="Q109">
        <v>94</v>
      </c>
      <c r="R109" s="1">
        <f t="shared" si="8"/>
        <v>548.39807408657623</v>
      </c>
      <c r="S109" s="1">
        <f>_xll.PDENSITY($R$109,SimDataScen!$B$9:$B$508,$R$10,$R$11,0)</f>
        <v>1.4201132715244483E-4</v>
      </c>
      <c r="T109" s="1">
        <f t="shared" si="9"/>
        <v>460.34595166307219</v>
      </c>
      <c r="U109" s="1">
        <f>_xll.PDENSITY($T$109,SimDataScen!$C$9:$C$508,$T$10,$T$11,0)</f>
        <v>1.3754361363618164E-4</v>
      </c>
      <c r="V109" s="1">
        <f t="shared" si="10"/>
        <v>372.29382923956655</v>
      </c>
      <c r="W109" s="1">
        <f>_xll.PDENSITY($V$109,SimDataScen!$D$9:$D$508,$V$10,$V$11,0)</f>
        <v>1.3469135951534264E-4</v>
      </c>
      <c r="X109" s="1">
        <f t="shared" si="11"/>
        <v>284.24170681606245</v>
      </c>
      <c r="Y109" s="1">
        <f>_xll.PDENSITY($X$109,SimDataScen!$E$9:$E$508,$X$10,$X$11,0)</f>
        <v>1.3705502477230597E-4</v>
      </c>
    </row>
    <row r="110" spans="1:25">
      <c r="A110">
        <v>102</v>
      </c>
      <c r="B110">
        <v>312.61507984851039</v>
      </c>
      <c r="C110">
        <v>233.36141178911163</v>
      </c>
      <c r="D110">
        <v>154.10774372971281</v>
      </c>
      <c r="E110">
        <v>74.854075670314018</v>
      </c>
      <c r="H110">
        <f>SMALL(SimDataScen!$B$9:$B$508,104)</f>
        <v>212.73994318730746</v>
      </c>
      <c r="I110">
        <f>1/(COUNT(SimDataScen!$B$9:$B$508)-1)+$I$109</f>
        <v>0.20641282565130276</v>
      </c>
      <c r="J110">
        <f>SMALL(SimDataScen!$C$9:$C$508,104)</f>
        <v>135.58646218946853</v>
      </c>
      <c r="K110">
        <f>1/(COUNT(SimDataScen!$C$9:$C$508)-1)+$K$109</f>
        <v>0.20641282565130276</v>
      </c>
      <c r="L110">
        <f>SMALL(SimDataScen!$D$9:$D$508,104)</f>
        <v>57.350388438107487</v>
      </c>
      <c r="M110">
        <f>1/(COUNT(SimDataScen!$D$9:$D$508)-1)+$M$109</f>
        <v>0.20641282565130276</v>
      </c>
      <c r="N110">
        <f>SMALL(SimDataScen!$E$9:$E$508,104)</f>
        <v>-18.176797529096632</v>
      </c>
      <c r="O110">
        <f>1/(COUNT(SimDataScen!$E$9:$E$508)-1)+$O$109</f>
        <v>0.20641282565130276</v>
      </c>
      <c r="Q110">
        <v>95</v>
      </c>
      <c r="R110" s="1">
        <f t="shared" si="8"/>
        <v>553.61116776083736</v>
      </c>
      <c r="S110" s="1">
        <f>_xll.PDENSITY($R$110,SimDataScen!$B$9:$B$508,$R$10,$R$11,0)</f>
        <v>1.2184983166417643E-4</v>
      </c>
      <c r="T110" s="1">
        <f t="shared" si="9"/>
        <v>465.39752730872272</v>
      </c>
      <c r="U110" s="1">
        <f>_xll.PDENSITY($T$110,SimDataScen!$C$9:$C$508,$T$10,$T$11,0)</f>
        <v>1.1909960101891794E-4</v>
      </c>
      <c r="V110" s="1">
        <f t="shared" si="10"/>
        <v>377.18388685660636</v>
      </c>
      <c r="W110" s="1">
        <f>_xll.PDENSITY($V$110,SimDataScen!$D$9:$D$508,$V$10,$V$11,0)</f>
        <v>1.1824927606952304E-4</v>
      </c>
      <c r="X110" s="1">
        <f t="shared" si="11"/>
        <v>288.9702464044916</v>
      </c>
      <c r="Y110" s="1">
        <f>_xll.PDENSITY($X$110,SimDataScen!$E$9:$E$508,$X$10,$X$11,0)</f>
        <v>1.2177487471413914E-4</v>
      </c>
    </row>
    <row r="111" spans="1:25">
      <c r="A111">
        <v>103</v>
      </c>
      <c r="B111">
        <v>284.91418539693757</v>
      </c>
      <c r="C111">
        <v>207.12785598518354</v>
      </c>
      <c r="D111">
        <v>129.34152657342952</v>
      </c>
      <c r="E111">
        <v>51.555197161675522</v>
      </c>
      <c r="H111">
        <f>SMALL(SimDataScen!$B$9:$B$508,105)</f>
        <v>214.33501459042986</v>
      </c>
      <c r="I111">
        <f>1/(COUNT(SimDataScen!$B$9:$B$508)-1)+$I$110</f>
        <v>0.20841683366733482</v>
      </c>
      <c r="J111">
        <f>SMALL(SimDataScen!$C$9:$C$508,105)</f>
        <v>135.86531644642804</v>
      </c>
      <c r="K111">
        <f>1/(COUNT(SimDataScen!$C$9:$C$508)-1)+$K$110</f>
        <v>0.20841683366733482</v>
      </c>
      <c r="L111">
        <f>SMALL(SimDataScen!$D$9:$D$508,105)</f>
        <v>57.83956074133674</v>
      </c>
      <c r="M111">
        <f>1/(COUNT(SimDataScen!$D$9:$D$508)-1)+$M$110</f>
        <v>0.20841683366733482</v>
      </c>
      <c r="N111">
        <f>SMALL(SimDataScen!$E$9:$E$508,105)</f>
        <v>-17.894967647364069</v>
      </c>
      <c r="O111">
        <f>1/(COUNT(SimDataScen!$E$9:$E$508)-1)+$O$110</f>
        <v>0.20841683366733482</v>
      </c>
      <c r="Q111">
        <v>96</v>
      </c>
      <c r="R111" s="1">
        <f t="shared" si="8"/>
        <v>558.82426143509849</v>
      </c>
      <c r="S111" s="1">
        <f>_xll.PDENSITY($R$111,SimDataScen!$B$9:$B$508,$R$10,$R$11,0)</f>
        <v>1.0501580275872687E-4</v>
      </c>
      <c r="T111" s="1">
        <f t="shared" si="9"/>
        <v>470.44910295437325</v>
      </c>
      <c r="U111" s="1">
        <f>_xll.PDENSITY($T$111,SimDataScen!$C$9:$C$508,$T$10,$T$11,0)</f>
        <v>1.0391664754948128E-4</v>
      </c>
      <c r="V111" s="1">
        <f t="shared" si="10"/>
        <v>382.07394447364618</v>
      </c>
      <c r="W111" s="1">
        <f>_xll.PDENSITY($V$111,SimDataScen!$D$9:$D$508,$V$10,$V$11,0)</f>
        <v>1.0487320929567962E-4</v>
      </c>
      <c r="X111" s="1">
        <f t="shared" si="11"/>
        <v>293.69878599292076</v>
      </c>
      <c r="Y111" s="1">
        <f>_xll.PDENSITY($X$111,SimDataScen!$E$9:$E$508,$X$10,$X$11,0)</f>
        <v>1.0940915602058546E-4</v>
      </c>
    </row>
    <row r="112" spans="1:25">
      <c r="A112">
        <v>104</v>
      </c>
      <c r="B112">
        <v>223.47700003290555</v>
      </c>
      <c r="C112">
        <v>145.32595249005811</v>
      </c>
      <c r="D112">
        <v>67.174904947210706</v>
      </c>
      <c r="E112">
        <v>-10.976142595636702</v>
      </c>
      <c r="H112">
        <f>SMALL(SimDataScen!$B$9:$B$508,106)</f>
        <v>214.40962682380564</v>
      </c>
      <c r="I112">
        <f>1/(COUNT(SimDataScen!$B$9:$B$508)-1)+$I$111</f>
        <v>0.21042084168336689</v>
      </c>
      <c r="J112">
        <f>SMALL(SimDataScen!$C$9:$C$508,106)</f>
        <v>136.71063128172176</v>
      </c>
      <c r="K112">
        <f>1/(COUNT(SimDataScen!$C$9:$C$508)-1)+$K$111</f>
        <v>0.21042084168336689</v>
      </c>
      <c r="L112">
        <f>SMALL(SimDataScen!$D$9:$D$508,106)</f>
        <v>59.025501442683151</v>
      </c>
      <c r="M112">
        <f>1/(COUNT(SimDataScen!$D$9:$D$508)-1)+$M$111</f>
        <v>0.21042084168336689</v>
      </c>
      <c r="N112">
        <f>SMALL(SimDataScen!$E$9:$E$508,106)</f>
        <v>-17.868201615382802</v>
      </c>
      <c r="O112">
        <f>1/(COUNT(SimDataScen!$E$9:$E$508)-1)+$O$111</f>
        <v>0.21042084168336689</v>
      </c>
      <c r="Q112">
        <v>97</v>
      </c>
      <c r="R112" s="1">
        <f t="shared" si="8"/>
        <v>564.03735510935962</v>
      </c>
      <c r="S112" s="1">
        <f>_xll.PDENSITY($R$112,SimDataScen!$B$9:$B$508,$R$10,$R$11,0)</f>
        <v>9.0887614026605724E-5</v>
      </c>
      <c r="T112" s="1">
        <f t="shared" si="9"/>
        <v>475.50067860002378</v>
      </c>
      <c r="U112" s="1">
        <f>_xll.PDENSITY($T$112,SimDataScen!$C$9:$C$508,$T$10,$T$11,0)</f>
        <v>9.1217131585118064E-5</v>
      </c>
      <c r="V112" s="1">
        <f t="shared" si="10"/>
        <v>386.96400209068599</v>
      </c>
      <c r="W112" s="1">
        <f>_xll.PDENSITY($V$112,SimDataScen!$D$9:$D$508,$V$10,$V$11,0)</f>
        <v>9.3632107228786222E-5</v>
      </c>
      <c r="X112" s="1">
        <f t="shared" si="11"/>
        <v>298.42732558134992</v>
      </c>
      <c r="Y112" s="1">
        <f>_xll.PDENSITY($X$112,SimDataScen!$E$9:$E$508,$X$10,$X$11,0)</f>
        <v>9.8930391666774429E-5</v>
      </c>
    </row>
    <row r="113" spans="1:25">
      <c r="A113">
        <v>105</v>
      </c>
      <c r="B113">
        <v>349.76040785781464</v>
      </c>
      <c r="C113">
        <v>267.32886339318486</v>
      </c>
      <c r="D113">
        <v>184.89731892855505</v>
      </c>
      <c r="E113">
        <v>102.46577446392527</v>
      </c>
      <c r="H113">
        <f>SMALL(SimDataScen!$B$9:$B$508,107)</f>
        <v>214.91088130379424</v>
      </c>
      <c r="I113">
        <f>1/(COUNT(SimDataScen!$B$9:$B$508)-1)+$I$112</f>
        <v>0.21242484969939895</v>
      </c>
      <c r="J113">
        <f>SMALL(SimDataScen!$C$9:$C$508,107)</f>
        <v>137.10218624849523</v>
      </c>
      <c r="K113">
        <f>1/(COUNT(SimDataScen!$C$9:$C$508)-1)+$K$112</f>
        <v>0.21242484969939895</v>
      </c>
      <c r="L113">
        <f>SMALL(SimDataScen!$D$9:$D$508,107)</f>
        <v>59.726441263250123</v>
      </c>
      <c r="M113">
        <f>1/(COUNT(SimDataScen!$D$9:$D$508)-1)+$M$112</f>
        <v>0.21242484969939895</v>
      </c>
      <c r="N113">
        <f>SMALL(SimDataScen!$E$9:$E$508,107)</f>
        <v>-17.58214530979734</v>
      </c>
      <c r="O113">
        <f>1/(COUNT(SimDataScen!$E$9:$E$508)-1)+$O$112</f>
        <v>0.21242484969939895</v>
      </c>
      <c r="Q113">
        <v>98</v>
      </c>
      <c r="R113" s="1">
        <f t="shared" si="8"/>
        <v>569.25044878362075</v>
      </c>
      <c r="S113" s="1">
        <f>_xll.PDENSITY($R$113,SimDataScen!$B$9:$B$508,$R$10,$R$11,0)</f>
        <v>7.8875610239359092E-5</v>
      </c>
      <c r="T113" s="1">
        <f t="shared" si="9"/>
        <v>480.55225424567431</v>
      </c>
      <c r="U113" s="1">
        <f>_xll.PDENSITY($T$113,SimDataScen!$C$9:$C$508,$T$10,$T$11,0)</f>
        <v>8.0309188919214887E-5</v>
      </c>
      <c r="V113" s="1">
        <f t="shared" si="10"/>
        <v>391.85405970772581</v>
      </c>
      <c r="W113" s="1">
        <f>_xll.PDENSITY($V$113,SimDataScen!$D$9:$D$508,$V$10,$V$11,0)</f>
        <v>8.3745564467556713E-5</v>
      </c>
      <c r="X113" s="1">
        <f t="shared" si="11"/>
        <v>303.15586516977908</v>
      </c>
      <c r="Y113" s="1">
        <f>_xll.PDENSITY($X$113,SimDataScen!$E$9:$E$508,$X$10,$X$11,0)</f>
        <v>8.9498951754931285E-5</v>
      </c>
    </row>
    <row r="114" spans="1:25">
      <c r="A114">
        <v>106</v>
      </c>
      <c r="B114">
        <v>217.18746493067891</v>
      </c>
      <c r="C114">
        <v>141.75380023342967</v>
      </c>
      <c r="D114">
        <v>66.320135536180459</v>
      </c>
      <c r="E114">
        <v>-9.1135291610687545</v>
      </c>
      <c r="H114">
        <f>SMALL(SimDataScen!$B$9:$B$508,108)</f>
        <v>215.53291884794365</v>
      </c>
      <c r="I114">
        <f>1/(COUNT(SimDataScen!$B$9:$B$508)-1)+$I$113</f>
        <v>0.21442885771543102</v>
      </c>
      <c r="J114">
        <f>SMALL(SimDataScen!$C$9:$C$508,108)</f>
        <v>137.62968005559691</v>
      </c>
      <c r="K114">
        <f>1/(COUNT(SimDataScen!$C$9:$C$508)-1)+$K$113</f>
        <v>0.21442885771543102</v>
      </c>
      <c r="L114">
        <f>SMALL(SimDataScen!$D$9:$D$508,108)</f>
        <v>59.869357906560609</v>
      </c>
      <c r="M114">
        <f>1/(COUNT(SimDataScen!$D$9:$D$508)-1)+$M$113</f>
        <v>0.21442885771543102</v>
      </c>
      <c r="N114">
        <f>SMALL(SimDataScen!$E$9:$E$508,108)</f>
        <v>-17.363470435374012</v>
      </c>
      <c r="O114">
        <f>1/(COUNT(SimDataScen!$E$9:$E$508)-1)+$O$113</f>
        <v>0.21442885771543102</v>
      </c>
      <c r="Q114">
        <v>99</v>
      </c>
      <c r="R114" s="1">
        <f t="shared" si="8"/>
        <v>574.46354245788189</v>
      </c>
      <c r="S114" s="1">
        <f>_xll.PDENSITY($R$114,SimDataScen!$B$9:$B$508,$R$10,$R$11,0)</f>
        <v>6.8462539270262488E-5</v>
      </c>
      <c r="T114" s="1">
        <f t="shared" si="9"/>
        <v>485.60382989132484</v>
      </c>
      <c r="U114" s="1">
        <f>_xll.PDENSITY($T$114,SimDataScen!$C$9:$C$508,$T$10,$T$11,0)</f>
        <v>7.0630289934918677E-5</v>
      </c>
      <c r="V114" s="1">
        <f t="shared" si="10"/>
        <v>396.74411732476563</v>
      </c>
      <c r="W114" s="1">
        <f>_xll.PDENSITY($V$114,SimDataScen!$D$9:$D$508,$V$10,$V$11,0)</f>
        <v>7.4627544570567462E-5</v>
      </c>
      <c r="X114" s="1">
        <f t="shared" si="11"/>
        <v>307.88440475820823</v>
      </c>
      <c r="Y114" s="1">
        <f>_xll.PDENSITY($X$114,SimDataScen!$E$9:$E$508,$X$10,$X$11,0)</f>
        <v>8.0511825827717369E-5</v>
      </c>
    </row>
    <row r="115" spans="1:25">
      <c r="A115">
        <v>107</v>
      </c>
      <c r="B115">
        <v>306.09953117965739</v>
      </c>
      <c r="C115">
        <v>231.00212182036142</v>
      </c>
      <c r="D115">
        <v>155.90471246106549</v>
      </c>
      <c r="E115">
        <v>80.807303101769548</v>
      </c>
      <c r="H115">
        <f>SMALL(SimDataScen!$B$9:$B$508,109)</f>
        <v>215.58204327922658</v>
      </c>
      <c r="I115">
        <f>1/(COUNT(SimDataScen!$B$9:$B$508)-1)+$I$114</f>
        <v>0.21643286573146309</v>
      </c>
      <c r="J115">
        <f>SMALL(SimDataScen!$C$9:$C$508,109)</f>
        <v>138.64242426782835</v>
      </c>
      <c r="K115">
        <f>1/(COUNT(SimDataScen!$C$9:$C$508)-1)+$K$114</f>
        <v>0.21643286573146309</v>
      </c>
      <c r="L115">
        <f>SMALL(SimDataScen!$D$9:$D$508,109)</f>
        <v>61.001421112889517</v>
      </c>
      <c r="M115">
        <f>1/(COUNT(SimDataScen!$D$9:$D$508)-1)+$M$114</f>
        <v>0.21643286573146309</v>
      </c>
      <c r="N115">
        <f>SMALL(SimDataScen!$E$9:$E$508,109)</f>
        <v>-17.133906870433236</v>
      </c>
      <c r="O115">
        <f>1/(COUNT(SimDataScen!$E$9:$E$508)-1)+$O$114</f>
        <v>0.21643286573146309</v>
      </c>
      <c r="Q115">
        <v>100</v>
      </c>
      <c r="R115" s="1">
        <f t="shared" si="8"/>
        <v>579.67663613214302</v>
      </c>
      <c r="S115" s="1">
        <f>_xll.PDENSITY($R$115,SimDataScen!$B$9:$B$508,$R$10,$R$11,0)</f>
        <v>5.9231653031330701E-5</v>
      </c>
      <c r="T115" s="1">
        <f t="shared" si="9"/>
        <v>490.65540553697537</v>
      </c>
      <c r="U115" s="1">
        <f>_xll.PDENSITY($T$115,SimDataScen!$C$9:$C$508,$T$10,$T$11,0)</f>
        <v>6.1770145446702533E-5</v>
      </c>
      <c r="V115" s="1">
        <f t="shared" si="10"/>
        <v>401.63417494180544</v>
      </c>
      <c r="W115" s="1">
        <f>_xll.PDENSITY($V$115,SimDataScen!$D$9:$D$508,$V$10,$V$11,0)</f>
        <v>6.5900890169337293E-5</v>
      </c>
      <c r="X115" s="1">
        <f t="shared" si="11"/>
        <v>312.61294434663739</v>
      </c>
      <c r="Y115" s="1">
        <f>_xll.PDENSITY($X$115,SimDataScen!$E$9:$E$508,$X$10,$X$11,0)</f>
        <v>7.1614844402592671E-5</v>
      </c>
    </row>
    <row r="116" spans="1:25">
      <c r="A116">
        <v>108</v>
      </c>
      <c r="B116">
        <v>181.6343355527608</v>
      </c>
      <c r="C116">
        <v>103.26111558655886</v>
      </c>
      <c r="D116">
        <v>24.8878956203569</v>
      </c>
      <c r="E116">
        <v>-53.485324345845044</v>
      </c>
      <c r="H116">
        <f>SMALL(SimDataScen!$B$9:$B$508,110)</f>
        <v>215.62020526941112</v>
      </c>
      <c r="I116">
        <f>1/(COUNT(SimDataScen!$B$9:$B$508)-1)+$I$115</f>
        <v>0.21843687374749515</v>
      </c>
      <c r="J116">
        <f>SMALL(SimDataScen!$C$9:$C$508,110)</f>
        <v>139.16769290789995</v>
      </c>
      <c r="K116">
        <f>1/(COUNT(SimDataScen!$C$9:$C$508)-1)+$K$115</f>
        <v>0.21843687374749515</v>
      </c>
      <c r="L116">
        <f>SMALL(SimDataScen!$D$9:$D$508,110)</f>
        <v>62.307853862022824</v>
      </c>
      <c r="M116">
        <f>1/(COUNT(SimDataScen!$D$9:$D$508)-1)+$M$115</f>
        <v>0.21843687374749515</v>
      </c>
      <c r="N116">
        <f>SMALL(SimDataScen!$E$9:$E$508,110)</f>
        <v>-17.118541702776895</v>
      </c>
      <c r="O116">
        <f>1/(COUNT(SimDataScen!$E$9:$E$508)-1)+$O$115</f>
        <v>0.21843687374749515</v>
      </c>
    </row>
    <row r="117" spans="1:25">
      <c r="A117">
        <v>109</v>
      </c>
      <c r="B117">
        <v>263.84070746396935</v>
      </c>
      <c r="C117">
        <v>183.77333155668339</v>
      </c>
      <c r="D117">
        <v>103.70595564939735</v>
      </c>
      <c r="E117">
        <v>23.638579742111347</v>
      </c>
      <c r="H117">
        <f>SMALL(SimDataScen!$B$9:$B$508,111)</f>
        <v>216.70693632970261</v>
      </c>
      <c r="I117">
        <f>1/(COUNT(SimDataScen!$B$9:$B$508)-1)+$I$116</f>
        <v>0.22044088176352722</v>
      </c>
      <c r="J117">
        <f>SMALL(SimDataScen!$C$9:$C$508,111)</f>
        <v>139.53761681673822</v>
      </c>
      <c r="K117">
        <f>1/(COUNT(SimDataScen!$C$9:$C$508)-1)+$K$116</f>
        <v>0.22044088176352722</v>
      </c>
      <c r="L117">
        <f>SMALL(SimDataScen!$D$9:$D$508,111)</f>
        <v>62.555310681276538</v>
      </c>
      <c r="M117">
        <f>1/(COUNT(SimDataScen!$D$9:$D$508)-1)+$M$116</f>
        <v>0.22044088176352722</v>
      </c>
      <c r="N117">
        <f>SMALL(SimDataScen!$E$9:$E$508,111)</f>
        <v>-17.019624848922291</v>
      </c>
      <c r="O117">
        <f>1/(COUNT(SimDataScen!$E$9:$E$508)-1)+$O$116</f>
        <v>0.22044088176352722</v>
      </c>
    </row>
    <row r="118" spans="1:25">
      <c r="A118">
        <v>110</v>
      </c>
      <c r="B118">
        <v>309.74105145560708</v>
      </c>
      <c r="C118">
        <v>222.85313386891085</v>
      </c>
      <c r="D118">
        <v>135.96521628221458</v>
      </c>
      <c r="E118">
        <v>49.077298695518323</v>
      </c>
      <c r="H118">
        <f>SMALL(SimDataScen!$B$9:$B$508,112)</f>
        <v>216.80043344547815</v>
      </c>
      <c r="I118">
        <f>1/(COUNT(SimDataScen!$B$9:$B$508)-1)+$I$117</f>
        <v>0.22244488977955928</v>
      </c>
      <c r="J118">
        <f>SMALL(SimDataScen!$C$9:$C$508,112)</f>
        <v>140.34047406759262</v>
      </c>
      <c r="K118">
        <f>1/(COUNT(SimDataScen!$C$9:$C$508)-1)+$K$117</f>
        <v>0.22244488977955928</v>
      </c>
      <c r="L118">
        <f>SMALL(SimDataScen!$D$9:$D$508,112)</f>
        <v>63.682511832467441</v>
      </c>
      <c r="M118">
        <f>1/(COUNT(SimDataScen!$D$9:$D$508)-1)+$M$117</f>
        <v>0.22244488977955928</v>
      </c>
      <c r="N118">
        <f>SMALL(SimDataScen!$E$9:$E$508,112)</f>
        <v>-16.353914903669704</v>
      </c>
      <c r="O118">
        <f>1/(COUNT(SimDataScen!$E$9:$E$508)-1)+$O$117</f>
        <v>0.22244488977955928</v>
      </c>
    </row>
    <row r="119" spans="1:25">
      <c r="A119">
        <v>111</v>
      </c>
      <c r="B119">
        <v>355.9298266395823</v>
      </c>
      <c r="C119">
        <v>271.85096894362158</v>
      </c>
      <c r="D119">
        <v>187.77211124766077</v>
      </c>
      <c r="E119">
        <v>103.69325355170002</v>
      </c>
      <c r="H119">
        <f>SMALL(SimDataScen!$B$9:$B$508,113)</f>
        <v>217.18746493067891</v>
      </c>
      <c r="I119">
        <f>1/(COUNT(SimDataScen!$B$9:$B$508)-1)+$I$118</f>
        <v>0.22444889779559135</v>
      </c>
      <c r="J119">
        <f>SMALL(SimDataScen!$C$9:$C$508,113)</f>
        <v>140.90988551302075</v>
      </c>
      <c r="K119">
        <f>1/(COUNT(SimDataScen!$C$9:$C$508)-1)+$K$118</f>
        <v>0.22444889779559135</v>
      </c>
      <c r="L119">
        <f>SMALL(SimDataScen!$D$9:$D$508,113)</f>
        <v>64.456192828517217</v>
      </c>
      <c r="M119">
        <f>1/(COUNT(SimDataScen!$D$9:$D$508)-1)+$M$118</f>
        <v>0.22444889779559135</v>
      </c>
      <c r="N119">
        <f>SMALL(SimDataScen!$E$9:$E$508,113)</f>
        <v>-13.863642738462687</v>
      </c>
      <c r="O119">
        <f>1/(COUNT(SimDataScen!$E$9:$E$508)-1)+$O$118</f>
        <v>0.22444889779559135</v>
      </c>
    </row>
    <row r="120" spans="1:25">
      <c r="A120">
        <v>112</v>
      </c>
      <c r="B120">
        <v>185.64894939143295</v>
      </c>
      <c r="C120">
        <v>107.06493835116731</v>
      </c>
      <c r="D120">
        <v>28.480927310901677</v>
      </c>
      <c r="E120">
        <v>-50.103083729363959</v>
      </c>
      <c r="H120">
        <f>SMALL(SimDataScen!$B$9:$B$508,114)</f>
        <v>217.36357819752425</v>
      </c>
      <c r="I120">
        <f>1/(COUNT(SimDataScen!$B$9:$B$508)-1)+$I$119</f>
        <v>0.22645290581162342</v>
      </c>
      <c r="J120">
        <f>SMALL(SimDataScen!$C$9:$C$508,114)</f>
        <v>140.97286320535085</v>
      </c>
      <c r="K120">
        <f>1/(COUNT(SimDataScen!$C$9:$C$508)-1)+$K$119</f>
        <v>0.22645290581162342</v>
      </c>
      <c r="L120">
        <f>SMALL(SimDataScen!$D$9:$D$508,114)</f>
        <v>64.668861794601526</v>
      </c>
      <c r="M120">
        <f>1/(COUNT(SimDataScen!$D$9:$D$508)-1)+$M$119</f>
        <v>0.22645290581162342</v>
      </c>
      <c r="N120">
        <f>SMALL(SimDataScen!$E$9:$E$508,114)</f>
        <v>-13.710992169268565</v>
      </c>
      <c r="O120">
        <f>1/(COUNT(SimDataScen!$E$9:$E$508)-1)+$O$119</f>
        <v>0.22645290581162342</v>
      </c>
    </row>
    <row r="121" spans="1:25">
      <c r="A121">
        <v>113</v>
      </c>
      <c r="B121">
        <v>236.57511444848166</v>
      </c>
      <c r="C121">
        <v>161.31772161285153</v>
      </c>
      <c r="D121">
        <v>86.0603287772214</v>
      </c>
      <c r="E121">
        <v>10.802935941591272</v>
      </c>
      <c r="H121">
        <f>SMALL(SimDataScen!$B$9:$B$508,115)</f>
        <v>217.58197263584964</v>
      </c>
      <c r="I121">
        <f>1/(COUNT(SimDataScen!$B$9:$B$508)-1)+$I$120</f>
        <v>0.22845691382765548</v>
      </c>
      <c r="J121">
        <f>SMALL(SimDataScen!$C$9:$C$508,115)</f>
        <v>141.73424942682254</v>
      </c>
      <c r="K121">
        <f>1/(COUNT(SimDataScen!$C$9:$C$508)-1)+$K$120</f>
        <v>0.22845691382765548</v>
      </c>
      <c r="L121">
        <f>SMALL(SimDataScen!$D$9:$D$508,115)</f>
        <v>64.70200940777643</v>
      </c>
      <c r="M121">
        <f>1/(COUNT(SimDataScen!$D$9:$D$508)-1)+$M$120</f>
        <v>0.22845691382765548</v>
      </c>
      <c r="N121">
        <f>SMALL(SimDataScen!$E$9:$E$508,115)</f>
        <v>-12.63991274706693</v>
      </c>
      <c r="O121">
        <f>1/(COUNT(SimDataScen!$E$9:$E$508)-1)+$O$120</f>
        <v>0.22845691382765548</v>
      </c>
    </row>
    <row r="122" spans="1:25">
      <c r="A122">
        <v>114</v>
      </c>
      <c r="B122">
        <v>390.20539021063308</v>
      </c>
      <c r="C122">
        <v>310.42265513801868</v>
      </c>
      <c r="D122">
        <v>230.63992006540423</v>
      </c>
      <c r="E122">
        <v>150.85718499278983</v>
      </c>
      <c r="H122">
        <f>SMALL(SimDataScen!$B$9:$B$508,116)</f>
        <v>217.70376240885324</v>
      </c>
      <c r="I122">
        <f>1/(COUNT(SimDataScen!$B$9:$B$508)-1)+$I$121</f>
        <v>0.23046092184368755</v>
      </c>
      <c r="J122">
        <f>SMALL(SimDataScen!$C$9:$C$508,116)</f>
        <v>141.75380023342967</v>
      </c>
      <c r="K122">
        <f>1/(COUNT(SimDataScen!$C$9:$C$508)-1)+$K$121</f>
        <v>0.23046092184368755</v>
      </c>
      <c r="L122">
        <f>SMALL(SimDataScen!$D$9:$D$508,116)</f>
        <v>65.060742865774117</v>
      </c>
      <c r="M122">
        <f>1/(COUNT(SimDataScen!$D$9:$D$508)-1)+$M$121</f>
        <v>0.23046092184368755</v>
      </c>
      <c r="N122">
        <f>SMALL(SimDataScen!$E$9:$E$508,116)</f>
        <v>-12.324088498800648</v>
      </c>
      <c r="O122">
        <f>1/(COUNT(SimDataScen!$E$9:$E$508)-1)+$O$121</f>
        <v>0.23046092184368755</v>
      </c>
    </row>
    <row r="123" spans="1:25">
      <c r="A123">
        <v>115</v>
      </c>
      <c r="B123">
        <v>334.99682226941769</v>
      </c>
      <c r="C123">
        <v>252.11800633030282</v>
      </c>
      <c r="D123">
        <v>169.23919039118792</v>
      </c>
      <c r="E123">
        <v>86.360374452073046</v>
      </c>
      <c r="H123">
        <f>SMALL(SimDataScen!$B$9:$B$508,117)</f>
        <v>217.99407633733563</v>
      </c>
      <c r="I123">
        <f>1/(COUNT(SimDataScen!$B$9:$B$508)-1)+$I$122</f>
        <v>0.23246492985971962</v>
      </c>
      <c r="J123">
        <f>SMALL(SimDataScen!$C$9:$C$508,117)</f>
        <v>141.82263133070455</v>
      </c>
      <c r="K123">
        <f>1/(COUNT(SimDataScen!$C$9:$C$508)-1)+$K$122</f>
        <v>0.23246492985971962</v>
      </c>
      <c r="L123">
        <f>SMALL(SimDataScen!$D$9:$D$508,117)</f>
        <v>65.145292965223504</v>
      </c>
      <c r="M123">
        <f>1/(COUNT(SimDataScen!$D$9:$D$508)-1)+$M$122</f>
        <v>0.23246492985971962</v>
      </c>
      <c r="N123">
        <f>SMALL(SimDataScen!$E$9:$E$508,117)</f>
        <v>-11.997499855986291</v>
      </c>
      <c r="O123">
        <f>1/(COUNT(SimDataScen!$E$9:$E$508)-1)+$O$122</f>
        <v>0.23246492985971962</v>
      </c>
    </row>
    <row r="124" spans="1:25">
      <c r="A124">
        <v>116</v>
      </c>
      <c r="B124">
        <v>321.77576939228902</v>
      </c>
      <c r="C124">
        <v>245.10855807669964</v>
      </c>
      <c r="D124">
        <v>168.44134676111022</v>
      </c>
      <c r="E124">
        <v>91.774135445520841</v>
      </c>
      <c r="H124">
        <f>SMALL(SimDataScen!$B$9:$B$508,118)</f>
        <v>218.25934709297351</v>
      </c>
      <c r="I124">
        <f>1/(COUNT(SimDataScen!$B$9:$B$508)-1)+$I$123</f>
        <v>0.23446893787575168</v>
      </c>
      <c r="J124">
        <f>SMALL(SimDataScen!$C$9:$C$508,118)</f>
        <v>142.31965069680825</v>
      </c>
      <c r="K124">
        <f>1/(COUNT(SimDataScen!$C$9:$C$508)-1)+$K$123</f>
        <v>0.23446893787575168</v>
      </c>
      <c r="L124">
        <f>SMALL(SimDataScen!$D$9:$D$508,118)</f>
        <v>65.33792529269212</v>
      </c>
      <c r="M124">
        <f>1/(COUNT(SimDataScen!$D$9:$D$508)-1)+$M$123</f>
        <v>0.23446893787575168</v>
      </c>
      <c r="N124">
        <f>SMALL(SimDataScen!$E$9:$E$508,118)</f>
        <v>-11.570195646609875</v>
      </c>
      <c r="O124">
        <f>1/(COUNT(SimDataScen!$E$9:$E$508)-1)+$O$123</f>
        <v>0.23446893787575168</v>
      </c>
    </row>
    <row r="125" spans="1:25">
      <c r="A125">
        <v>117</v>
      </c>
      <c r="B125">
        <v>333.98493517406757</v>
      </c>
      <c r="C125">
        <v>254.44205037819614</v>
      </c>
      <c r="D125">
        <v>174.89916558232471</v>
      </c>
      <c r="E125">
        <v>95.356280786453311</v>
      </c>
      <c r="H125">
        <f>SMALL(SimDataScen!$B$9:$B$508,119)</f>
        <v>218.36215454502292</v>
      </c>
      <c r="I125">
        <f>1/(COUNT(SimDataScen!$B$9:$B$508)-1)+$I$124</f>
        <v>0.23647294589178375</v>
      </c>
      <c r="J125">
        <f>SMALL(SimDataScen!$C$9:$C$508,119)</f>
        <v>143.32442773231287</v>
      </c>
      <c r="K125">
        <f>1/(COUNT(SimDataScen!$C$9:$C$508)-1)+$K$124</f>
        <v>0.23647294589178375</v>
      </c>
      <c r="L125">
        <f>SMALL(SimDataScen!$D$9:$D$508,119)</f>
        <v>65.863408461094053</v>
      </c>
      <c r="M125">
        <f>1/(COUNT(SimDataScen!$D$9:$D$508)-1)+$M$124</f>
        <v>0.23647294589178375</v>
      </c>
      <c r="N125">
        <f>SMALL(SimDataScen!$E$9:$E$508,119)</f>
        <v>-11.164907058113243</v>
      </c>
      <c r="O125">
        <f>1/(COUNT(SimDataScen!$E$9:$E$508)-1)+$O$124</f>
        <v>0.23647294589178375</v>
      </c>
    </row>
    <row r="126" spans="1:25">
      <c r="A126">
        <v>118</v>
      </c>
      <c r="B126">
        <v>386.67636453443879</v>
      </c>
      <c r="C126">
        <v>302.54350501158581</v>
      </c>
      <c r="D126">
        <v>218.41064548873274</v>
      </c>
      <c r="E126">
        <v>134.27778596587973</v>
      </c>
      <c r="H126">
        <f>SMALL(SimDataScen!$B$9:$B$508,120)</f>
        <v>218.38827856705984</v>
      </c>
      <c r="I126">
        <f>1/(COUNT(SimDataScen!$B$9:$B$508)-1)+$I$125</f>
        <v>0.23847695390781581</v>
      </c>
      <c r="J126">
        <f>SMALL(SimDataScen!$C$9:$C$508,120)</f>
        <v>144.18278649598869</v>
      </c>
      <c r="K126">
        <f>1/(COUNT(SimDataScen!$C$9:$C$508)-1)+$K$125</f>
        <v>0.23847695390781581</v>
      </c>
      <c r="L126">
        <f>SMALL(SimDataScen!$D$9:$D$508,120)</f>
        <v>66.277146848593588</v>
      </c>
      <c r="M126">
        <f>1/(COUNT(SimDataScen!$D$9:$D$508)-1)+$M$125</f>
        <v>0.23847695390781581</v>
      </c>
      <c r="N126">
        <f>SMALL(SimDataScen!$E$9:$E$508,120)</f>
        <v>-10.976142595636702</v>
      </c>
      <c r="O126">
        <f>1/(COUNT(SimDataScen!$E$9:$E$508)-1)+$O$125</f>
        <v>0.23847695390781581</v>
      </c>
    </row>
    <row r="127" spans="1:25">
      <c r="A127">
        <v>119</v>
      </c>
      <c r="B127">
        <v>172.26536791719047</v>
      </c>
      <c r="C127">
        <v>96.10769378311646</v>
      </c>
      <c r="D127">
        <v>19.950019649042446</v>
      </c>
      <c r="E127">
        <v>-56.207654485031554</v>
      </c>
      <c r="H127">
        <f>SMALL(SimDataScen!$B$9:$B$508,121)</f>
        <v>221.16064499162229</v>
      </c>
      <c r="I127">
        <f>1/(COUNT(SimDataScen!$B$9:$B$508)-1)+$I$126</f>
        <v>0.24048096192384788</v>
      </c>
      <c r="J127">
        <f>SMALL(SimDataScen!$C$9:$C$508,121)</f>
        <v>144.81055464241624</v>
      </c>
      <c r="K127">
        <f>1/(COUNT(SimDataScen!$C$9:$C$508)-1)+$K$126</f>
        <v>0.24048096192384788</v>
      </c>
      <c r="L127">
        <f>SMALL(SimDataScen!$D$9:$D$508,121)</f>
        <v>66.320135536180459</v>
      </c>
      <c r="M127">
        <f>1/(COUNT(SimDataScen!$D$9:$D$508)-1)+$M$126</f>
        <v>0.24048096192384788</v>
      </c>
      <c r="N127">
        <f>SMALL(SimDataScen!$E$9:$E$508,121)</f>
        <v>-10.682277274903811</v>
      </c>
      <c r="O127">
        <f>1/(COUNT(SimDataScen!$E$9:$E$508)-1)+$O$126</f>
        <v>0.24048096192384788</v>
      </c>
    </row>
    <row r="128" spans="1:25">
      <c r="A128">
        <v>120</v>
      </c>
      <c r="B128">
        <v>263.47142792970533</v>
      </c>
      <c r="C128">
        <v>183.00549462525788</v>
      </c>
      <c r="D128">
        <v>102.53956132081041</v>
      </c>
      <c r="E128">
        <v>22.07362801636296</v>
      </c>
      <c r="H128">
        <f>SMALL(SimDataScen!$B$9:$B$508,122)</f>
        <v>222.23872226966142</v>
      </c>
      <c r="I128">
        <f>1/(COUNT(SimDataScen!$B$9:$B$508)-1)+$I$127</f>
        <v>0.24248496993987995</v>
      </c>
      <c r="J128">
        <f>SMALL(SimDataScen!$C$9:$C$508,122)</f>
        <v>145.18828438431547</v>
      </c>
      <c r="K128">
        <f>1/(COUNT(SimDataScen!$C$9:$C$508)-1)+$K$127</f>
        <v>0.24248496993987995</v>
      </c>
      <c r="L128">
        <f>SMALL(SimDataScen!$D$9:$D$508,122)</f>
        <v>66.432097942757395</v>
      </c>
      <c r="M128">
        <f>1/(COUNT(SimDataScen!$D$9:$D$508)-1)+$M$127</f>
        <v>0.24248496993987995</v>
      </c>
      <c r="N128">
        <f>SMALL(SimDataScen!$E$9:$E$508,122)</f>
        <v>-10.218988336044376</v>
      </c>
      <c r="O128">
        <f>1/(COUNT(SimDataScen!$E$9:$E$508)-1)+$O$127</f>
        <v>0.24248496993987995</v>
      </c>
    </row>
    <row r="129" spans="1:15">
      <c r="A129">
        <v>121</v>
      </c>
      <c r="B129">
        <v>124.48503415340403</v>
      </c>
      <c r="C129">
        <v>55.717704669659703</v>
      </c>
      <c r="D129">
        <v>-13.049624814084652</v>
      </c>
      <c r="E129">
        <v>-81.816954297828985</v>
      </c>
      <c r="H129">
        <f>SMALL(SimDataScen!$B$9:$B$508,123)</f>
        <v>222.52595783563973</v>
      </c>
      <c r="I129">
        <f>1/(COUNT(SimDataScen!$B$9:$B$508)-1)+$I$128</f>
        <v>0.24448897795591201</v>
      </c>
      <c r="J129">
        <f>SMALL(SimDataScen!$C$9:$C$508,123)</f>
        <v>145.32595249005811</v>
      </c>
      <c r="K129">
        <f>1/(COUNT(SimDataScen!$C$9:$C$508)-1)+$K$128</f>
        <v>0.24448897795591201</v>
      </c>
      <c r="L129">
        <f>SMALL(SimDataScen!$D$9:$D$508,123)</f>
        <v>66.615832660109277</v>
      </c>
      <c r="M129">
        <f>1/(COUNT(SimDataScen!$D$9:$D$508)-1)+$M$128</f>
        <v>0.24448897795591201</v>
      </c>
      <c r="N129">
        <f>SMALL(SimDataScen!$E$9:$E$508,123)</f>
        <v>-9.7653569996210763</v>
      </c>
      <c r="O129">
        <f>1/(COUNT(SimDataScen!$E$9:$E$508)-1)+$O$128</f>
        <v>0.24448897795591201</v>
      </c>
    </row>
    <row r="130" spans="1:15">
      <c r="A130">
        <v>122</v>
      </c>
      <c r="B130">
        <v>374.23170793080271</v>
      </c>
      <c r="C130">
        <v>292.52293946963965</v>
      </c>
      <c r="D130">
        <v>210.81417100847654</v>
      </c>
      <c r="E130">
        <v>129.10540254731342</v>
      </c>
      <c r="H130">
        <f>SMALL(SimDataScen!$B$9:$B$508,124)</f>
        <v>222.64384154851962</v>
      </c>
      <c r="I130">
        <f>1/(COUNT(SimDataScen!$B$9:$B$508)-1)+$I$129</f>
        <v>0.24649298597194408</v>
      </c>
      <c r="J130">
        <f>SMALL(SimDataScen!$C$9:$C$508,124)</f>
        <v>145.59045966065082</v>
      </c>
      <c r="K130">
        <f>1/(COUNT(SimDataScen!$C$9:$C$508)-1)+$K$129</f>
        <v>0.24649298597194408</v>
      </c>
      <c r="L130">
        <f>SMALL(SimDataScen!$D$9:$D$508,124)</f>
        <v>66.941612438535444</v>
      </c>
      <c r="M130">
        <f>1/(COUNT(SimDataScen!$D$9:$D$508)-1)+$M$129</f>
        <v>0.24649298597194408</v>
      </c>
      <c r="N130">
        <f>SMALL(SimDataScen!$E$9:$E$508,124)</f>
        <v>-9.3426467778357392</v>
      </c>
      <c r="O130">
        <f>1/(COUNT(SimDataScen!$E$9:$E$508)-1)+$O$129</f>
        <v>0.24649298597194408</v>
      </c>
    </row>
    <row r="131" spans="1:15">
      <c r="A131">
        <v>123</v>
      </c>
      <c r="B131">
        <v>398.19210961239366</v>
      </c>
      <c r="C131">
        <v>310.17992925434442</v>
      </c>
      <c r="D131">
        <v>222.16774889629511</v>
      </c>
      <c r="E131">
        <v>134.15556853824583</v>
      </c>
      <c r="H131">
        <f>SMALL(SimDataScen!$B$9:$B$508,125)</f>
        <v>223.47700003290555</v>
      </c>
      <c r="I131">
        <f>1/(COUNT(SimDataScen!$B$9:$B$508)-1)+$I$130</f>
        <v>0.24849699398797614</v>
      </c>
      <c r="J131">
        <f>SMALL(SimDataScen!$C$9:$C$508,125)</f>
        <v>145.79821051030783</v>
      </c>
      <c r="K131">
        <f>1/(COUNT(SimDataScen!$C$9:$C$508)-1)+$K$130</f>
        <v>0.24849699398797614</v>
      </c>
      <c r="L131">
        <f>SMALL(SimDataScen!$D$9:$D$508,125)</f>
        <v>67.174904947210706</v>
      </c>
      <c r="M131">
        <f>1/(COUNT(SimDataScen!$D$9:$D$508)-1)+$M$130</f>
        <v>0.24849699398797614</v>
      </c>
      <c r="N131">
        <f>SMALL(SimDataScen!$E$9:$E$508,125)</f>
        <v>-9.2784024485760312</v>
      </c>
      <c r="O131">
        <f>1/(COUNT(SimDataScen!$E$9:$E$508)-1)+$O$130</f>
        <v>0.24849699398797614</v>
      </c>
    </row>
    <row r="132" spans="1:15">
      <c r="A132">
        <v>124</v>
      </c>
      <c r="B132">
        <v>242.70118703851981</v>
      </c>
      <c r="C132">
        <v>161.7291991492564</v>
      </c>
      <c r="D132">
        <v>80.757211259992971</v>
      </c>
      <c r="E132">
        <v>-0.21477662927043184</v>
      </c>
      <c r="H132">
        <f>SMALL(SimDataScen!$B$9:$B$508,126)</f>
        <v>223.86641293361134</v>
      </c>
      <c r="I132">
        <f>1/(COUNT(SimDataScen!$B$9:$B$508)-1)+$I$131</f>
        <v>0.25050100200400821</v>
      </c>
      <c r="J132">
        <f>SMALL(SimDataScen!$C$9:$C$508,126)</f>
        <v>146.15147447288223</v>
      </c>
      <c r="K132">
        <f>1/(COUNT(SimDataScen!$C$9:$C$508)-1)+$K$131</f>
        <v>0.25050100200400821</v>
      </c>
      <c r="L132">
        <f>SMALL(SimDataScen!$D$9:$D$508,126)</f>
        <v>67.972010073833388</v>
      </c>
      <c r="M132">
        <f>1/(COUNT(SimDataScen!$D$9:$D$508)-1)+$M$131</f>
        <v>0.25050100200400821</v>
      </c>
      <c r="N132">
        <f>SMALL(SimDataScen!$E$9:$E$508,126)</f>
        <v>-9.2157767460118976</v>
      </c>
      <c r="O132">
        <f>1/(COUNT(SimDataScen!$E$9:$E$508)-1)+$O$131</f>
        <v>0.25050100200400821</v>
      </c>
    </row>
    <row r="133" spans="1:15">
      <c r="A133">
        <v>125</v>
      </c>
      <c r="B133">
        <v>329.10441286832554</v>
      </c>
      <c r="C133">
        <v>252.148315185841</v>
      </c>
      <c r="D133">
        <v>175.1922175033564</v>
      </c>
      <c r="E133">
        <v>98.236119820871863</v>
      </c>
      <c r="H133">
        <f>SMALL(SimDataScen!$B$9:$B$508,127)</f>
        <v>223.94447082587351</v>
      </c>
      <c r="I133">
        <f>1/(COUNT(SimDataScen!$B$9:$B$508)-1)+$I$132</f>
        <v>0.25250501002004028</v>
      </c>
      <c r="J133">
        <f>SMALL(SimDataScen!$C$9:$C$508,127)</f>
        <v>146.81871276986436</v>
      </c>
      <c r="K133">
        <f>1/(COUNT(SimDataScen!$C$9:$C$508)-1)+$K$132</f>
        <v>0.25250501002004028</v>
      </c>
      <c r="L133">
        <f>SMALL(SimDataScen!$D$9:$D$508,127)</f>
        <v>68.436536012153084</v>
      </c>
      <c r="M133">
        <f>1/(COUNT(SimDataScen!$D$9:$D$508)-1)+$M$132</f>
        <v>0.25250501002004028</v>
      </c>
      <c r="N133">
        <f>SMALL(SimDataScen!$E$9:$E$508,127)</f>
        <v>-9.1135291610687545</v>
      </c>
      <c r="O133">
        <f>1/(COUNT(SimDataScen!$E$9:$E$508)-1)+$O$132</f>
        <v>0.25250501002004028</v>
      </c>
    </row>
    <row r="134" spans="1:15">
      <c r="A134">
        <v>126</v>
      </c>
      <c r="B134">
        <v>163.99715965367764</v>
      </c>
      <c r="C134">
        <v>88.945315766867239</v>
      </c>
      <c r="D134">
        <v>13.893471880056836</v>
      </c>
      <c r="E134">
        <v>-61.158372006753567</v>
      </c>
      <c r="H134">
        <f>SMALL(SimDataScen!$B$9:$B$508,128)</f>
        <v>224.71888469024393</v>
      </c>
      <c r="I134">
        <f>1/(COUNT(SimDataScen!$B$9:$B$508)-1)+$I$133</f>
        <v>0.25450901803607234</v>
      </c>
      <c r="J134">
        <f>SMALL(SimDataScen!$C$9:$C$508,128)</f>
        <v>146.93875673403852</v>
      </c>
      <c r="K134">
        <f>1/(COUNT(SimDataScen!$C$9:$C$508)-1)+$K$133</f>
        <v>0.25450901803607234</v>
      </c>
      <c r="L134">
        <f>SMALL(SimDataScen!$D$9:$D$508,128)</f>
        <v>68.945093055772531</v>
      </c>
      <c r="M134">
        <f>1/(COUNT(SimDataScen!$D$9:$D$508)-1)+$M$133</f>
        <v>0.25450901803607234</v>
      </c>
      <c r="N134">
        <f>SMALL(SimDataScen!$E$9:$E$508,128)</f>
        <v>-8.0326438185968811</v>
      </c>
      <c r="O134">
        <f>1/(COUNT(SimDataScen!$E$9:$E$508)-1)+$O$133</f>
        <v>0.25450901803607234</v>
      </c>
    </row>
    <row r="135" spans="1:15">
      <c r="A135">
        <v>127</v>
      </c>
      <c r="B135">
        <v>294.77744465119883</v>
      </c>
      <c r="C135">
        <v>216.66176520818954</v>
      </c>
      <c r="D135">
        <v>138.54608576518018</v>
      </c>
      <c r="E135">
        <v>60.430406322170882</v>
      </c>
      <c r="H135">
        <f>SMALL(SimDataScen!$B$9:$B$508,129)</f>
        <v>225.31751086020756</v>
      </c>
      <c r="I135">
        <f>1/(COUNT(SimDataScen!$B$9:$B$508)-1)+$I$134</f>
        <v>0.25651302605210441</v>
      </c>
      <c r="J135">
        <f>SMALL(SimDataScen!$C$9:$C$508,129)</f>
        <v>147.59421704633945</v>
      </c>
      <c r="K135">
        <f>1/(COUNT(SimDataScen!$C$9:$C$508)-1)+$K$134</f>
        <v>0.25651302605210441</v>
      </c>
      <c r="L135">
        <f>SMALL(SimDataScen!$D$9:$D$508,129)</f>
        <v>69.017489590981526</v>
      </c>
      <c r="M135">
        <f>1/(COUNT(SimDataScen!$D$9:$D$508)-1)+$M$134</f>
        <v>0.25651302605210441</v>
      </c>
      <c r="N135">
        <f>SMALL(SimDataScen!$E$9:$E$508,129)</f>
        <v>-7.82999321931797</v>
      </c>
      <c r="O135">
        <f>1/(COUNT(SimDataScen!$E$9:$E$508)-1)+$O$134</f>
        <v>0.25651302605210441</v>
      </c>
    </row>
    <row r="136" spans="1:15">
      <c r="A136">
        <v>128</v>
      </c>
      <c r="B136">
        <v>175.20100695018732</v>
      </c>
      <c r="C136">
        <v>107.49836317209672</v>
      </c>
      <c r="D136">
        <v>39.795719394006113</v>
      </c>
      <c r="E136">
        <v>-27.906924384084476</v>
      </c>
      <c r="H136">
        <f>SMALL(SimDataScen!$B$9:$B$508,130)</f>
        <v>225.5860746476263</v>
      </c>
      <c r="I136">
        <f>1/(COUNT(SimDataScen!$B$9:$B$508)-1)+$I$135</f>
        <v>0.25851703406813648</v>
      </c>
      <c r="J136">
        <f>SMALL(SimDataScen!$C$9:$C$508,130)</f>
        <v>147.92118953703979</v>
      </c>
      <c r="K136">
        <f>1/(COUNT(SimDataScen!$C$9:$C$508)-1)+$K$135</f>
        <v>0.25851703406813648</v>
      </c>
      <c r="L136">
        <f>SMALL(SimDataScen!$D$9:$D$508,130)</f>
        <v>71.649447994762326</v>
      </c>
      <c r="M136">
        <f>1/(COUNT(SimDataScen!$D$9:$D$508)-1)+$M$135</f>
        <v>0.25851703406813648</v>
      </c>
      <c r="N136">
        <f>SMALL(SimDataScen!$E$9:$E$508,130)</f>
        <v>-7.3066124661689003</v>
      </c>
      <c r="O136">
        <f>1/(COUNT(SimDataScen!$E$9:$E$508)-1)+$O$135</f>
        <v>0.25851703406813648</v>
      </c>
    </row>
    <row r="137" spans="1:15">
      <c r="A137">
        <v>129</v>
      </c>
      <c r="B137">
        <v>295.21302905978655</v>
      </c>
      <c r="C137">
        <v>208.80777472959915</v>
      </c>
      <c r="D137">
        <v>122.40252039941171</v>
      </c>
      <c r="E137">
        <v>35.99726606922431</v>
      </c>
      <c r="H137">
        <f>SMALL(SimDataScen!$B$9:$B$508,131)</f>
        <v>225.8590002462567</v>
      </c>
      <c r="I137">
        <f>1/(COUNT(SimDataScen!$B$9:$B$508)-1)+$I$136</f>
        <v>0.26052104208416854</v>
      </c>
      <c r="J137">
        <f>SMALL(SimDataScen!$C$9:$C$508,131)</f>
        <v>148.25799589518158</v>
      </c>
      <c r="K137">
        <f>1/(COUNT(SimDataScen!$C$9:$C$508)-1)+$K$136</f>
        <v>0.26052104208416854</v>
      </c>
      <c r="L137">
        <f>SMALL(SimDataScen!$D$9:$D$508,131)</f>
        <v>72.030682826519751</v>
      </c>
      <c r="M137">
        <f>1/(COUNT(SimDataScen!$D$9:$D$508)-1)+$M$136</f>
        <v>0.26052104208416854</v>
      </c>
      <c r="N137">
        <f>SMALL(SimDataScen!$E$9:$E$508,131)</f>
        <v>-7.1408340357511406</v>
      </c>
      <c r="O137">
        <f>1/(COUNT(SimDataScen!$E$9:$E$508)-1)+$O$136</f>
        <v>0.26052104208416854</v>
      </c>
    </row>
    <row r="138" spans="1:15">
      <c r="A138">
        <v>130</v>
      </c>
      <c r="B138">
        <v>247.0331673691702</v>
      </c>
      <c r="C138">
        <v>169.57313473350004</v>
      </c>
      <c r="D138">
        <v>92.113102097829881</v>
      </c>
      <c r="E138">
        <v>14.653069462159721</v>
      </c>
      <c r="H138">
        <f>SMALL(SimDataScen!$B$9:$B$508,132)</f>
        <v>226.20615560520275</v>
      </c>
      <c r="I138">
        <f>1/(COUNT(SimDataScen!$B$9:$B$508)-1)+$I$137</f>
        <v>0.26252505010020061</v>
      </c>
      <c r="J138">
        <f>SMALL(SimDataScen!$C$9:$C$508,132)</f>
        <v>149.11841921586125</v>
      </c>
      <c r="K138">
        <f>1/(COUNT(SimDataScen!$C$9:$C$508)-1)+$K$137</f>
        <v>0.26252505010020061</v>
      </c>
      <c r="L138">
        <f>SMALL(SimDataScen!$D$9:$D$508,132)</f>
        <v>72.084865938237272</v>
      </c>
      <c r="M138">
        <f>1/(COUNT(SimDataScen!$D$9:$D$508)-1)+$M$137</f>
        <v>0.26252505010020061</v>
      </c>
      <c r="N138">
        <f>SMALL(SimDataScen!$E$9:$E$508,132)</f>
        <v>-6.7346413939671663</v>
      </c>
      <c r="O138">
        <f>1/(COUNT(SimDataScen!$E$9:$E$508)-1)+$O$137</f>
        <v>0.26252505010020061</v>
      </c>
    </row>
    <row r="139" spans="1:15">
      <c r="A139">
        <v>131</v>
      </c>
      <c r="B139">
        <v>235.25080151007856</v>
      </c>
      <c r="C139">
        <v>144.81055464241624</v>
      </c>
      <c r="D139">
        <v>54.370307774753883</v>
      </c>
      <c r="E139">
        <v>-36.069939092908442</v>
      </c>
      <c r="H139">
        <f>SMALL(SimDataScen!$B$9:$B$508,133)</f>
        <v>228.01311434301789</v>
      </c>
      <c r="I139">
        <f>1/(COUNT(SimDataScen!$B$9:$B$508)-1)+$I$138</f>
        <v>0.26452905811623267</v>
      </c>
      <c r="J139">
        <f>SMALL(SimDataScen!$C$9:$C$508,133)</f>
        <v>149.58558022388826</v>
      </c>
      <c r="K139">
        <f>1/(COUNT(SimDataScen!$C$9:$C$508)-1)+$K$138</f>
        <v>0.26452905811623267</v>
      </c>
      <c r="L139">
        <f>SMALL(SimDataScen!$D$9:$D$508,133)</f>
        <v>73.0917877302536</v>
      </c>
      <c r="M139">
        <f>1/(COUNT(SimDataScen!$D$9:$D$508)-1)+$M$138</f>
        <v>0.26452905811623267</v>
      </c>
      <c r="N139">
        <f>SMALL(SimDataScen!$E$9:$E$508,133)</f>
        <v>-5.4342416207678212</v>
      </c>
      <c r="O139">
        <f>1/(COUNT(SimDataScen!$E$9:$E$508)-1)+$O$138</f>
        <v>0.26452905811623267</v>
      </c>
    </row>
    <row r="140" spans="1:15">
      <c r="A140">
        <v>132</v>
      </c>
      <c r="B140">
        <v>333.44340878437015</v>
      </c>
      <c r="C140">
        <v>249.57569676817229</v>
      </c>
      <c r="D140">
        <v>165.70798475197441</v>
      </c>
      <c r="E140">
        <v>81.840272735776523</v>
      </c>
      <c r="H140">
        <f>SMALL(SimDataScen!$B$9:$B$508,134)</f>
        <v>228.2465780821241</v>
      </c>
      <c r="I140">
        <f>1/(COUNT(SimDataScen!$B$9:$B$508)-1)+$I$139</f>
        <v>0.26653306613226474</v>
      </c>
      <c r="J140">
        <f>SMALL(SimDataScen!$C$9:$C$508,134)</f>
        <v>149.60517482857296</v>
      </c>
      <c r="K140">
        <f>1/(COUNT(SimDataScen!$C$9:$C$508)-1)+$K$139</f>
        <v>0.26653306613226474</v>
      </c>
      <c r="L140">
        <f>SMALL(SimDataScen!$D$9:$D$508,134)</f>
        <v>73.145373859101753</v>
      </c>
      <c r="M140">
        <f>1/(COUNT(SimDataScen!$D$9:$D$508)-1)+$M$139</f>
        <v>0.26653306613226474</v>
      </c>
      <c r="N140">
        <f>SMALL(SimDataScen!$E$9:$E$508,134)</f>
        <v>-5.0570535628217499</v>
      </c>
      <c r="O140">
        <f>1/(COUNT(SimDataScen!$E$9:$E$508)-1)+$O$139</f>
        <v>0.26653306613226474</v>
      </c>
    </row>
    <row r="141" spans="1:15">
      <c r="A141">
        <v>133</v>
      </c>
      <c r="B141">
        <v>303.20602170295456</v>
      </c>
      <c r="C141">
        <v>222.98481698116888</v>
      </c>
      <c r="D141">
        <v>142.76361225938322</v>
      </c>
      <c r="E141">
        <v>62.542407537597569</v>
      </c>
      <c r="H141">
        <f>SMALL(SimDataScen!$B$9:$B$508,135)</f>
        <v>228.24682165414347</v>
      </c>
      <c r="I141">
        <f>1/(COUNT(SimDataScen!$B$9:$B$508)-1)+$I$140</f>
        <v>0.26853707414829681</v>
      </c>
      <c r="J141">
        <f>SMALL(SimDataScen!$C$9:$C$508,135)</f>
        <v>149.78470939357675</v>
      </c>
      <c r="K141">
        <f>1/(COUNT(SimDataScen!$C$9:$C$508)-1)+$K$140</f>
        <v>0.26853707414829681</v>
      </c>
      <c r="L141">
        <f>SMALL(SimDataScen!$D$9:$D$508,135)</f>
        <v>73.208142453555809</v>
      </c>
      <c r="M141">
        <f>1/(COUNT(SimDataScen!$D$9:$D$508)-1)+$M$140</f>
        <v>0.26853707414829681</v>
      </c>
      <c r="N141">
        <f>SMALL(SimDataScen!$E$9:$E$508,135)</f>
        <v>-4.6858067645478627</v>
      </c>
      <c r="O141">
        <f>1/(COUNT(SimDataScen!$E$9:$E$508)-1)+$O$140</f>
        <v>0.26853707414829681</v>
      </c>
    </row>
    <row r="142" spans="1:15">
      <c r="A142">
        <v>134</v>
      </c>
      <c r="B142">
        <v>241.24088478929818</v>
      </c>
      <c r="C142">
        <v>166.61562059873211</v>
      </c>
      <c r="D142">
        <v>91.990356408165994</v>
      </c>
      <c r="E142">
        <v>17.365092217599909</v>
      </c>
      <c r="H142">
        <f>SMALL(SimDataScen!$B$9:$B$508,136)</f>
        <v>228.62721822614793</v>
      </c>
      <c r="I142">
        <f>1/(COUNT(SimDataScen!$B$9:$B$508)-1)+$I$141</f>
        <v>0.27054108216432887</v>
      </c>
      <c r="J142">
        <f>SMALL(SimDataScen!$C$9:$C$508,136)</f>
        <v>149.9783854867228</v>
      </c>
      <c r="K142">
        <f>1/(COUNT(SimDataScen!$C$9:$C$508)-1)+$K$141</f>
        <v>0.27054108216432887</v>
      </c>
      <c r="L142">
        <f>SMALL(SimDataScen!$D$9:$D$508,136)</f>
        <v>73.307285677677797</v>
      </c>
      <c r="M142">
        <f>1/(COUNT(SimDataScen!$D$9:$D$508)-1)+$M$141</f>
        <v>0.27054108216432887</v>
      </c>
      <c r="N142">
        <f>SMALL(SimDataScen!$E$9:$E$508,136)</f>
        <v>-4.4052282524094153</v>
      </c>
      <c r="O142">
        <f>1/(COUNT(SimDataScen!$E$9:$E$508)-1)+$O$141</f>
        <v>0.27054108216432887</v>
      </c>
    </row>
    <row r="143" spans="1:15">
      <c r="A143">
        <v>135</v>
      </c>
      <c r="B143">
        <v>174.1419378211454</v>
      </c>
      <c r="C143">
        <v>89.581378997080691</v>
      </c>
      <c r="D143">
        <v>5.0208201730159772</v>
      </c>
      <c r="E143">
        <v>-79.539738651048737</v>
      </c>
      <c r="H143">
        <f>SMALL(SimDataScen!$B$9:$B$508,137)</f>
        <v>229.29347056212913</v>
      </c>
      <c r="I143">
        <f>1/(COUNT(SimDataScen!$B$9:$B$508)-1)+$I$142</f>
        <v>0.27254509018036094</v>
      </c>
      <c r="J143">
        <f>SMALL(SimDataScen!$C$9:$C$508,137)</f>
        <v>150.5972481491479</v>
      </c>
      <c r="K143">
        <f>1/(COUNT(SimDataScen!$C$9:$C$508)-1)+$K$142</f>
        <v>0.27254509018036094</v>
      </c>
      <c r="L143">
        <f>SMALL(SimDataScen!$D$9:$D$508,137)</f>
        <v>73.454691688183118</v>
      </c>
      <c r="M143">
        <f>1/(COUNT(SimDataScen!$D$9:$D$508)-1)+$M$142</f>
        <v>0.27254509018036094</v>
      </c>
      <c r="N143">
        <f>SMALL(SimDataScen!$E$9:$E$508,137)</f>
        <v>-3.5839637111043601</v>
      </c>
      <c r="O143">
        <f>1/(COUNT(SimDataScen!$E$9:$E$508)-1)+$O$142</f>
        <v>0.27254509018036094</v>
      </c>
    </row>
    <row r="144" spans="1:15">
      <c r="A144">
        <v>136</v>
      </c>
      <c r="B144">
        <v>309.06373668173939</v>
      </c>
      <c r="C144">
        <v>227.02072941557128</v>
      </c>
      <c r="D144">
        <v>144.97772214940315</v>
      </c>
      <c r="E144">
        <v>62.934714883235046</v>
      </c>
      <c r="H144">
        <f>SMALL(SimDataScen!$B$9:$B$508,138)</f>
        <v>229.36484924874978</v>
      </c>
      <c r="I144">
        <f>1/(COUNT(SimDataScen!$B$9:$B$508)-1)+$I$143</f>
        <v>0.274549098196393</v>
      </c>
      <c r="J144">
        <f>SMALL(SimDataScen!$C$9:$C$508,138)</f>
        <v>150.69597597061295</v>
      </c>
      <c r="K144">
        <f>1/(COUNT(SimDataScen!$C$9:$C$508)-1)+$K$143</f>
        <v>0.274549098196393</v>
      </c>
      <c r="L144">
        <f>SMALL(SimDataScen!$D$9:$D$508,138)</f>
        <v>73.61506230693638</v>
      </c>
      <c r="M144">
        <f>1/(COUNT(SimDataScen!$D$9:$D$508)-1)+$M$143</f>
        <v>0.274549098196393</v>
      </c>
      <c r="N144">
        <f>SMALL(SimDataScen!$E$9:$E$508,138)</f>
        <v>-3.5132380503592344</v>
      </c>
      <c r="O144">
        <f>1/(COUNT(SimDataScen!$E$9:$E$508)-1)+$O$143</f>
        <v>0.274549098196393</v>
      </c>
    </row>
    <row r="145" spans="1:15">
      <c r="A145">
        <v>137</v>
      </c>
      <c r="B145">
        <v>330.12745854459348</v>
      </c>
      <c r="C145">
        <v>247.4367229167184</v>
      </c>
      <c r="D145">
        <v>164.74598728884334</v>
      </c>
      <c r="E145">
        <v>82.055251660968253</v>
      </c>
      <c r="H145">
        <f>SMALL(SimDataScen!$B$9:$B$508,139)</f>
        <v>230.19286006616434</v>
      </c>
      <c r="I145">
        <f>1/(COUNT(SimDataScen!$B$9:$B$508)-1)+$I$144</f>
        <v>0.27655310621242507</v>
      </c>
      <c r="J145">
        <f>SMALL(SimDataScen!$C$9:$C$508,139)</f>
        <v>150.81408832497715</v>
      </c>
      <c r="K145">
        <f>1/(COUNT(SimDataScen!$C$9:$C$508)-1)+$K$144</f>
        <v>0.27655310621242507</v>
      </c>
      <c r="L145">
        <f>SMALL(SimDataScen!$D$9:$D$508,139)</f>
        <v>74.378196109076839</v>
      </c>
      <c r="M145">
        <f>1/(COUNT(SimDataScen!$D$9:$D$508)-1)+$M$144</f>
        <v>0.27655310621242507</v>
      </c>
      <c r="N145">
        <f>SMALL(SimDataScen!$E$9:$E$508,139)</f>
        <v>-3.2236727602331428</v>
      </c>
      <c r="O145">
        <f>1/(COUNT(SimDataScen!$E$9:$E$508)-1)+$O$144</f>
        <v>0.27655310621242507</v>
      </c>
    </row>
    <row r="146" spans="1:15">
      <c r="A146">
        <v>138</v>
      </c>
      <c r="B146">
        <v>236.05411447654936</v>
      </c>
      <c r="C146">
        <v>160.2269251287963</v>
      </c>
      <c r="D146">
        <v>84.399735781043205</v>
      </c>
      <c r="E146">
        <v>8.5725464332901424</v>
      </c>
      <c r="H146">
        <f>SMALL(SimDataScen!$B$9:$B$508,140)</f>
        <v>231.01204533695957</v>
      </c>
      <c r="I146">
        <f>1/(COUNT(SimDataScen!$B$9:$B$508)-1)+$I$145</f>
        <v>0.27855711422845714</v>
      </c>
      <c r="J146">
        <f>SMALL(SimDataScen!$C$9:$C$508,140)</f>
        <v>151.30037811990348</v>
      </c>
      <c r="K146">
        <f>1/(COUNT(SimDataScen!$C$9:$C$508)-1)+$K$145</f>
        <v>0.27855711422845714</v>
      </c>
      <c r="L146">
        <f>SMALL(SimDataScen!$D$9:$D$508,140)</f>
        <v>75.140232903648467</v>
      </c>
      <c r="M146">
        <f>1/(COUNT(SimDataScen!$D$9:$D$508)-1)+$M$145</f>
        <v>0.27855711422845714</v>
      </c>
      <c r="N146">
        <f>SMALL(SimDataScen!$E$9:$E$508,140)</f>
        <v>-2.5536006603280441</v>
      </c>
      <c r="O146">
        <f>1/(COUNT(SimDataScen!$E$9:$E$508)-1)+$O$145</f>
        <v>0.27855711422845714</v>
      </c>
    </row>
    <row r="147" spans="1:15">
      <c r="A147">
        <v>139</v>
      </c>
      <c r="B147">
        <v>238.01674431324312</v>
      </c>
      <c r="C147">
        <v>157.50675019204232</v>
      </c>
      <c r="D147">
        <v>76.996756070841542</v>
      </c>
      <c r="E147">
        <v>-3.5132380503592344</v>
      </c>
      <c r="H147">
        <f>SMALL(SimDataScen!$B$9:$B$508,141)</f>
        <v>231.17351727947803</v>
      </c>
      <c r="I147">
        <f>1/(COUNT(SimDataScen!$B$9:$B$508)-1)+$I$146</f>
        <v>0.2805611222444892</v>
      </c>
      <c r="J147">
        <f>SMALL(SimDataScen!$C$9:$C$508,141)</f>
        <v>152.58862817172059</v>
      </c>
      <c r="K147">
        <f>1/(COUNT(SimDataScen!$C$9:$C$508)-1)+$K$146</f>
        <v>0.2805611222444892</v>
      </c>
      <c r="L147">
        <f>SMALL(SimDataScen!$D$9:$D$508,141)</f>
        <v>75.237886283201632</v>
      </c>
      <c r="M147">
        <f>1/(COUNT(SimDataScen!$D$9:$D$508)-1)+$M$146</f>
        <v>0.2805611222444892</v>
      </c>
      <c r="N147">
        <f>SMALL(SimDataScen!$E$9:$E$508,141)</f>
        <v>-2.0815695712509523</v>
      </c>
      <c r="O147">
        <f>1/(COUNT(SimDataScen!$E$9:$E$508)-1)+$O$146</f>
        <v>0.2805611222444892</v>
      </c>
    </row>
    <row r="148" spans="1:15">
      <c r="A148">
        <v>140</v>
      </c>
      <c r="B148">
        <v>230.19286006616434</v>
      </c>
      <c r="C148">
        <v>149.60517482857296</v>
      </c>
      <c r="D148">
        <v>69.017489590981526</v>
      </c>
      <c r="E148">
        <v>-11.570195646609875</v>
      </c>
      <c r="H148">
        <f>SMALL(SimDataScen!$B$9:$B$508,142)</f>
        <v>231.17806649767101</v>
      </c>
      <c r="I148">
        <f>1/(COUNT(SimDataScen!$B$9:$B$508)-1)+$I$147</f>
        <v>0.28256513026052127</v>
      </c>
      <c r="J148">
        <f>SMALL(SimDataScen!$C$9:$C$508,142)</f>
        <v>152.64154276736042</v>
      </c>
      <c r="K148">
        <f>1/(COUNT(SimDataScen!$C$9:$C$508)-1)+$K$147</f>
        <v>0.28256513026052127</v>
      </c>
      <c r="L148">
        <f>SMALL(SimDataScen!$D$9:$D$508,142)</f>
        <v>75.883437130741441</v>
      </c>
      <c r="M148">
        <f>1/(COUNT(SimDataScen!$D$9:$D$508)-1)+$M$147</f>
        <v>0.28256513026052127</v>
      </c>
      <c r="N148">
        <f>SMALL(SimDataScen!$E$9:$E$508,142)</f>
        <v>-0.4968021978692434</v>
      </c>
      <c r="O148">
        <f>1/(COUNT(SimDataScen!$E$9:$E$508)-1)+$O$147</f>
        <v>0.28256513026052127</v>
      </c>
    </row>
    <row r="149" spans="1:15">
      <c r="A149">
        <v>141</v>
      </c>
      <c r="B149">
        <v>293.9051595339846</v>
      </c>
      <c r="C149">
        <v>204.02751057078729</v>
      </c>
      <c r="D149">
        <v>114.14986160758994</v>
      </c>
      <c r="E149">
        <v>24.272212644392624</v>
      </c>
      <c r="H149">
        <f>SMALL(SimDataScen!$B$9:$B$508,143)</f>
        <v>232.55532778766724</v>
      </c>
      <c r="I149">
        <f>1/(COUNT(SimDataScen!$B$9:$B$508)-1)+$I$148</f>
        <v>0.28456913827655334</v>
      </c>
      <c r="J149">
        <f>SMALL(SimDataScen!$C$9:$C$508,143)</f>
        <v>152.83613274003795</v>
      </c>
      <c r="K149">
        <f>1/(COUNT(SimDataScen!$C$9:$C$508)-1)+$K$148</f>
        <v>0.28456913827655334</v>
      </c>
      <c r="L149">
        <f>SMALL(SimDataScen!$D$9:$D$508,143)</f>
        <v>76.055452903879086</v>
      </c>
      <c r="M149">
        <f>1/(COUNT(SimDataScen!$D$9:$D$508)-1)+$M$148</f>
        <v>0.28456913827655334</v>
      </c>
      <c r="N149">
        <f>SMALL(SimDataScen!$E$9:$E$508,143)</f>
        <v>-0.21477662927043184</v>
      </c>
      <c r="O149">
        <f>1/(COUNT(SimDataScen!$E$9:$E$508)-1)+$O$148</f>
        <v>0.28456913827655334</v>
      </c>
    </row>
    <row r="150" spans="1:15">
      <c r="A150">
        <v>142</v>
      </c>
      <c r="B150">
        <v>417.45236372972738</v>
      </c>
      <c r="C150">
        <v>335.90406706133211</v>
      </c>
      <c r="D150">
        <v>254.35577039293679</v>
      </c>
      <c r="E150">
        <v>172.8074737245415</v>
      </c>
      <c r="H150">
        <f>SMALL(SimDataScen!$B$9:$B$508,144)</f>
        <v>233.18795515457774</v>
      </c>
      <c r="I150">
        <f>1/(COUNT(SimDataScen!$B$9:$B$508)-1)+$I$149</f>
        <v>0.2865731462925854</v>
      </c>
      <c r="J150">
        <f>SMALL(SimDataScen!$C$9:$C$508,144)</f>
        <v>153.32440949625834</v>
      </c>
      <c r="K150">
        <f>1/(COUNT(SimDataScen!$C$9:$C$508)-1)+$K$149</f>
        <v>0.2865731462925854</v>
      </c>
      <c r="L150">
        <f>SMALL(SimDataScen!$D$9:$D$508,144)</f>
        <v>76.996756070841542</v>
      </c>
      <c r="M150">
        <f>1/(COUNT(SimDataScen!$D$9:$D$508)-1)+$M$149</f>
        <v>0.2865731462925854</v>
      </c>
      <c r="N150">
        <f>SMALL(SimDataScen!$E$9:$E$508,144)</f>
        <v>0.18861055856575604</v>
      </c>
      <c r="O150">
        <f>1/(COUNT(SimDataScen!$E$9:$E$508)-1)+$O$149</f>
        <v>0.2865731462925854</v>
      </c>
    </row>
    <row r="151" spans="1:15">
      <c r="A151">
        <v>143</v>
      </c>
      <c r="B151">
        <v>233.64767563007678</v>
      </c>
      <c r="C151">
        <v>155.59951635409476</v>
      </c>
      <c r="D151">
        <v>77.551357078112758</v>
      </c>
      <c r="E151">
        <v>-0.4968021978692434</v>
      </c>
      <c r="H151">
        <f>SMALL(SimDataScen!$B$9:$B$508,145)</f>
        <v>233.39022404940619</v>
      </c>
      <c r="I151">
        <f>1/(COUNT(SimDataScen!$B$9:$B$508)-1)+$I$150</f>
        <v>0.28857715430861747</v>
      </c>
      <c r="J151">
        <f>SMALL(SimDataScen!$C$9:$C$508,145)</f>
        <v>154.34463692217304</v>
      </c>
      <c r="K151">
        <f>1/(COUNT(SimDataScen!$C$9:$C$508)-1)+$K$150</f>
        <v>0.28857715430861747</v>
      </c>
      <c r="L151">
        <f>SMALL(SimDataScen!$D$9:$D$508,145)</f>
        <v>77.043460951513723</v>
      </c>
      <c r="M151">
        <f>1/(COUNT(SimDataScen!$D$9:$D$508)-1)+$M$150</f>
        <v>0.28857715430861747</v>
      </c>
      <c r="N151">
        <f>SMALL(SimDataScen!$E$9:$E$508,145)</f>
        <v>0.26133339571651959</v>
      </c>
      <c r="O151">
        <f>1/(COUNT(SimDataScen!$E$9:$E$508)-1)+$O$150</f>
        <v>0.28857715430861747</v>
      </c>
    </row>
    <row r="152" spans="1:15">
      <c r="A152">
        <v>144</v>
      </c>
      <c r="B152">
        <v>148.60417248386963</v>
      </c>
      <c r="C152">
        <v>73.120265338079832</v>
      </c>
      <c r="D152">
        <v>-2.3636418077099819</v>
      </c>
      <c r="E152">
        <v>-77.847548953499782</v>
      </c>
      <c r="H152">
        <f>SMALL(SimDataScen!$B$9:$B$508,146)</f>
        <v>233.55703126226308</v>
      </c>
      <c r="I152">
        <f>1/(COUNT(SimDataScen!$B$9:$B$508)-1)+$I$151</f>
        <v>0.29058116232464953</v>
      </c>
      <c r="J152">
        <f>SMALL(SimDataScen!$C$9:$C$508,146)</f>
        <v>154.62767167171882</v>
      </c>
      <c r="K152">
        <f>1/(COUNT(SimDataScen!$C$9:$C$508)-1)+$K$151</f>
        <v>0.29058116232464953</v>
      </c>
      <c r="L152">
        <f>SMALL(SimDataScen!$D$9:$D$508,146)</f>
        <v>77.045047253927933</v>
      </c>
      <c r="M152">
        <f>1/(COUNT(SimDataScen!$D$9:$D$508)-1)+$M$151</f>
        <v>0.29058116232464953</v>
      </c>
      <c r="N152">
        <f>SMALL(SimDataScen!$E$9:$E$508,146)</f>
        <v>0.49738707968049312</v>
      </c>
      <c r="O152">
        <f>1/(COUNT(SimDataScen!$E$9:$E$508)-1)+$O$151</f>
        <v>0.29058116232464953</v>
      </c>
    </row>
    <row r="153" spans="1:15">
      <c r="A153">
        <v>145</v>
      </c>
      <c r="B153">
        <v>195.91265154794726</v>
      </c>
      <c r="C153">
        <v>115.23012320472515</v>
      </c>
      <c r="D153">
        <v>34.547594861503001</v>
      </c>
      <c r="E153">
        <v>-46.134933481719116</v>
      </c>
      <c r="H153">
        <f>SMALL(SimDataScen!$B$9:$B$508,147)</f>
        <v>233.63363753995847</v>
      </c>
      <c r="I153">
        <f>1/(COUNT(SimDataScen!$B$9:$B$508)-1)+$I$152</f>
        <v>0.2925851703406816</v>
      </c>
      <c r="J153">
        <f>SMALL(SimDataScen!$C$9:$C$508,147)</f>
        <v>155.49103361212084</v>
      </c>
      <c r="K153">
        <f>1/(COUNT(SimDataScen!$C$9:$C$508)-1)+$K$152</f>
        <v>0.2925851703406816</v>
      </c>
      <c r="L153">
        <f>SMALL(SimDataScen!$D$9:$D$508,147)</f>
        <v>77.499150318768272</v>
      </c>
      <c r="M153">
        <f>1/(COUNT(SimDataScen!$D$9:$D$508)-1)+$M$152</f>
        <v>0.2925851703406816</v>
      </c>
      <c r="N153">
        <f>SMALL(SimDataScen!$E$9:$E$508,147)</f>
        <v>0.61807439680379161</v>
      </c>
      <c r="O153">
        <f>1/(COUNT(SimDataScen!$E$9:$E$508)-1)+$O$152</f>
        <v>0.2925851703406816</v>
      </c>
    </row>
    <row r="154" spans="1:15">
      <c r="A154">
        <v>146</v>
      </c>
      <c r="B154">
        <v>222.23872226966142</v>
      </c>
      <c r="C154">
        <v>150.5972481491479</v>
      </c>
      <c r="D154">
        <v>78.955774028634352</v>
      </c>
      <c r="E154">
        <v>7.3142999081208302</v>
      </c>
      <c r="H154">
        <f>SMALL(SimDataScen!$B$9:$B$508,148)</f>
        <v>233.64767563007678</v>
      </c>
      <c r="I154">
        <f>1/(COUNT(SimDataScen!$B$9:$B$508)-1)+$I$153</f>
        <v>0.29458917835671367</v>
      </c>
      <c r="J154">
        <f>SMALL(SimDataScen!$C$9:$C$508,148)</f>
        <v>155.59951635409476</v>
      </c>
      <c r="K154">
        <f>1/(COUNT(SimDataScen!$C$9:$C$508)-1)+$K$153</f>
        <v>0.29458917835671367</v>
      </c>
      <c r="L154">
        <f>SMALL(SimDataScen!$D$9:$D$508,148)</f>
        <v>77.551357078112758</v>
      </c>
      <c r="M154">
        <f>1/(COUNT(SimDataScen!$D$9:$D$508)-1)+$M$153</f>
        <v>0.29458917835671367</v>
      </c>
      <c r="N154">
        <f>SMALL(SimDataScen!$E$9:$E$508,148)</f>
        <v>0.70540976598175575</v>
      </c>
      <c r="O154">
        <f>1/(COUNT(SimDataScen!$E$9:$E$508)-1)+$O$153</f>
        <v>0.29458917835671367</v>
      </c>
    </row>
    <row r="155" spans="1:15">
      <c r="A155">
        <v>147</v>
      </c>
      <c r="B155">
        <v>442.3359325831558</v>
      </c>
      <c r="C155">
        <v>352.78166557426204</v>
      </c>
      <c r="D155">
        <v>263.22739856536828</v>
      </c>
      <c r="E155">
        <v>173.67313155647452</v>
      </c>
      <c r="H155">
        <f>SMALL(SimDataScen!$B$9:$B$508,149)</f>
        <v>235.25080151007856</v>
      </c>
      <c r="I155">
        <f>1/(COUNT(SimDataScen!$B$9:$B$508)-1)+$I$154</f>
        <v>0.29659318637274573</v>
      </c>
      <c r="J155">
        <f>SMALL(SimDataScen!$C$9:$C$508,149)</f>
        <v>157.0798702087875</v>
      </c>
      <c r="K155">
        <f>1/(COUNT(SimDataScen!$C$9:$C$508)-1)+$K$154</f>
        <v>0.29659318637274573</v>
      </c>
      <c r="L155">
        <f>SMALL(SimDataScen!$D$9:$D$508,149)</f>
        <v>77.567752340889669</v>
      </c>
      <c r="M155">
        <f>1/(COUNT(SimDataScen!$D$9:$D$508)-1)+$M$154</f>
        <v>0.29659318637274573</v>
      </c>
      <c r="N155">
        <f>SMALL(SimDataScen!$E$9:$E$508,149)</f>
        <v>1.2539617678179411</v>
      </c>
      <c r="O155">
        <f>1/(COUNT(SimDataScen!$E$9:$E$508)-1)+$O$154</f>
        <v>0.29659318637274573</v>
      </c>
    </row>
    <row r="156" spans="1:15">
      <c r="A156">
        <v>148</v>
      </c>
      <c r="B156">
        <v>268.45109578711197</v>
      </c>
      <c r="C156">
        <v>188.36860090666977</v>
      </c>
      <c r="D156">
        <v>108.28610602622753</v>
      </c>
      <c r="E156">
        <v>28.203611145785317</v>
      </c>
      <c r="H156">
        <f>SMALL(SimDataScen!$B$9:$B$508,150)</f>
        <v>235.3860237324408</v>
      </c>
      <c r="I156">
        <f>1/(COUNT(SimDataScen!$B$9:$B$508)-1)+$I$155</f>
        <v>0.2985971943887778</v>
      </c>
      <c r="J156">
        <f>SMALL(SimDataScen!$C$9:$C$508,150)</f>
        <v>157.50323486397286</v>
      </c>
      <c r="K156">
        <f>1/(COUNT(SimDataScen!$C$9:$C$508)-1)+$K$155</f>
        <v>0.2985971943887778</v>
      </c>
      <c r="L156">
        <f>SMALL(SimDataScen!$D$9:$D$508,150)</f>
        <v>78.243298006478014</v>
      </c>
      <c r="M156">
        <f>1/(COUNT(SimDataScen!$D$9:$D$508)-1)+$M$155</f>
        <v>0.2985971943887778</v>
      </c>
      <c r="N156">
        <f>SMALL(SimDataScen!$E$9:$E$508,150)</f>
        <v>1.8589243412372412</v>
      </c>
      <c r="O156">
        <f>1/(COUNT(SimDataScen!$E$9:$E$508)-1)+$O$155</f>
        <v>0.2985971943887778</v>
      </c>
    </row>
    <row r="157" spans="1:15">
      <c r="A157">
        <v>149</v>
      </c>
      <c r="B157">
        <v>269.42299272613792</v>
      </c>
      <c r="C157">
        <v>191.76018285844071</v>
      </c>
      <c r="D157">
        <v>114.09737299074347</v>
      </c>
      <c r="E157">
        <v>36.434563123046246</v>
      </c>
      <c r="H157">
        <f>SMALL(SimDataScen!$B$9:$B$508,151)</f>
        <v>236.05411447654936</v>
      </c>
      <c r="I157">
        <f>1/(COUNT(SimDataScen!$B$9:$B$508)-1)+$I$156</f>
        <v>0.30060120240480986</v>
      </c>
      <c r="J157">
        <f>SMALL(SimDataScen!$C$9:$C$508,151)</f>
        <v>157.50675019204232</v>
      </c>
      <c r="K157">
        <f>1/(COUNT(SimDataScen!$C$9:$C$508)-1)+$K$156</f>
        <v>0.30060120240480986</v>
      </c>
      <c r="L157">
        <f>SMALL(SimDataScen!$D$9:$D$508,151)</f>
        <v>78.905241541448049</v>
      </c>
      <c r="M157">
        <f>1/(COUNT(SimDataScen!$D$9:$D$508)-1)+$M$156</f>
        <v>0.30060120240480986</v>
      </c>
      <c r="N157">
        <f>SMALL(SimDataScen!$E$9:$E$508,151)</f>
        <v>2.7265968803775564</v>
      </c>
      <c r="O157">
        <f>1/(COUNT(SimDataScen!$E$9:$E$508)-1)+$O$156</f>
        <v>0.30060120240480986</v>
      </c>
    </row>
    <row r="158" spans="1:15">
      <c r="A158">
        <v>150</v>
      </c>
      <c r="B158">
        <v>258.93967445725207</v>
      </c>
      <c r="C158">
        <v>181.57266160131786</v>
      </c>
      <c r="D158">
        <v>104.20564874538367</v>
      </c>
      <c r="E158">
        <v>26.838635889449478</v>
      </c>
      <c r="H158">
        <f>SMALL(SimDataScen!$B$9:$B$508,152)</f>
        <v>236.19305783291114</v>
      </c>
      <c r="I158">
        <f>1/(COUNT(SimDataScen!$B$9:$B$508)-1)+$I$157</f>
        <v>0.30260521042084193</v>
      </c>
      <c r="J158">
        <f>SMALL(SimDataScen!$C$9:$C$508,152)</f>
        <v>157.54914968717961</v>
      </c>
      <c r="K158">
        <f>1/(COUNT(SimDataScen!$C$9:$C$508)-1)+$K$157</f>
        <v>0.30260521042084193</v>
      </c>
      <c r="L158">
        <f>SMALL(SimDataScen!$D$9:$D$508,152)</f>
        <v>78.955774028634352</v>
      </c>
      <c r="M158">
        <f>1/(COUNT(SimDataScen!$D$9:$D$508)-1)+$M$157</f>
        <v>0.30260521042084193</v>
      </c>
      <c r="N158">
        <f>SMALL(SimDataScen!$E$9:$E$508,152)</f>
        <v>4.302212509450726</v>
      </c>
      <c r="O158">
        <f>1/(COUNT(SimDataScen!$E$9:$E$508)-1)+$O$157</f>
        <v>0.30260521042084193</v>
      </c>
    </row>
    <row r="159" spans="1:15">
      <c r="A159">
        <v>151</v>
      </c>
      <c r="B159">
        <v>393.42325077547025</v>
      </c>
      <c r="C159">
        <v>309.41706058782358</v>
      </c>
      <c r="D159">
        <v>225.41087040017695</v>
      </c>
      <c r="E159">
        <v>141.40468021253028</v>
      </c>
      <c r="H159">
        <f>SMALL(SimDataScen!$B$9:$B$508,153)</f>
        <v>236.57511444848166</v>
      </c>
      <c r="I159">
        <f>1/(COUNT(SimDataScen!$B$9:$B$508)-1)+$I$158</f>
        <v>0.304609218436874</v>
      </c>
      <c r="J159">
        <f>SMALL(SimDataScen!$C$9:$C$508,153)</f>
        <v>157.68910534210738</v>
      </c>
      <c r="K159">
        <f>1/(COUNT(SimDataScen!$C$9:$C$508)-1)+$K$158</f>
        <v>0.304609218436874</v>
      </c>
      <c r="L159">
        <f>SMALL(SimDataScen!$D$9:$D$508,153)</f>
        <v>79.318256097184431</v>
      </c>
      <c r="M159">
        <f>1/(COUNT(SimDataScen!$D$9:$D$508)-1)+$M$158</f>
        <v>0.304609218436874</v>
      </c>
      <c r="N159">
        <f>SMALL(SimDataScen!$E$9:$E$508,153)</f>
        <v>4.3042122690195157</v>
      </c>
      <c r="O159">
        <f>1/(COUNT(SimDataScen!$E$9:$E$508)-1)+$O$158</f>
        <v>0.304609218436874</v>
      </c>
    </row>
    <row r="160" spans="1:15">
      <c r="A160">
        <v>152</v>
      </c>
      <c r="B160">
        <v>255.51122806263538</v>
      </c>
      <c r="C160">
        <v>180.10522742076995</v>
      </c>
      <c r="D160">
        <v>104.69922677890446</v>
      </c>
      <c r="E160">
        <v>29.293226137039014</v>
      </c>
      <c r="H160">
        <f>SMALL(SimDataScen!$B$9:$B$508,154)</f>
        <v>236.60387111516485</v>
      </c>
      <c r="I160">
        <f>1/(COUNT(SimDataScen!$B$9:$B$508)-1)+$I$159</f>
        <v>0.30661322645290606</v>
      </c>
      <c r="J160">
        <f>SMALL(SimDataScen!$C$9:$C$508,154)</f>
        <v>158.31310962589384</v>
      </c>
      <c r="K160">
        <f>1/(COUNT(SimDataScen!$C$9:$C$508)-1)+$K$159</f>
        <v>0.30661322645290606</v>
      </c>
      <c r="L160">
        <f>SMALL(SimDataScen!$D$9:$D$508,154)</f>
        <v>79.32442459559627</v>
      </c>
      <c r="M160">
        <f>1/(COUNT(SimDataScen!$D$9:$D$508)-1)+$M$159</f>
        <v>0.30661322645290606</v>
      </c>
      <c r="N160">
        <f>SMALL(SimDataScen!$E$9:$E$508,154)</f>
        <v>4.3841147744679745</v>
      </c>
      <c r="O160">
        <f>1/(COUNT(SimDataScen!$E$9:$E$508)-1)+$O$159</f>
        <v>0.30661322645290606</v>
      </c>
    </row>
    <row r="161" spans="1:15">
      <c r="A161">
        <v>153</v>
      </c>
      <c r="B161">
        <v>452.47941982956206</v>
      </c>
      <c r="C161">
        <v>363.19880308452531</v>
      </c>
      <c r="D161">
        <v>273.91818633948856</v>
      </c>
      <c r="E161">
        <v>184.6375695944518</v>
      </c>
      <c r="H161">
        <f>SMALL(SimDataScen!$B$9:$B$508,155)</f>
        <v>236.66059009880672</v>
      </c>
      <c r="I161">
        <f>1/(COUNT(SimDataScen!$B$9:$B$508)-1)+$I$160</f>
        <v>0.30861723446893813</v>
      </c>
      <c r="J161">
        <f>SMALL(SimDataScen!$C$9:$C$508,155)</f>
        <v>159.19146493260868</v>
      </c>
      <c r="K161">
        <f>1/(COUNT(SimDataScen!$C$9:$C$508)-1)+$K$160</f>
        <v>0.30861723446893813</v>
      </c>
      <c r="L161">
        <f>SMALL(SimDataScen!$D$9:$D$508,155)</f>
        <v>79.948437349295205</v>
      </c>
      <c r="M161">
        <f>1/(COUNT(SimDataScen!$D$9:$D$508)-1)+$M$160</f>
        <v>0.30861723446893813</v>
      </c>
      <c r="N161">
        <f>SMALL(SimDataScen!$E$9:$E$508,155)</f>
        <v>4.8281175274443626</v>
      </c>
      <c r="O161">
        <f>1/(COUNT(SimDataScen!$E$9:$E$508)-1)+$O$160</f>
        <v>0.30861723446893813</v>
      </c>
    </row>
    <row r="162" spans="1:15">
      <c r="A162">
        <v>154</v>
      </c>
      <c r="B162">
        <v>237.81045834332511</v>
      </c>
      <c r="C162">
        <v>157.68910534210738</v>
      </c>
      <c r="D162">
        <v>77.567752340889669</v>
      </c>
      <c r="E162">
        <v>-2.5536006603280441</v>
      </c>
      <c r="H162">
        <f>SMALL(SimDataScen!$B$9:$B$508,156)</f>
        <v>237.12193658624898</v>
      </c>
      <c r="I162">
        <f>1/(COUNT(SimDataScen!$B$9:$B$508)-1)+$I$161</f>
        <v>0.31062124248497019</v>
      </c>
      <c r="J162">
        <f>SMALL(SimDataScen!$C$9:$C$508,156)</f>
        <v>160.08678283033868</v>
      </c>
      <c r="K162">
        <f>1/(COUNT(SimDataScen!$C$9:$C$508)-1)+$K$161</f>
        <v>0.31062124248497019</v>
      </c>
      <c r="L162">
        <f>SMALL(SimDataScen!$D$9:$D$508,156)</f>
        <v>80.757211259992971</v>
      </c>
      <c r="M162">
        <f>1/(COUNT(SimDataScen!$D$9:$D$508)-1)+$M$161</f>
        <v>0.31062124248497019</v>
      </c>
      <c r="N162">
        <f>SMALL(SimDataScen!$E$9:$E$508,156)</f>
        <v>5.29219303789381</v>
      </c>
      <c r="O162">
        <f>1/(COUNT(SimDataScen!$E$9:$E$508)-1)+$O$161</f>
        <v>0.31062124248497019</v>
      </c>
    </row>
    <row r="163" spans="1:15">
      <c r="A163">
        <v>155</v>
      </c>
      <c r="B163">
        <v>218.25934709297351</v>
      </c>
      <c r="C163">
        <v>138.64242426782835</v>
      </c>
      <c r="D163">
        <v>59.025501442683151</v>
      </c>
      <c r="E163">
        <v>-20.591421382462016</v>
      </c>
      <c r="H163">
        <f>SMALL(SimDataScen!$B$9:$B$508,157)</f>
        <v>237.81045834332511</v>
      </c>
      <c r="I163">
        <f>1/(COUNT(SimDataScen!$B$9:$B$508)-1)+$I$162</f>
        <v>0.31262525050100226</v>
      </c>
      <c r="J163">
        <f>SMALL(SimDataScen!$C$9:$C$508,157)</f>
        <v>160.2269251287963</v>
      </c>
      <c r="K163">
        <f>1/(COUNT(SimDataScen!$C$9:$C$508)-1)+$K$162</f>
        <v>0.31262525050100226</v>
      </c>
      <c r="L163">
        <f>SMALL(SimDataScen!$D$9:$D$508,157)</f>
        <v>81.818514573367963</v>
      </c>
      <c r="M163">
        <f>1/(COUNT(SimDataScen!$D$9:$D$508)-1)+$M$162</f>
        <v>0.31262525050100226</v>
      </c>
      <c r="N163">
        <f>SMALL(SimDataScen!$E$9:$E$508,157)</f>
        <v>6.0478840226483044</v>
      </c>
      <c r="O163">
        <f>1/(COUNT(SimDataScen!$E$9:$E$508)-1)+$O$162</f>
        <v>0.31262525050100226</v>
      </c>
    </row>
    <row r="164" spans="1:15">
      <c r="A164">
        <v>156</v>
      </c>
      <c r="B164">
        <v>497.39297975877082</v>
      </c>
      <c r="C164">
        <v>412.27466867126094</v>
      </c>
      <c r="D164">
        <v>327.15635758375095</v>
      </c>
      <c r="E164">
        <v>242.03804649624107</v>
      </c>
      <c r="H164">
        <f>SMALL(SimDataScen!$B$9:$B$508,158)</f>
        <v>237.93811685827404</v>
      </c>
      <c r="I164">
        <f>1/(COUNT(SimDataScen!$B$9:$B$508)-1)+$I$163</f>
        <v>0.31462925851703433</v>
      </c>
      <c r="J164">
        <f>SMALL(SimDataScen!$C$9:$C$508,158)</f>
        <v>160.26974448613259</v>
      </c>
      <c r="K164">
        <f>1/(COUNT(SimDataScen!$C$9:$C$508)-1)+$K$163</f>
        <v>0.31462925851703433</v>
      </c>
      <c r="L164">
        <f>SMALL(SimDataScen!$D$9:$D$508,158)</f>
        <v>82.235448802403326</v>
      </c>
      <c r="M164">
        <f>1/(COUNT(SimDataScen!$D$9:$D$508)-1)+$M$163</f>
        <v>0.31462925851703433</v>
      </c>
      <c r="N164">
        <f>SMALL(SimDataScen!$E$9:$E$508,158)</f>
        <v>6.1337942827630911</v>
      </c>
      <c r="O164">
        <f>1/(COUNT(SimDataScen!$E$9:$E$508)-1)+$O$163</f>
        <v>0.31462925851703433</v>
      </c>
    </row>
    <row r="165" spans="1:15">
      <c r="A165">
        <v>157</v>
      </c>
      <c r="B165">
        <v>205.68746222074046</v>
      </c>
      <c r="C165">
        <v>124.44100051404567</v>
      </c>
      <c r="D165">
        <v>43.194538807350852</v>
      </c>
      <c r="E165">
        <v>-38.051922899343936</v>
      </c>
      <c r="H165">
        <f>SMALL(SimDataScen!$B$9:$B$508,159)</f>
        <v>238.01674431324312</v>
      </c>
      <c r="I165">
        <f>1/(COUNT(SimDataScen!$B$9:$B$508)-1)+$I$164</f>
        <v>0.31663326653306639</v>
      </c>
      <c r="J165">
        <f>SMALL(SimDataScen!$C$9:$C$508,159)</f>
        <v>160.51666071867157</v>
      </c>
      <c r="K165">
        <f>1/(COUNT(SimDataScen!$C$9:$C$508)-1)+$K$164</f>
        <v>0.31663326653306639</v>
      </c>
      <c r="L165">
        <f>SMALL(SimDataScen!$D$9:$D$508,159)</f>
        <v>83.278456221263923</v>
      </c>
      <c r="M165">
        <f>1/(COUNT(SimDataScen!$D$9:$D$508)-1)+$M$164</f>
        <v>0.31663326653306639</v>
      </c>
      <c r="N165">
        <f>SMALL(SimDataScen!$E$9:$E$508,159)</f>
        <v>6.5246401647452501</v>
      </c>
      <c r="O165">
        <f>1/(COUNT(SimDataScen!$E$9:$E$508)-1)+$O$164</f>
        <v>0.31663326653306639</v>
      </c>
    </row>
    <row r="166" spans="1:15">
      <c r="A166">
        <v>158</v>
      </c>
      <c r="B166">
        <v>370.44797585580176</v>
      </c>
      <c r="C166">
        <v>289.01053113607981</v>
      </c>
      <c r="D166">
        <v>207.5730864163578</v>
      </c>
      <c r="E166">
        <v>126.13564169663584</v>
      </c>
      <c r="H166">
        <f>SMALL(SimDataScen!$B$9:$B$508,160)</f>
        <v>238.11340656270605</v>
      </c>
      <c r="I166">
        <f>1/(COUNT(SimDataScen!$B$9:$B$508)-1)+$I$165</f>
        <v>0.31863727454909846</v>
      </c>
      <c r="J166">
        <f>SMALL(SimDataScen!$C$9:$C$508,160)</f>
        <v>161.24078562815362</v>
      </c>
      <c r="K166">
        <f>1/(COUNT(SimDataScen!$C$9:$C$508)-1)+$K$165</f>
        <v>0.31863727454909846</v>
      </c>
      <c r="L166">
        <f>SMALL(SimDataScen!$D$9:$D$508,160)</f>
        <v>84.368164693601202</v>
      </c>
      <c r="M166">
        <f>1/(COUNT(SimDataScen!$D$9:$D$508)-1)+$M$165</f>
        <v>0.31863727454909846</v>
      </c>
      <c r="N166">
        <f>SMALL(SimDataScen!$E$9:$E$508,160)</f>
        <v>7.3142999081208302</v>
      </c>
      <c r="O166">
        <f>1/(COUNT(SimDataScen!$E$9:$E$508)-1)+$O$165</f>
        <v>0.31863727454909846</v>
      </c>
    </row>
    <row r="167" spans="1:15">
      <c r="A167">
        <v>159</v>
      </c>
      <c r="B167">
        <v>238.43449251592213</v>
      </c>
      <c r="C167">
        <v>159.19146493260868</v>
      </c>
      <c r="D167">
        <v>79.948437349295205</v>
      </c>
      <c r="E167">
        <v>0.70540976598175575</v>
      </c>
      <c r="H167">
        <f>SMALL(SimDataScen!$B$9:$B$508,161)</f>
        <v>238.43449251592213</v>
      </c>
      <c r="I167">
        <f>1/(COUNT(SimDataScen!$B$9:$B$508)-1)+$I$166</f>
        <v>0.32064128256513053</v>
      </c>
      <c r="J167">
        <f>SMALL(SimDataScen!$C$9:$C$508,161)</f>
        <v>161.31772161285153</v>
      </c>
      <c r="K167">
        <f>1/(COUNT(SimDataScen!$C$9:$C$508)-1)+$K$166</f>
        <v>0.32064128256513053</v>
      </c>
      <c r="L167">
        <f>SMALL(SimDataScen!$D$9:$D$508,161)</f>
        <v>84.399735781043205</v>
      </c>
      <c r="M167">
        <f>1/(COUNT(SimDataScen!$D$9:$D$508)-1)+$M$166</f>
        <v>0.32064128256513053</v>
      </c>
      <c r="N167">
        <f>SMALL(SimDataScen!$E$9:$E$508,161)</f>
        <v>7.3445291674107125</v>
      </c>
      <c r="O167">
        <f>1/(COUNT(SimDataScen!$E$9:$E$508)-1)+$O$166</f>
        <v>0.32064128256513053</v>
      </c>
    </row>
    <row r="168" spans="1:15">
      <c r="A168">
        <v>160</v>
      </c>
      <c r="B168">
        <v>299.0695935765774</v>
      </c>
      <c r="C168">
        <v>221.6050121945492</v>
      </c>
      <c r="D168">
        <v>144.14043081252098</v>
      </c>
      <c r="E168">
        <v>66.675849430492775</v>
      </c>
      <c r="H168">
        <f>SMALL(SimDataScen!$B$9:$B$508,162)</f>
        <v>238.76626783140216</v>
      </c>
      <c r="I168">
        <f>1/(COUNT(SimDataScen!$B$9:$B$508)-1)+$I$167</f>
        <v>0.32264529058116259</v>
      </c>
      <c r="J168">
        <f>SMALL(SimDataScen!$C$9:$C$508,162)</f>
        <v>161.7291991492564</v>
      </c>
      <c r="K168">
        <f>1/(COUNT(SimDataScen!$C$9:$C$508)-1)+$K$167</f>
        <v>0.32264529058116259</v>
      </c>
      <c r="L168">
        <f>SMALL(SimDataScen!$D$9:$D$508,162)</f>
        <v>84.896215456655909</v>
      </c>
      <c r="M168">
        <f>1/(COUNT(SimDataScen!$D$9:$D$508)-1)+$M$167</f>
        <v>0.32264529058116259</v>
      </c>
      <c r="N168">
        <f>SMALL(SimDataScen!$E$9:$E$508,162)</f>
        <v>7.4955437590487861</v>
      </c>
      <c r="O168">
        <f>1/(COUNT(SimDataScen!$E$9:$E$508)-1)+$O$167</f>
        <v>0.32264529058116259</v>
      </c>
    </row>
    <row r="169" spans="1:15">
      <c r="A169">
        <v>161</v>
      </c>
      <c r="B169">
        <v>189.70014720373206</v>
      </c>
      <c r="C169">
        <v>116.91475705632226</v>
      </c>
      <c r="D169">
        <v>44.129366908912459</v>
      </c>
      <c r="E169">
        <v>-28.65602323849734</v>
      </c>
      <c r="H169">
        <f>SMALL(SimDataScen!$B$9:$B$508,163)</f>
        <v>240.74976158483358</v>
      </c>
      <c r="I169">
        <f>1/(COUNT(SimDataScen!$B$9:$B$508)-1)+$I$168</f>
        <v>0.32464929859719466</v>
      </c>
      <c r="J169">
        <f>SMALL(SimDataScen!$C$9:$C$508,163)</f>
        <v>161.83124164402903</v>
      </c>
      <c r="K169">
        <f>1/(COUNT(SimDataScen!$C$9:$C$508)-1)+$K$168</f>
        <v>0.32464929859719466</v>
      </c>
      <c r="L169">
        <f>SMALL(SimDataScen!$D$9:$D$508,163)</f>
        <v>85.647297704902357</v>
      </c>
      <c r="M169">
        <f>1/(COUNT(SimDataScen!$D$9:$D$508)-1)+$M$168</f>
        <v>0.32464929859719466</v>
      </c>
      <c r="N169">
        <f>SMALL(SimDataScen!$E$9:$E$508,163)</f>
        <v>7.9611892692827837</v>
      </c>
      <c r="O169">
        <f>1/(COUNT(SimDataScen!$E$9:$E$508)-1)+$O$168</f>
        <v>0.32464929859719466</v>
      </c>
    </row>
    <row r="170" spans="1:15">
      <c r="A170">
        <v>162</v>
      </c>
      <c r="B170">
        <v>280.87377839771619</v>
      </c>
      <c r="C170">
        <v>207.53076930558342</v>
      </c>
      <c r="D170">
        <v>134.18776021345064</v>
      </c>
      <c r="E170">
        <v>60.84475112131787</v>
      </c>
      <c r="H170">
        <f>SMALL(SimDataScen!$B$9:$B$508,164)</f>
        <v>241.24088478929818</v>
      </c>
      <c r="I170">
        <f>1/(COUNT(SimDataScen!$B$9:$B$508)-1)+$I$169</f>
        <v>0.32665330661322672</v>
      </c>
      <c r="J170">
        <f>SMALL(SimDataScen!$C$9:$C$508,164)</f>
        <v>162.00039175325082</v>
      </c>
      <c r="K170">
        <f>1/(COUNT(SimDataScen!$C$9:$C$508)-1)+$K$169</f>
        <v>0.32665330661322672</v>
      </c>
      <c r="L170">
        <f>SMALL(SimDataScen!$D$9:$D$508,164)</f>
        <v>86.0603287772214</v>
      </c>
      <c r="M170">
        <f>1/(COUNT(SimDataScen!$D$9:$D$508)-1)+$M$169</f>
        <v>0.32665330661322672</v>
      </c>
      <c r="N170">
        <f>SMALL(SimDataScen!$E$9:$E$508,164)</f>
        <v>8.5725464332901424</v>
      </c>
      <c r="O170">
        <f>1/(COUNT(SimDataScen!$E$9:$E$508)-1)+$O$169</f>
        <v>0.32665330661322672</v>
      </c>
    </row>
    <row r="171" spans="1:15">
      <c r="A171">
        <v>163</v>
      </c>
      <c r="B171">
        <v>270.75788987163014</v>
      </c>
      <c r="C171">
        <v>187.20020263475951</v>
      </c>
      <c r="D171">
        <v>103.64251539788887</v>
      </c>
      <c r="E171">
        <v>20.084828161018265</v>
      </c>
      <c r="H171">
        <f>SMALL(SimDataScen!$B$9:$B$508,165)</f>
        <v>241.48598634813919</v>
      </c>
      <c r="I171">
        <f>1/(COUNT(SimDataScen!$B$9:$B$508)-1)+$I$170</f>
        <v>0.32865731462925879</v>
      </c>
      <c r="J171">
        <f>SMALL(SimDataScen!$C$9:$C$508,165)</f>
        <v>162.06469952383867</v>
      </c>
      <c r="K171">
        <f>1/(COUNT(SimDataScen!$C$9:$C$508)-1)+$K$170</f>
        <v>0.32865731462925879</v>
      </c>
      <c r="L171">
        <f>SMALL(SimDataScen!$D$9:$D$508,165)</f>
        <v>86.878846920252627</v>
      </c>
      <c r="M171">
        <f>1/(COUNT(SimDataScen!$D$9:$D$508)-1)+$M$170</f>
        <v>0.32865731462925879</v>
      </c>
      <c r="N171">
        <f>SMALL(SimDataScen!$E$9:$E$508,165)</f>
        <v>8.7948232240615596</v>
      </c>
      <c r="O171">
        <f>1/(COUNT(SimDataScen!$E$9:$E$508)-1)+$O$170</f>
        <v>0.32865731462925879</v>
      </c>
    </row>
    <row r="172" spans="1:15">
      <c r="A172">
        <v>164</v>
      </c>
      <c r="B172">
        <v>309.10386897097203</v>
      </c>
      <c r="C172">
        <v>226.49094899290449</v>
      </c>
      <c r="D172">
        <v>143.87802901483695</v>
      </c>
      <c r="E172">
        <v>61.265109036769417</v>
      </c>
      <c r="H172">
        <f>SMALL(SimDataScen!$B$9:$B$508,166)</f>
        <v>242.70118703851981</v>
      </c>
      <c r="I172">
        <f>1/(COUNT(SimDataScen!$B$9:$B$508)-1)+$I$171</f>
        <v>0.33066132264529086</v>
      </c>
      <c r="J172">
        <f>SMALL(SimDataScen!$C$9:$C$508,166)</f>
        <v>166.34139387421595</v>
      </c>
      <c r="K172">
        <f>1/(COUNT(SimDataScen!$C$9:$C$508)-1)+$K$171</f>
        <v>0.33066132264529086</v>
      </c>
      <c r="L172">
        <f>SMALL(SimDataScen!$D$9:$D$508,166)</f>
        <v>87.149264922859032</v>
      </c>
      <c r="M172">
        <f>1/(COUNT(SimDataScen!$D$9:$D$508)-1)+$M$171</f>
        <v>0.33066132264529086</v>
      </c>
      <c r="N172">
        <f>SMALL(SimDataScen!$E$9:$E$508,166)</f>
        <v>10.066640671378252</v>
      </c>
      <c r="O172">
        <f>1/(COUNT(SimDataScen!$E$9:$E$508)-1)+$O$171</f>
        <v>0.33066132264529086</v>
      </c>
    </row>
    <row r="173" spans="1:15">
      <c r="A173">
        <v>165</v>
      </c>
      <c r="B173">
        <v>345.04012585336727</v>
      </c>
      <c r="C173">
        <v>258.23208820940539</v>
      </c>
      <c r="D173">
        <v>171.42405056544342</v>
      </c>
      <c r="E173">
        <v>84.616012921481513</v>
      </c>
      <c r="H173">
        <f>SMALL(SimDataScen!$B$9:$B$508,167)</f>
        <v>244.07653785541987</v>
      </c>
      <c r="I173">
        <f>1/(COUNT(SimDataScen!$B$9:$B$508)-1)+$I$172</f>
        <v>0.33266533066132292</v>
      </c>
      <c r="J173">
        <f>SMALL(SimDataScen!$C$9:$C$508,167)</f>
        <v>166.36830188396209</v>
      </c>
      <c r="K173">
        <f>1/(COUNT(SimDataScen!$C$9:$C$508)-1)+$K$172</f>
        <v>0.33266533066132292</v>
      </c>
      <c r="L173">
        <f>SMALL(SimDataScen!$D$9:$D$508,167)</f>
        <v>88.140926065164706</v>
      </c>
      <c r="M173">
        <f>1/(COUNT(SimDataScen!$D$9:$D$508)-1)+$M$172</f>
        <v>0.33266533066132292</v>
      </c>
      <c r="N173">
        <f>SMALL(SimDataScen!$E$9:$E$508,167)</f>
        <v>10.094224407396496</v>
      </c>
      <c r="O173">
        <f>1/(COUNT(SimDataScen!$E$9:$E$508)-1)+$O$172</f>
        <v>0.33266533066132292</v>
      </c>
    </row>
    <row r="174" spans="1:15">
      <c r="A174">
        <v>166</v>
      </c>
      <c r="B174">
        <v>318.0375155132254</v>
      </c>
      <c r="C174">
        <v>240.16656923021623</v>
      </c>
      <c r="D174">
        <v>162.29562294720705</v>
      </c>
      <c r="E174">
        <v>84.424676664197904</v>
      </c>
      <c r="H174">
        <f>SMALL(SimDataScen!$B$9:$B$508,168)</f>
        <v>245.06841193218733</v>
      </c>
      <c r="I174">
        <f>1/(COUNT(SimDataScen!$B$9:$B$508)-1)+$I$173</f>
        <v>0.33466933867735499</v>
      </c>
      <c r="J174">
        <f>SMALL(SimDataScen!$C$9:$C$508,168)</f>
        <v>166.61562059873211</v>
      </c>
      <c r="K174">
        <f>1/(COUNT(SimDataScen!$C$9:$C$508)-1)+$K$173</f>
        <v>0.33466933867735499</v>
      </c>
      <c r="L174">
        <f>SMALL(SimDataScen!$D$9:$D$508,168)</f>
        <v>88.418953582326765</v>
      </c>
      <c r="M174">
        <f>1/(COUNT(SimDataScen!$D$9:$D$508)-1)+$M$173</f>
        <v>0.33466933867735499</v>
      </c>
      <c r="N174">
        <f>SMALL(SimDataScen!$E$9:$E$508,168)</f>
        <v>10.447419895185988</v>
      </c>
      <c r="O174">
        <f>1/(COUNT(SimDataScen!$E$9:$E$508)-1)+$O$173</f>
        <v>0.33466933867735499</v>
      </c>
    </row>
    <row r="175" spans="1:15">
      <c r="A175">
        <v>167</v>
      </c>
      <c r="B175">
        <v>206.09748553585342</v>
      </c>
      <c r="C175">
        <v>134.326398108565</v>
      </c>
      <c r="D175">
        <v>62.555310681276538</v>
      </c>
      <c r="E175">
        <v>-9.2157767460118976</v>
      </c>
      <c r="H175">
        <f>SMALL(SimDataScen!$B$9:$B$508,169)</f>
        <v>246.82380470460717</v>
      </c>
      <c r="I175">
        <f>1/(COUNT(SimDataScen!$B$9:$B$508)-1)+$I$174</f>
        <v>0.33667334669338705</v>
      </c>
      <c r="J175">
        <f>SMALL(SimDataScen!$C$9:$C$508,169)</f>
        <v>166.74368275725706</v>
      </c>
      <c r="K175">
        <f>1/(COUNT(SimDataScen!$C$9:$C$508)-1)+$K$174</f>
        <v>0.33667334669338705</v>
      </c>
      <c r="L175">
        <f>SMALL(SimDataScen!$D$9:$D$508,169)</f>
        <v>88.606249893012063</v>
      </c>
      <c r="M175">
        <f>1/(COUNT(SimDataScen!$D$9:$D$508)-1)+$M$174</f>
        <v>0.33667334669338705</v>
      </c>
      <c r="N175">
        <f>SMALL(SimDataScen!$E$9:$E$508,169)</f>
        <v>10.77793469113314</v>
      </c>
      <c r="O175">
        <f>1/(COUNT(SimDataScen!$E$9:$E$508)-1)+$O$174</f>
        <v>0.33667334669338705</v>
      </c>
    </row>
    <row r="176" spans="1:15">
      <c r="A176">
        <v>168</v>
      </c>
      <c r="B176">
        <v>252.66652040421027</v>
      </c>
      <c r="C176">
        <v>172.83143452145612</v>
      </c>
      <c r="D176">
        <v>92.996348638701974</v>
      </c>
      <c r="E176">
        <v>13.161262755947831</v>
      </c>
      <c r="H176">
        <f>SMALL(SimDataScen!$B$9:$B$508,170)</f>
        <v>246.833131747371</v>
      </c>
      <c r="I176">
        <f>1/(COUNT(SimDataScen!$B$9:$B$508)-1)+$I$175</f>
        <v>0.33867735470941912</v>
      </c>
      <c r="J176">
        <f>SMALL(SimDataScen!$C$9:$C$508,170)</f>
        <v>167.48702890626785</v>
      </c>
      <c r="K176">
        <f>1/(COUNT(SimDataScen!$C$9:$C$508)-1)+$K$175</f>
        <v>0.33867735470941912</v>
      </c>
      <c r="L176">
        <f>SMALL(SimDataScen!$D$9:$D$508,170)</f>
        <v>88.813515298738338</v>
      </c>
      <c r="M176">
        <f>1/(COUNT(SimDataScen!$D$9:$D$508)-1)+$M$175</f>
        <v>0.33867735470941912</v>
      </c>
      <c r="N176">
        <f>SMALL(SimDataScen!$E$9:$E$508,170)</f>
        <v>10.802935941591272</v>
      </c>
      <c r="O176">
        <f>1/(COUNT(SimDataScen!$E$9:$E$508)-1)+$O$175</f>
        <v>0.33867735470941912</v>
      </c>
    </row>
    <row r="177" spans="1:15">
      <c r="A177">
        <v>169</v>
      </c>
      <c r="B177">
        <v>372.39593793256626</v>
      </c>
      <c r="C177">
        <v>281.38679317692663</v>
      </c>
      <c r="D177">
        <v>190.37764842128698</v>
      </c>
      <c r="E177">
        <v>99.368503665647353</v>
      </c>
      <c r="H177">
        <f>SMALL(SimDataScen!$B$9:$B$508,171)</f>
        <v>246.94645869524877</v>
      </c>
      <c r="I177">
        <f>1/(COUNT(SimDataScen!$B$9:$B$508)-1)+$I$176</f>
        <v>0.34068136272545119</v>
      </c>
      <c r="J177">
        <f>SMALL(SimDataScen!$C$9:$C$508,171)</f>
        <v>167.6562112755305</v>
      </c>
      <c r="K177">
        <f>1/(COUNT(SimDataScen!$C$9:$C$508)-1)+$K$176</f>
        <v>0.34068136272545119</v>
      </c>
      <c r="L177">
        <f>SMALL(SimDataScen!$D$9:$D$508,171)</f>
        <v>89.014638853759379</v>
      </c>
      <c r="M177">
        <f>1/(COUNT(SimDataScen!$D$9:$D$508)-1)+$M$176</f>
        <v>0.34068136272545119</v>
      </c>
      <c r="N177">
        <f>SMALL(SimDataScen!$E$9:$E$508,171)</f>
        <v>10.823875223990484</v>
      </c>
      <c r="O177">
        <f>1/(COUNT(SimDataScen!$E$9:$E$508)-1)+$O$176</f>
        <v>0.34068136272545119</v>
      </c>
    </row>
    <row r="178" spans="1:15">
      <c r="A178">
        <v>170</v>
      </c>
      <c r="B178">
        <v>216.80043344547815</v>
      </c>
      <c r="C178">
        <v>140.97286320535085</v>
      </c>
      <c r="D178">
        <v>65.145292965223504</v>
      </c>
      <c r="E178">
        <v>-10.682277274903811</v>
      </c>
      <c r="H178">
        <f>SMALL(SimDataScen!$B$9:$B$508,172)</f>
        <v>246.98313616397107</v>
      </c>
      <c r="I178">
        <f>1/(COUNT(SimDataScen!$B$9:$B$508)-1)+$I$177</f>
        <v>0.34268537074148325</v>
      </c>
      <c r="J178">
        <f>SMALL(SimDataScen!$C$9:$C$508,172)</f>
        <v>168.47137810227383</v>
      </c>
      <c r="K178">
        <f>1/(COUNT(SimDataScen!$C$9:$C$508)-1)+$K$177</f>
        <v>0.34268537074148325</v>
      </c>
      <c r="L178">
        <f>SMALL(SimDataScen!$D$9:$D$508,172)</f>
        <v>89.269009386826028</v>
      </c>
      <c r="M178">
        <f>1/(COUNT(SimDataScen!$D$9:$D$508)-1)+$M$177</f>
        <v>0.34268537074148325</v>
      </c>
      <c r="N178">
        <f>SMALL(SimDataScen!$E$9:$E$508,172)</f>
        <v>10.871105911808172</v>
      </c>
      <c r="O178">
        <f>1/(COUNT(SimDataScen!$E$9:$E$508)-1)+$O$177</f>
        <v>0.34268537074148325</v>
      </c>
    </row>
    <row r="179" spans="1:15">
      <c r="A179">
        <v>171</v>
      </c>
      <c r="B179">
        <v>283.38374758302098</v>
      </c>
      <c r="C179">
        <v>202.20261574650334</v>
      </c>
      <c r="D179">
        <v>121.0214839099857</v>
      </c>
      <c r="E179">
        <v>39.840352073468068</v>
      </c>
      <c r="H179">
        <f>SMALL(SimDataScen!$B$9:$B$508,173)</f>
        <v>247.0331673691702</v>
      </c>
      <c r="I179">
        <f>1/(COUNT(SimDataScen!$B$9:$B$508)-1)+$I$178</f>
        <v>0.34468937875751532</v>
      </c>
      <c r="J179">
        <f>SMALL(SimDataScen!$C$9:$C$508,173)</f>
        <v>169.06196317458</v>
      </c>
      <c r="K179">
        <f>1/(COUNT(SimDataScen!$C$9:$C$508)-1)+$K$178</f>
        <v>0.34468937875751532</v>
      </c>
      <c r="L179">
        <f>SMALL(SimDataScen!$D$9:$D$508,173)</f>
        <v>90.707851946256639</v>
      </c>
      <c r="M179">
        <f>1/(COUNT(SimDataScen!$D$9:$D$508)-1)+$M$178</f>
        <v>0.34468937875751532</v>
      </c>
      <c r="N179">
        <f>SMALL(SimDataScen!$E$9:$E$508,173)</f>
        <v>10.973004972839817</v>
      </c>
      <c r="O179">
        <f>1/(COUNT(SimDataScen!$E$9:$E$508)-1)+$O$178</f>
        <v>0.34468937875751532</v>
      </c>
    </row>
    <row r="180" spans="1:15">
      <c r="A180">
        <v>172</v>
      </c>
      <c r="B180">
        <v>225.8590002462567</v>
      </c>
      <c r="C180">
        <v>152.58862817172059</v>
      </c>
      <c r="D180">
        <v>79.318256097184431</v>
      </c>
      <c r="E180">
        <v>6.0478840226483044</v>
      </c>
      <c r="H180">
        <f>SMALL(SimDataScen!$B$9:$B$508,174)</f>
        <v>247.67374681772159</v>
      </c>
      <c r="I180">
        <f>1/(COUNT(SimDataScen!$B$9:$B$508)-1)+$I$179</f>
        <v>0.34669338677354739</v>
      </c>
      <c r="J180">
        <f>SMALL(SimDataScen!$C$9:$C$508,174)</f>
        <v>169.57313473350004</v>
      </c>
      <c r="K180">
        <f>1/(COUNT(SimDataScen!$C$9:$C$508)-1)+$K$179</f>
        <v>0.34669338677354739</v>
      </c>
      <c r="L180">
        <f>SMALL(SimDataScen!$D$9:$D$508,174)</f>
        <v>91.140790185188948</v>
      </c>
      <c r="M180">
        <f>1/(COUNT(SimDataScen!$D$9:$D$508)-1)+$M$179</f>
        <v>0.34669338677354739</v>
      </c>
      <c r="N180">
        <f>SMALL(SimDataScen!$E$9:$E$508,174)</f>
        <v>11.757302087254459</v>
      </c>
      <c r="O180">
        <f>1/(COUNT(SimDataScen!$E$9:$E$508)-1)+$O$179</f>
        <v>0.34669338677354739</v>
      </c>
    </row>
    <row r="181" spans="1:15">
      <c r="A181">
        <v>173</v>
      </c>
      <c r="B181">
        <v>130.43238919668511</v>
      </c>
      <c r="C181">
        <v>53.77605119868268</v>
      </c>
      <c r="D181">
        <v>-22.880286799319762</v>
      </c>
      <c r="E181">
        <v>-99.53662479732219</v>
      </c>
      <c r="H181">
        <f>SMALL(SimDataScen!$B$9:$B$508,175)</f>
        <v>248.96893405609239</v>
      </c>
      <c r="I181">
        <f>1/(COUNT(SimDataScen!$B$9:$B$508)-1)+$I$180</f>
        <v>0.34869739478957945</v>
      </c>
      <c r="J181">
        <f>SMALL(SimDataScen!$C$9:$C$508,175)</f>
        <v>170.05720127084379</v>
      </c>
      <c r="K181">
        <f>1/(COUNT(SimDataScen!$C$9:$C$508)-1)+$K$180</f>
        <v>0.34869739478957945</v>
      </c>
      <c r="L181">
        <f>SMALL(SimDataScen!$D$9:$D$508,175)</f>
        <v>91.990356408165994</v>
      </c>
      <c r="M181">
        <f>1/(COUNT(SimDataScen!$D$9:$D$508)-1)+$M$180</f>
        <v>0.34869739478957945</v>
      </c>
      <c r="N181">
        <f>SMALL(SimDataScen!$E$9:$E$508,175)</f>
        <v>11.910140871439353</v>
      </c>
      <c r="O181">
        <f>1/(COUNT(SimDataScen!$E$9:$E$508)-1)+$O$180</f>
        <v>0.34869739478957945</v>
      </c>
    </row>
    <row r="182" spans="1:15">
      <c r="A182">
        <v>174</v>
      </c>
      <c r="B182">
        <v>203.18904968410681</v>
      </c>
      <c r="C182">
        <v>119.26897738633009</v>
      </c>
      <c r="D182">
        <v>35.34890508855338</v>
      </c>
      <c r="E182">
        <v>-48.571167209223319</v>
      </c>
      <c r="H182">
        <f>SMALL(SimDataScen!$B$9:$B$508,176)</f>
        <v>249.37115314099788</v>
      </c>
      <c r="I182">
        <f>1/(COUNT(SimDataScen!$B$9:$B$508)-1)+$I$181</f>
        <v>0.35070140280561152</v>
      </c>
      <c r="J182">
        <f>SMALL(SimDataScen!$C$9:$C$508,176)</f>
        <v>170.28250143006596</v>
      </c>
      <c r="K182">
        <f>1/(COUNT(SimDataScen!$C$9:$C$508)-1)+$K$181</f>
        <v>0.35070140280561152</v>
      </c>
      <c r="L182">
        <f>SMALL(SimDataScen!$D$9:$D$508,176)</f>
        <v>92.113102097829881</v>
      </c>
      <c r="M182">
        <f>1/(COUNT(SimDataScen!$D$9:$D$508)-1)+$M$181</f>
        <v>0.35070140280561152</v>
      </c>
      <c r="N182">
        <f>SMALL(SimDataScen!$E$9:$E$508,176)</f>
        <v>12.087615406223762</v>
      </c>
      <c r="O182">
        <f>1/(COUNT(SimDataScen!$E$9:$E$508)-1)+$O$181</f>
        <v>0.35070140280561152</v>
      </c>
    </row>
    <row r="183" spans="1:15">
      <c r="A183">
        <v>175</v>
      </c>
      <c r="B183">
        <v>221.16064499162229</v>
      </c>
      <c r="C183">
        <v>141.73424942682254</v>
      </c>
      <c r="D183">
        <v>62.307853862022824</v>
      </c>
      <c r="E183">
        <v>-17.118541702776895</v>
      </c>
      <c r="H183">
        <f>SMALL(SimDataScen!$B$9:$B$508,177)</f>
        <v>249.45814754666026</v>
      </c>
      <c r="I183">
        <f>1/(COUNT(SimDataScen!$B$9:$B$508)-1)+$I$182</f>
        <v>0.35270541082164358</v>
      </c>
      <c r="J183">
        <f>SMALL(SimDataScen!$C$9:$C$508,177)</f>
        <v>170.59182866852279</v>
      </c>
      <c r="K183">
        <f>1/(COUNT(SimDataScen!$C$9:$C$508)-1)+$K$182</f>
        <v>0.35270541082164358</v>
      </c>
      <c r="L183">
        <f>SMALL(SimDataScen!$D$9:$D$508,177)</f>
        <v>92.42175963647496</v>
      </c>
      <c r="M183">
        <f>1/(COUNT(SimDataScen!$D$9:$D$508)-1)+$M$182</f>
        <v>0.35270541082164358</v>
      </c>
      <c r="N183">
        <f>SMALL(SimDataScen!$E$9:$E$508,177)</f>
        <v>13.152802165418763</v>
      </c>
      <c r="O183">
        <f>1/(COUNT(SimDataScen!$E$9:$E$508)-1)+$O$182</f>
        <v>0.35270541082164358</v>
      </c>
    </row>
    <row r="184" spans="1:15">
      <c r="A184">
        <v>176</v>
      </c>
      <c r="B184">
        <v>272.81029899114753</v>
      </c>
      <c r="C184">
        <v>192.46821869732651</v>
      </c>
      <c r="D184">
        <v>112.12613840350548</v>
      </c>
      <c r="E184">
        <v>31.784058109684452</v>
      </c>
      <c r="H184">
        <f>SMALL(SimDataScen!$B$9:$B$508,178)</f>
        <v>250.47580539078896</v>
      </c>
      <c r="I184">
        <f>1/(COUNT(SimDataScen!$B$9:$B$508)-1)+$I$183</f>
        <v>0.35470941883767565</v>
      </c>
      <c r="J184">
        <f>SMALL(SimDataScen!$C$9:$C$508,178)</f>
        <v>170.63924774249179</v>
      </c>
      <c r="K184">
        <f>1/(COUNT(SimDataScen!$C$9:$C$508)-1)+$K$183</f>
        <v>0.35470941883767565</v>
      </c>
      <c r="L184">
        <f>SMALL(SimDataScen!$D$9:$D$508,178)</f>
        <v>92.756700235085319</v>
      </c>
      <c r="M184">
        <f>1/(COUNT(SimDataScen!$D$9:$D$508)-1)+$M$183</f>
        <v>0.35470941883767565</v>
      </c>
      <c r="N184">
        <f>SMALL(SimDataScen!$E$9:$E$508,178)</f>
        <v>13.161262755947831</v>
      </c>
      <c r="O184">
        <f>1/(COUNT(SimDataScen!$E$9:$E$508)-1)+$O$183</f>
        <v>0.35470941883767565</v>
      </c>
    </row>
    <row r="185" spans="1:15">
      <c r="A185">
        <v>177</v>
      </c>
      <c r="B185">
        <v>210.36337574196648</v>
      </c>
      <c r="C185">
        <v>139.16769290789995</v>
      </c>
      <c r="D185">
        <v>67.972010073833388</v>
      </c>
      <c r="E185">
        <v>-3.2236727602331428</v>
      </c>
      <c r="H185">
        <f>SMALL(SimDataScen!$B$9:$B$508,179)</f>
        <v>250.47846639077736</v>
      </c>
      <c r="I185">
        <f>1/(COUNT(SimDataScen!$B$9:$B$508)-1)+$I$184</f>
        <v>0.35671342685370772</v>
      </c>
      <c r="J185">
        <f>SMALL(SimDataScen!$C$9:$C$508,179)</f>
        <v>171.02544139359358</v>
      </c>
      <c r="K185">
        <f>1/(COUNT(SimDataScen!$C$9:$C$508)-1)+$K$184</f>
        <v>0.35671342685370772</v>
      </c>
      <c r="L185">
        <f>SMALL(SimDataScen!$D$9:$D$508,179)</f>
        <v>92.996348638701974</v>
      </c>
      <c r="M185">
        <f>1/(COUNT(SimDataScen!$D$9:$D$508)-1)+$M$184</f>
        <v>0.35671342685370772</v>
      </c>
      <c r="N185">
        <f>SMALL(SimDataScen!$E$9:$E$508,179)</f>
        <v>13.219617195797895</v>
      </c>
      <c r="O185">
        <f>1/(COUNT(SimDataScen!$E$9:$E$508)-1)+$O$184</f>
        <v>0.35671342685370772</v>
      </c>
    </row>
    <row r="186" spans="1:15">
      <c r="A186">
        <v>178</v>
      </c>
      <c r="B186">
        <v>426.96479761540905</v>
      </c>
      <c r="C186">
        <v>348.51813937375152</v>
      </c>
      <c r="D186">
        <v>270.07148113209405</v>
      </c>
      <c r="E186">
        <v>191.62482289043655</v>
      </c>
      <c r="H186">
        <f>SMALL(SimDataScen!$B$9:$B$508,180)</f>
        <v>251.75148756139362</v>
      </c>
      <c r="I186">
        <f>1/(COUNT(SimDataScen!$B$9:$B$508)-1)+$I$185</f>
        <v>0.35871743486973978</v>
      </c>
      <c r="J186">
        <f>SMALL(SimDataScen!$C$9:$C$508,180)</f>
        <v>171.06392668804159</v>
      </c>
      <c r="K186">
        <f>1/(COUNT(SimDataScen!$C$9:$C$508)-1)+$K$185</f>
        <v>0.35871743486973978</v>
      </c>
      <c r="L186">
        <f>SMALL(SimDataScen!$D$9:$D$508,180)</f>
        <v>93.081948731094769</v>
      </c>
      <c r="M186">
        <f>1/(COUNT(SimDataScen!$D$9:$D$508)-1)+$M$185</f>
        <v>0.35871743486973978</v>
      </c>
      <c r="N186">
        <f>SMALL(SimDataScen!$E$9:$E$508,180)</f>
        <v>13.301138249156452</v>
      </c>
      <c r="O186">
        <f>1/(COUNT(SimDataScen!$E$9:$E$508)-1)+$O$185</f>
        <v>0.35871743486973978</v>
      </c>
    </row>
    <row r="187" spans="1:15">
      <c r="A187">
        <v>179</v>
      </c>
      <c r="B187">
        <v>277.05056149016866</v>
      </c>
      <c r="C187">
        <v>197.48478051272747</v>
      </c>
      <c r="D187">
        <v>117.9189995352862</v>
      </c>
      <c r="E187">
        <v>38.353218557844968</v>
      </c>
      <c r="H187">
        <f>SMALL(SimDataScen!$B$9:$B$508,181)</f>
        <v>252.04453310944001</v>
      </c>
      <c r="I187">
        <f>1/(COUNT(SimDataScen!$B$9:$B$508)-1)+$I$186</f>
        <v>0.36072144288577185</v>
      </c>
      <c r="J187">
        <f>SMALL(SimDataScen!$C$9:$C$508,181)</f>
        <v>171.50463754277351</v>
      </c>
      <c r="K187">
        <f>1/(COUNT(SimDataScen!$C$9:$C$508)-1)+$K$186</f>
        <v>0.36072144288577185</v>
      </c>
      <c r="L187">
        <f>SMALL(SimDataScen!$D$9:$D$508,181)</f>
        <v>93.290597837080384</v>
      </c>
      <c r="M187">
        <f>1/(COUNT(SimDataScen!$D$9:$D$508)-1)+$M$186</f>
        <v>0.36072144288577185</v>
      </c>
      <c r="N187">
        <f>SMALL(SimDataScen!$E$9:$E$508,181)</f>
        <v>14.02878535958547</v>
      </c>
      <c r="O187">
        <f>1/(COUNT(SimDataScen!$E$9:$E$508)-1)+$O$186</f>
        <v>0.36072144288577185</v>
      </c>
    </row>
    <row r="188" spans="1:15">
      <c r="A188">
        <v>180</v>
      </c>
      <c r="B188">
        <v>300.43249043136228</v>
      </c>
      <c r="C188">
        <v>219.21094126822152</v>
      </c>
      <c r="D188">
        <v>137.9893921050807</v>
      </c>
      <c r="E188">
        <v>56.767842941939932</v>
      </c>
      <c r="H188">
        <f>SMALL(SimDataScen!$B$9:$B$508,182)</f>
        <v>252.66652040421027</v>
      </c>
      <c r="I188">
        <f>1/(COUNT(SimDataScen!$B$9:$B$508)-1)+$I$187</f>
        <v>0.36272545090180391</v>
      </c>
      <c r="J188">
        <f>SMALL(SimDataScen!$C$9:$C$508,182)</f>
        <v>172.28324483557952</v>
      </c>
      <c r="K188">
        <f>1/(COUNT(SimDataScen!$C$9:$C$508)-1)+$K$187</f>
        <v>0.36272545090180391</v>
      </c>
      <c r="L188">
        <f>SMALL(SimDataScen!$D$9:$D$508,182)</f>
        <v>93.685060376982051</v>
      </c>
      <c r="M188">
        <f>1/(COUNT(SimDataScen!$D$9:$D$508)-1)+$M$187</f>
        <v>0.36272545090180391</v>
      </c>
      <c r="N188">
        <f>SMALL(SimDataScen!$E$9:$E$508,182)</f>
        <v>14.174533579223862</v>
      </c>
      <c r="O188">
        <f>1/(COUNT(SimDataScen!$E$9:$E$508)-1)+$O$187</f>
        <v>0.36272545090180391</v>
      </c>
    </row>
    <row r="189" spans="1:15">
      <c r="A189">
        <v>181</v>
      </c>
      <c r="B189">
        <v>159.58214096708619</v>
      </c>
      <c r="C189">
        <v>83.505380138763371</v>
      </c>
      <c r="D189">
        <v>7.4286193104405243</v>
      </c>
      <c r="E189">
        <v>-68.648141517882294</v>
      </c>
      <c r="H189">
        <f>SMALL(SimDataScen!$B$9:$B$508,183)</f>
        <v>252.70611397249843</v>
      </c>
      <c r="I189">
        <f>1/(COUNT(SimDataScen!$B$9:$B$508)-1)+$I$188</f>
        <v>0.36472945891783598</v>
      </c>
      <c r="J189">
        <f>SMALL(SimDataScen!$C$9:$C$508,183)</f>
        <v>172.83143452145612</v>
      </c>
      <c r="K189">
        <f>1/(COUNT(SimDataScen!$C$9:$C$508)-1)+$K$188</f>
        <v>0.36472945891783598</v>
      </c>
      <c r="L189">
        <f>SMALL(SimDataScen!$D$9:$D$508,183)</f>
        <v>94.088023280381663</v>
      </c>
      <c r="M189">
        <f>1/(COUNT(SimDataScen!$D$9:$D$508)-1)+$M$188</f>
        <v>0.36472945891783598</v>
      </c>
      <c r="N189">
        <f>SMALL(SimDataScen!$E$9:$E$508,183)</f>
        <v>14.449473782129047</v>
      </c>
      <c r="O189">
        <f>1/(COUNT(SimDataScen!$E$9:$E$508)-1)+$O$188</f>
        <v>0.36472945891783598</v>
      </c>
    </row>
    <row r="190" spans="1:15">
      <c r="A190">
        <v>182</v>
      </c>
      <c r="B190">
        <v>337.35073480467423</v>
      </c>
      <c r="C190">
        <v>263.13356316939365</v>
      </c>
      <c r="D190">
        <v>188.91639153411307</v>
      </c>
      <c r="E190">
        <v>114.69921989883251</v>
      </c>
      <c r="H190">
        <f>SMALL(SimDataScen!$B$9:$B$508,184)</f>
        <v>253.30709144528532</v>
      </c>
      <c r="I190">
        <f>1/(COUNT(SimDataScen!$B$9:$B$508)-1)+$I$189</f>
        <v>0.36673346693386805</v>
      </c>
      <c r="J190">
        <f>SMALL(SimDataScen!$C$9:$C$508,184)</f>
        <v>173.19558717474024</v>
      </c>
      <c r="K190">
        <f>1/(COUNT(SimDataScen!$C$9:$C$508)-1)+$K$189</f>
        <v>0.36673346693386805</v>
      </c>
      <c r="L190">
        <f>SMALL(SimDataScen!$D$9:$D$508,184)</f>
        <v>94.332036789734786</v>
      </c>
      <c r="M190">
        <f>1/(COUNT(SimDataScen!$D$9:$D$508)-1)+$M$189</f>
        <v>0.36673346693386805</v>
      </c>
      <c r="N190">
        <f>SMALL(SimDataScen!$E$9:$E$508,184)</f>
        <v>14.653069462159721</v>
      </c>
      <c r="O190">
        <f>1/(COUNT(SimDataScen!$E$9:$E$508)-1)+$O$189</f>
        <v>0.36673346693386805</v>
      </c>
    </row>
    <row r="191" spans="1:15">
      <c r="A191">
        <v>183</v>
      </c>
      <c r="B191">
        <v>398.27789894724538</v>
      </c>
      <c r="C191">
        <v>311.20764016303622</v>
      </c>
      <c r="D191">
        <v>224.13738137882706</v>
      </c>
      <c r="E191">
        <v>137.0671225946179</v>
      </c>
      <c r="H191">
        <f>SMALL(SimDataScen!$B$9:$B$508,185)</f>
        <v>253.71203466886544</v>
      </c>
      <c r="I191">
        <f>1/(COUNT(SimDataScen!$B$9:$B$508)-1)+$I$190</f>
        <v>0.36873747494990011</v>
      </c>
      <c r="J191">
        <f>SMALL(SimDataScen!$C$9:$C$508,185)</f>
        <v>174.39609937776396</v>
      </c>
      <c r="K191">
        <f>1/(COUNT(SimDataScen!$C$9:$C$508)-1)+$K$190</f>
        <v>0.36873747494990011</v>
      </c>
      <c r="L191">
        <f>SMALL(SimDataScen!$D$9:$D$508,185)</f>
        <v>94.562660966227398</v>
      </c>
      <c r="M191">
        <f>1/(COUNT(SimDataScen!$D$9:$D$508)-1)+$M$190</f>
        <v>0.36873747494990011</v>
      </c>
      <c r="N191">
        <f>SMALL(SimDataScen!$E$9:$E$508,185)</f>
        <v>15.138456068595957</v>
      </c>
      <c r="O191">
        <f>1/(COUNT(SimDataScen!$E$9:$E$508)-1)+$O$190</f>
        <v>0.36873747494990011</v>
      </c>
    </row>
    <row r="192" spans="1:15">
      <c r="A192">
        <v>184</v>
      </c>
      <c r="B192">
        <v>454.48941782825233</v>
      </c>
      <c r="C192">
        <v>370.06583094690336</v>
      </c>
      <c r="D192">
        <v>285.64224406555434</v>
      </c>
      <c r="E192">
        <v>201.21865718420537</v>
      </c>
      <c r="H192">
        <f>SMALL(SimDataScen!$B$9:$B$508,186)</f>
        <v>253.94854691431232</v>
      </c>
      <c r="I192">
        <f>1/(COUNT(SimDataScen!$B$9:$B$508)-1)+$I$191</f>
        <v>0.37074148296593218</v>
      </c>
      <c r="J192">
        <f>SMALL(SimDataScen!$C$9:$C$508,186)</f>
        <v>174.59425146353163</v>
      </c>
      <c r="K192">
        <f>1/(COUNT(SimDataScen!$C$9:$C$508)-1)+$K$191</f>
        <v>0.37074148296593218</v>
      </c>
      <c r="L192">
        <f>SMALL(SimDataScen!$D$9:$D$508,186)</f>
        <v>95.476468258197784</v>
      </c>
      <c r="M192">
        <f>1/(COUNT(SimDataScen!$D$9:$D$508)-1)+$M$191</f>
        <v>0.37074148296593218</v>
      </c>
      <c r="N192">
        <f>SMALL(SimDataScen!$E$9:$E$508,186)</f>
        <v>15.89280172518383</v>
      </c>
      <c r="O192">
        <f>1/(COUNT(SimDataScen!$E$9:$E$508)-1)+$O$191</f>
        <v>0.37074148296593218</v>
      </c>
    </row>
    <row r="193" spans="1:15">
      <c r="A193">
        <v>185</v>
      </c>
      <c r="B193">
        <v>392.79103418549562</v>
      </c>
      <c r="C193">
        <v>309.19706317229003</v>
      </c>
      <c r="D193">
        <v>225.60309215908435</v>
      </c>
      <c r="E193">
        <v>142.00912114587874</v>
      </c>
      <c r="H193">
        <f>SMALL(SimDataScen!$B$9:$B$508,187)</f>
        <v>253.96603208552585</v>
      </c>
      <c r="I193">
        <f>1/(COUNT(SimDataScen!$B$9:$B$508)-1)+$I$192</f>
        <v>0.37274549098196424</v>
      </c>
      <c r="J193">
        <f>SMALL(SimDataScen!$C$9:$C$508,187)</f>
        <v>175.7718438758908</v>
      </c>
      <c r="K193">
        <f>1/(COUNT(SimDataScen!$C$9:$C$508)-1)+$K$192</f>
        <v>0.37274549098196424</v>
      </c>
      <c r="L193">
        <f>SMALL(SimDataScen!$D$9:$D$508,187)</f>
        <v>95.523039095986547</v>
      </c>
      <c r="M193">
        <f>1/(COUNT(SimDataScen!$D$9:$D$508)-1)+$M$192</f>
        <v>0.37274549098196424</v>
      </c>
      <c r="N193">
        <f>SMALL(SimDataScen!$E$9:$E$508,187)</f>
        <v>16.358685052863962</v>
      </c>
      <c r="O193">
        <f>1/(COUNT(SimDataScen!$E$9:$E$508)-1)+$O$192</f>
        <v>0.37274549098196424</v>
      </c>
    </row>
    <row r="194" spans="1:15">
      <c r="A194">
        <v>186</v>
      </c>
      <c r="B194">
        <v>336.91574839233283</v>
      </c>
      <c r="C194">
        <v>253.41448162651312</v>
      </c>
      <c r="D194">
        <v>169.91321486069342</v>
      </c>
      <c r="E194">
        <v>86.411948094873736</v>
      </c>
      <c r="H194">
        <f>SMALL(SimDataScen!$B$9:$B$508,188)</f>
        <v>253.99463623178764</v>
      </c>
      <c r="I194">
        <f>1/(COUNT(SimDataScen!$B$9:$B$508)-1)+$I$193</f>
        <v>0.37474949899799631</v>
      </c>
      <c r="J194">
        <f>SMALL(SimDataScen!$C$9:$C$508,188)</f>
        <v>177.77964004063068</v>
      </c>
      <c r="K194">
        <f>1/(COUNT(SimDataScen!$C$9:$C$508)-1)+$K$193</f>
        <v>0.37474949899799631</v>
      </c>
      <c r="L194">
        <f>SMALL(SimDataScen!$D$9:$D$508,188)</f>
        <v>95.527013228881231</v>
      </c>
      <c r="M194">
        <f>1/(COUNT(SimDataScen!$D$9:$D$508)-1)+$M$193</f>
        <v>0.37474949899799631</v>
      </c>
      <c r="N194">
        <f>SMALL(SimDataScen!$E$9:$E$508,188)</f>
        <v>16.523994403317005</v>
      </c>
      <c r="O194">
        <f>1/(COUNT(SimDataScen!$E$9:$E$508)-1)+$O$193</f>
        <v>0.37474949899799631</v>
      </c>
    </row>
    <row r="195" spans="1:15">
      <c r="A195">
        <v>187</v>
      </c>
      <c r="B195">
        <v>265.52273581138849</v>
      </c>
      <c r="C195">
        <v>189.32614186037745</v>
      </c>
      <c r="D195">
        <v>113.12954790936644</v>
      </c>
      <c r="E195">
        <v>36.932953958355426</v>
      </c>
      <c r="H195">
        <f>SMALL(SimDataScen!$B$9:$B$508,189)</f>
        <v>254.3089166723862</v>
      </c>
      <c r="I195">
        <f>1/(COUNT(SimDataScen!$B$9:$B$508)-1)+$I$194</f>
        <v>0.37675350701402838</v>
      </c>
      <c r="J195">
        <f>SMALL(SimDataScen!$C$9:$C$508,189)</f>
        <v>177.9012242923437</v>
      </c>
      <c r="K195">
        <f>1/(COUNT(SimDataScen!$C$9:$C$508)-1)+$K$194</f>
        <v>0.37675350701402838</v>
      </c>
      <c r="L195">
        <f>SMALL(SimDataScen!$D$9:$D$508,189)</f>
        <v>95.779575875360962</v>
      </c>
      <c r="M195">
        <f>1/(COUNT(SimDataScen!$D$9:$D$508)-1)+$M$194</f>
        <v>0.37675350701402838</v>
      </c>
      <c r="N195">
        <f>SMALL(SimDataScen!$E$9:$E$508,189)</f>
        <v>17.365092217599909</v>
      </c>
      <c r="O195">
        <f>1/(COUNT(SimDataScen!$E$9:$E$508)-1)+$O$194</f>
        <v>0.37675350701402838</v>
      </c>
    </row>
    <row r="196" spans="1:15">
      <c r="A196">
        <v>188</v>
      </c>
      <c r="B196">
        <v>146.08083037062056</v>
      </c>
      <c r="C196">
        <v>75.788893627390877</v>
      </c>
      <c r="D196">
        <v>5.4969568841611789</v>
      </c>
      <c r="E196">
        <v>-64.794979859068505</v>
      </c>
      <c r="H196">
        <f>SMALL(SimDataScen!$B$9:$B$508,190)</f>
        <v>255.51122806263538</v>
      </c>
      <c r="I196">
        <f>1/(COUNT(SimDataScen!$B$9:$B$508)-1)+$I$195</f>
        <v>0.37875751503006044</v>
      </c>
      <c r="J196">
        <f>SMALL(SimDataScen!$C$9:$C$508,190)</f>
        <v>178.28818457241178</v>
      </c>
      <c r="K196">
        <f>1/(COUNT(SimDataScen!$C$9:$C$508)-1)+$K$195</f>
        <v>0.37875751503006044</v>
      </c>
      <c r="L196">
        <f>SMALL(SimDataScen!$D$9:$D$508,190)</f>
        <v>96.111509069628028</v>
      </c>
      <c r="M196">
        <f>1/(COUNT(SimDataScen!$D$9:$D$508)-1)+$M$195</f>
        <v>0.37875751503006044</v>
      </c>
      <c r="N196">
        <f>SMALL(SimDataScen!$E$9:$E$508,190)</f>
        <v>17.520495812273424</v>
      </c>
      <c r="O196">
        <f>1/(COUNT(SimDataScen!$E$9:$E$508)-1)+$O$195</f>
        <v>0.37875751503006044</v>
      </c>
    </row>
    <row r="197" spans="1:15">
      <c r="A197">
        <v>189</v>
      </c>
      <c r="B197">
        <v>444.57291128890398</v>
      </c>
      <c r="C197">
        <v>355.60710278156961</v>
      </c>
      <c r="D197">
        <v>266.64129427423529</v>
      </c>
      <c r="E197">
        <v>177.67548576690092</v>
      </c>
      <c r="H197">
        <f>SMALL(SimDataScen!$B$9:$B$508,191)</f>
        <v>256.07582232582467</v>
      </c>
      <c r="I197">
        <f>1/(COUNT(SimDataScen!$B$9:$B$508)-1)+$I$196</f>
        <v>0.38076152304609251</v>
      </c>
      <c r="J197">
        <f>SMALL(SimDataScen!$C$9:$C$508,191)</f>
        <v>178.35409017242307</v>
      </c>
      <c r="K197">
        <f>1/(COUNT(SimDataScen!$C$9:$C$508)-1)+$K$196</f>
        <v>0.38076152304609251</v>
      </c>
      <c r="L197">
        <f>SMALL(SimDataScen!$D$9:$D$508,191)</f>
        <v>97.595140837469245</v>
      </c>
      <c r="M197">
        <f>1/(COUNT(SimDataScen!$D$9:$D$508)-1)+$M$196</f>
        <v>0.38076152304609251</v>
      </c>
      <c r="N197">
        <f>SMALL(SimDataScen!$E$9:$E$508,191)</f>
        <v>18.024825836977811</v>
      </c>
      <c r="O197">
        <f>1/(COUNT(SimDataScen!$E$9:$E$508)-1)+$O$196</f>
        <v>0.38076152304609251</v>
      </c>
    </row>
    <row r="198" spans="1:15">
      <c r="A198">
        <v>190</v>
      </c>
      <c r="B198">
        <v>302.94554511913589</v>
      </c>
      <c r="C198">
        <v>222.81531185039188</v>
      </c>
      <c r="D198">
        <v>142.68507858164787</v>
      </c>
      <c r="E198">
        <v>62.554845312903836</v>
      </c>
      <c r="H198">
        <f>SMALL(SimDataScen!$B$9:$B$508,192)</f>
        <v>256.37043911905289</v>
      </c>
      <c r="I198">
        <f>1/(COUNT(SimDataScen!$B$9:$B$508)-1)+$I$197</f>
        <v>0.38276553106212458</v>
      </c>
      <c r="J198">
        <f>SMALL(SimDataScen!$C$9:$C$508,192)</f>
        <v>178.95846278574936</v>
      </c>
      <c r="K198">
        <f>1/(COUNT(SimDataScen!$C$9:$C$508)-1)+$K$197</f>
        <v>0.38276553106212458</v>
      </c>
      <c r="L198">
        <f>SMALL(SimDataScen!$D$9:$D$508,192)</f>
        <v>97.904340192342602</v>
      </c>
      <c r="M198">
        <f>1/(COUNT(SimDataScen!$D$9:$D$508)-1)+$M$197</f>
        <v>0.38276553106212458</v>
      </c>
      <c r="N198">
        <f>SMALL(SimDataScen!$E$9:$E$508,192)</f>
        <v>18.842311569608853</v>
      </c>
      <c r="O198">
        <f>1/(COUNT(SimDataScen!$E$9:$E$508)-1)+$O$197</f>
        <v>0.38276553106212458</v>
      </c>
    </row>
    <row r="199" spans="1:15">
      <c r="A199">
        <v>191</v>
      </c>
      <c r="B199">
        <v>145.4923047624477</v>
      </c>
      <c r="C199">
        <v>69.594839408067486</v>
      </c>
      <c r="D199">
        <v>-6.3026259463127303</v>
      </c>
      <c r="E199">
        <v>-82.200091300692947</v>
      </c>
      <c r="H199">
        <f>SMALL(SimDataScen!$B$9:$B$508,193)</f>
        <v>256.8280313955658</v>
      </c>
      <c r="I199">
        <f>1/(COUNT(SimDataScen!$B$9:$B$508)-1)+$I$198</f>
        <v>0.38476953907815664</v>
      </c>
      <c r="J199">
        <f>SMALL(SimDataScen!$C$9:$C$508,193)</f>
        <v>180.10522742076995</v>
      </c>
      <c r="K199">
        <f>1/(COUNT(SimDataScen!$C$9:$C$508)-1)+$K$198</f>
        <v>0.38476953907815664</v>
      </c>
      <c r="L199">
        <f>SMALL(SimDataScen!$D$9:$D$508,193)</f>
        <v>101.11571923616745</v>
      </c>
      <c r="M199">
        <f>1/(COUNT(SimDataScen!$D$9:$D$508)-1)+$M$198</f>
        <v>0.38476953907815664</v>
      </c>
      <c r="N199">
        <f>SMALL(SimDataScen!$E$9:$E$508,193)</f>
        <v>19.355774650852197</v>
      </c>
      <c r="O199">
        <f>1/(COUNT(SimDataScen!$E$9:$E$508)-1)+$O$198</f>
        <v>0.38476953907815664</v>
      </c>
    </row>
    <row r="200" spans="1:15">
      <c r="A200">
        <v>192</v>
      </c>
      <c r="B200">
        <v>315.89009953797802</v>
      </c>
      <c r="C200">
        <v>237.41651324568727</v>
      </c>
      <c r="D200">
        <v>158.94292695339655</v>
      </c>
      <c r="E200">
        <v>80.469340661105832</v>
      </c>
      <c r="H200">
        <f>SMALL(SimDataScen!$B$9:$B$508,194)</f>
        <v>258.67202895248096</v>
      </c>
      <c r="I200">
        <f>1/(COUNT(SimDataScen!$B$9:$B$508)-1)+$I$199</f>
        <v>0.38677354709418871</v>
      </c>
      <c r="J200">
        <f>SMALL(SimDataScen!$C$9:$C$508,194)</f>
        <v>180.3128772678167</v>
      </c>
      <c r="K200">
        <f>1/(COUNT(SimDataScen!$C$9:$C$508)-1)+$K$199</f>
        <v>0.38677354709418871</v>
      </c>
      <c r="L200">
        <f>SMALL(SimDataScen!$D$9:$D$508,194)</f>
        <v>101.43195012658302</v>
      </c>
      <c r="M200">
        <f>1/(COUNT(SimDataScen!$D$9:$D$508)-1)+$M$199</f>
        <v>0.38677354709418871</v>
      </c>
      <c r="N200">
        <f>SMALL(SimDataScen!$E$9:$E$508,194)</f>
        <v>19.418437799047723</v>
      </c>
      <c r="O200">
        <f>1/(COUNT(SimDataScen!$E$9:$E$508)-1)+$O$199</f>
        <v>0.38677354709418871</v>
      </c>
    </row>
    <row r="201" spans="1:15">
      <c r="A201">
        <v>193</v>
      </c>
      <c r="B201">
        <v>411.04861330973915</v>
      </c>
      <c r="C201">
        <v>329.242654340125</v>
      </c>
      <c r="D201">
        <v>247.43669537051085</v>
      </c>
      <c r="E201">
        <v>165.63073640089669</v>
      </c>
      <c r="H201">
        <f>SMALL(SimDataScen!$B$9:$B$508,195)</f>
        <v>258.93967445725207</v>
      </c>
      <c r="I201">
        <f>1/(COUNT(SimDataScen!$B$9:$B$508)-1)+$I$200</f>
        <v>0.38877755511022077</v>
      </c>
      <c r="J201">
        <f>SMALL(SimDataScen!$C$9:$C$508,195)</f>
        <v>180.58614677788211</v>
      </c>
      <c r="K201">
        <f>1/(COUNT(SimDataScen!$C$9:$C$508)-1)+$K$200</f>
        <v>0.38877755511022077</v>
      </c>
      <c r="L201">
        <f>SMALL(SimDataScen!$D$9:$D$508,195)</f>
        <v>101.90649574540409</v>
      </c>
      <c r="M201">
        <f>1/(COUNT(SimDataScen!$D$9:$D$508)-1)+$M$200</f>
        <v>0.38877755511022077</v>
      </c>
      <c r="N201">
        <f>SMALL(SimDataScen!$E$9:$E$508,195)</f>
        <v>19.971136864317003</v>
      </c>
      <c r="O201">
        <f>1/(COUNT(SimDataScen!$E$9:$E$508)-1)+$O$200</f>
        <v>0.38877755511022077</v>
      </c>
    </row>
    <row r="202" spans="1:15">
      <c r="A202">
        <v>194</v>
      </c>
      <c r="B202">
        <v>161.18559081765181</v>
      </c>
      <c r="C202">
        <v>84.286130898112546</v>
      </c>
      <c r="D202">
        <v>7.3866709785732638</v>
      </c>
      <c r="E202">
        <v>-69.512788940966004</v>
      </c>
      <c r="H202">
        <f>SMALL(SimDataScen!$B$9:$B$508,196)</f>
        <v>259.326259901301</v>
      </c>
      <c r="I202">
        <f>1/(COUNT(SimDataScen!$B$9:$B$508)-1)+$I$201</f>
        <v>0.39078156312625284</v>
      </c>
      <c r="J202">
        <f>SMALL(SimDataScen!$C$9:$C$508,196)</f>
        <v>180.76443124644004</v>
      </c>
      <c r="K202">
        <f>1/(COUNT(SimDataScen!$C$9:$C$508)-1)+$K$201</f>
        <v>0.39078156312625284</v>
      </c>
      <c r="L202">
        <f>SMALL(SimDataScen!$D$9:$D$508,196)</f>
        <v>102.25218863597601</v>
      </c>
      <c r="M202">
        <f>1/(COUNT(SimDataScen!$D$9:$D$508)-1)+$M$201</f>
        <v>0.39078156312625284</v>
      </c>
      <c r="N202">
        <f>SMALL(SimDataScen!$E$9:$E$508,196)</f>
        <v>20.084828161018265</v>
      </c>
      <c r="O202">
        <f>1/(COUNT(SimDataScen!$E$9:$E$508)-1)+$O$201</f>
        <v>0.39078156312625284</v>
      </c>
    </row>
    <row r="203" spans="1:15">
      <c r="A203">
        <v>195</v>
      </c>
      <c r="B203">
        <v>450.66010528478876</v>
      </c>
      <c r="C203">
        <v>363.98871116474106</v>
      </c>
      <c r="D203">
        <v>277.31731704469325</v>
      </c>
      <c r="E203">
        <v>190.64592292464556</v>
      </c>
      <c r="H203">
        <f>SMALL(SimDataScen!$B$9:$B$508,197)</f>
        <v>259.90571686812763</v>
      </c>
      <c r="I203">
        <f>1/(COUNT(SimDataScen!$B$9:$B$508)-1)+$I$202</f>
        <v>0.39278557114228491</v>
      </c>
      <c r="J203">
        <f>SMALL(SimDataScen!$C$9:$C$508,197)</f>
        <v>180.90610630676588</v>
      </c>
      <c r="K203">
        <f>1/(COUNT(SimDataScen!$C$9:$C$508)-1)+$K$202</f>
        <v>0.39278557114228491</v>
      </c>
      <c r="L203">
        <f>SMALL(SimDataScen!$D$9:$D$508,197)</f>
        <v>102.39926367245997</v>
      </c>
      <c r="M203">
        <f>1/(COUNT(SimDataScen!$D$9:$D$508)-1)+$M$202</f>
        <v>0.39278557114228491</v>
      </c>
      <c r="N203">
        <f>SMALL(SimDataScen!$E$9:$E$508,197)</f>
        <v>21.243250067709084</v>
      </c>
      <c r="O203">
        <f>1/(COUNT(SimDataScen!$E$9:$E$508)-1)+$O$202</f>
        <v>0.39278557114228491</v>
      </c>
    </row>
    <row r="204" spans="1:15">
      <c r="A204">
        <v>196</v>
      </c>
      <c r="B204">
        <v>412.01425389408587</v>
      </c>
      <c r="C204">
        <v>326.84397938495715</v>
      </c>
      <c r="D204">
        <v>241.67370487582841</v>
      </c>
      <c r="E204">
        <v>156.50343036669969</v>
      </c>
      <c r="H204">
        <f>SMALL(SimDataScen!$B$9:$B$508,198)</f>
        <v>260.09153418865867</v>
      </c>
      <c r="I204">
        <f>1/(COUNT(SimDataScen!$B$9:$B$508)-1)+$I$203</f>
        <v>0.39478957915831697</v>
      </c>
      <c r="J204">
        <f>SMALL(SimDataScen!$C$9:$C$508,198)</f>
        <v>181.50435954515774</v>
      </c>
      <c r="K204">
        <f>1/(COUNT(SimDataScen!$C$9:$C$508)-1)+$K$203</f>
        <v>0.39478957915831697</v>
      </c>
      <c r="L204">
        <f>SMALL(SimDataScen!$D$9:$D$508,198)</f>
        <v>102.43450501976469</v>
      </c>
      <c r="M204">
        <f>1/(COUNT(SimDataScen!$D$9:$D$508)-1)+$M$203</f>
        <v>0.39478957915831697</v>
      </c>
      <c r="N204">
        <f>SMALL(SimDataScen!$E$9:$E$508,198)</f>
        <v>21.469110656924315</v>
      </c>
      <c r="O204">
        <f>1/(COUNT(SimDataScen!$E$9:$E$508)-1)+$O$203</f>
        <v>0.39478957915831697</v>
      </c>
    </row>
    <row r="205" spans="1:15">
      <c r="A205">
        <v>197</v>
      </c>
      <c r="B205">
        <v>244.07653785541987</v>
      </c>
      <c r="C205">
        <v>166.34139387421595</v>
      </c>
      <c r="D205">
        <v>88.606249893012063</v>
      </c>
      <c r="E205">
        <v>10.871105911808172</v>
      </c>
      <c r="H205">
        <f>SMALL(SimDataScen!$B$9:$B$508,199)</f>
        <v>260.27543535580617</v>
      </c>
      <c r="I205">
        <f>1/(COUNT(SimDataScen!$B$9:$B$508)-1)+$I$204</f>
        <v>0.39679358717434904</v>
      </c>
      <c r="J205">
        <f>SMALL(SimDataScen!$C$9:$C$508,199)</f>
        <v>181.57266160131786</v>
      </c>
      <c r="K205">
        <f>1/(COUNT(SimDataScen!$C$9:$C$508)-1)+$K$204</f>
        <v>0.39679358717434904</v>
      </c>
      <c r="L205">
        <f>SMALL(SimDataScen!$D$9:$D$508,199)</f>
        <v>102.53956132081041</v>
      </c>
      <c r="M205">
        <f>1/(COUNT(SimDataScen!$D$9:$D$508)-1)+$M$204</f>
        <v>0.39679358717434904</v>
      </c>
      <c r="N205">
        <f>SMALL(SimDataScen!$E$9:$E$508,199)</f>
        <v>22.07362801636296</v>
      </c>
      <c r="O205">
        <f>1/(COUNT(SimDataScen!$E$9:$E$508)-1)+$O$204</f>
        <v>0.39679358717434904</v>
      </c>
    </row>
    <row r="206" spans="1:15">
      <c r="A206">
        <v>198</v>
      </c>
      <c r="B206">
        <v>332.02756307491376</v>
      </c>
      <c r="C206">
        <v>253.20242077035789</v>
      </c>
      <c r="D206">
        <v>174.37727846580202</v>
      </c>
      <c r="E206">
        <v>95.552136161246125</v>
      </c>
      <c r="H206">
        <f>SMALL(SimDataScen!$B$9:$B$508,200)</f>
        <v>260.78455459697079</v>
      </c>
      <c r="I206">
        <f>1/(COUNT(SimDataScen!$B$9:$B$508)-1)+$I$205</f>
        <v>0.3987975951903811</v>
      </c>
      <c r="J206">
        <f>SMALL(SimDataScen!$C$9:$C$508,200)</f>
        <v>181.62065018545695</v>
      </c>
      <c r="K206">
        <f>1/(COUNT(SimDataScen!$C$9:$C$508)-1)+$K$205</f>
        <v>0.3987975951903811</v>
      </c>
      <c r="L206">
        <f>SMALL(SimDataScen!$D$9:$D$508,200)</f>
        <v>102.72197822234511</v>
      </c>
      <c r="M206">
        <f>1/(COUNT(SimDataScen!$D$9:$D$508)-1)+$M$205</f>
        <v>0.3987975951903811</v>
      </c>
      <c r="N206">
        <f>SMALL(SimDataScen!$E$9:$E$508,200)</f>
        <v>22.410824706768864</v>
      </c>
      <c r="O206">
        <f>1/(COUNT(SimDataScen!$E$9:$E$508)-1)+$O$205</f>
        <v>0.3987975951903811</v>
      </c>
    </row>
    <row r="207" spans="1:15">
      <c r="A207">
        <v>199</v>
      </c>
      <c r="B207">
        <v>375.95863327520561</v>
      </c>
      <c r="C207">
        <v>292.90259446212451</v>
      </c>
      <c r="D207">
        <v>209.84655564904344</v>
      </c>
      <c r="E207">
        <v>126.79051683596236</v>
      </c>
      <c r="H207">
        <f>SMALL(SimDataScen!$B$9:$B$508,201)</f>
        <v>261.80935024433091</v>
      </c>
      <c r="I207">
        <f>1/(COUNT(SimDataScen!$B$9:$B$508)-1)+$I$206</f>
        <v>0.40080160320641317</v>
      </c>
      <c r="J207">
        <f>SMALL(SimDataScen!$C$9:$C$508,201)</f>
        <v>182.50537211729977</v>
      </c>
      <c r="K207">
        <f>1/(COUNT(SimDataScen!$C$9:$C$508)-1)+$K$206</f>
        <v>0.40080160320641317</v>
      </c>
      <c r="L207">
        <f>SMALL(SimDataScen!$D$9:$D$508,201)</f>
        <v>103.57235424164008</v>
      </c>
      <c r="M207">
        <f>1/(COUNT(SimDataScen!$D$9:$D$508)-1)+$M$206</f>
        <v>0.40080160320641317</v>
      </c>
      <c r="N207">
        <f>SMALL(SimDataScen!$E$9:$E$508,201)</f>
        <v>22.772539823174839</v>
      </c>
      <c r="O207">
        <f>1/(COUNT(SimDataScen!$E$9:$E$508)-1)+$O$206</f>
        <v>0.40080160320641317</v>
      </c>
    </row>
    <row r="208" spans="1:15">
      <c r="A208">
        <v>200</v>
      </c>
      <c r="B208">
        <v>376.33436894115562</v>
      </c>
      <c r="C208">
        <v>297.46650266564558</v>
      </c>
      <c r="D208">
        <v>218.59863639013548</v>
      </c>
      <c r="E208">
        <v>139.73077011462539</v>
      </c>
      <c r="H208">
        <f>SMALL(SimDataScen!$B$9:$B$508,202)</f>
        <v>261.94179670914929</v>
      </c>
      <c r="I208">
        <f>1/(COUNT(SimDataScen!$B$9:$B$508)-1)+$I$207</f>
        <v>0.40280561122244524</v>
      </c>
      <c r="J208">
        <f>SMALL(SimDataScen!$C$9:$C$508,202)</f>
        <v>182.74253183106447</v>
      </c>
      <c r="K208">
        <f>1/(COUNT(SimDataScen!$C$9:$C$508)-1)+$K$207</f>
        <v>0.40280561122244524</v>
      </c>
      <c r="L208">
        <f>SMALL(SimDataScen!$D$9:$D$508,202)</f>
        <v>103.64251539788887</v>
      </c>
      <c r="M208">
        <f>1/(COUNT(SimDataScen!$D$9:$D$508)-1)+$M$207</f>
        <v>0.40280561122244524</v>
      </c>
      <c r="N208">
        <f>SMALL(SimDataScen!$E$9:$E$508,202)</f>
        <v>22.906885184042324</v>
      </c>
      <c r="O208">
        <f>1/(COUNT(SimDataScen!$E$9:$E$508)-1)+$O$207</f>
        <v>0.40280561122244524</v>
      </c>
    </row>
    <row r="209" spans="1:15">
      <c r="A209">
        <v>201</v>
      </c>
      <c r="B209">
        <v>228.24682165414347</v>
      </c>
      <c r="C209">
        <v>147.59421704633945</v>
      </c>
      <c r="D209">
        <v>66.941612438535444</v>
      </c>
      <c r="E209">
        <v>-13.710992169268565</v>
      </c>
      <c r="H209">
        <f>SMALL(SimDataScen!$B$9:$B$508,203)</f>
        <v>262.02451470179915</v>
      </c>
      <c r="I209">
        <f>1/(COUNT(SimDataScen!$B$9:$B$508)-1)+$I$208</f>
        <v>0.4048096192384773</v>
      </c>
      <c r="J209">
        <f>SMALL(SimDataScen!$C$9:$C$508,203)</f>
        <v>183.00549462525788</v>
      </c>
      <c r="K209">
        <f>1/(COUNT(SimDataScen!$C$9:$C$508)-1)+$K$208</f>
        <v>0.4048096192384773</v>
      </c>
      <c r="L209">
        <f>SMALL(SimDataScen!$D$9:$D$508,203)</f>
        <v>103.70595564939735</v>
      </c>
      <c r="M209">
        <f>1/(COUNT(SimDataScen!$D$9:$D$508)-1)+$M$208</f>
        <v>0.4048096192384773</v>
      </c>
      <c r="N209">
        <f>SMALL(SimDataScen!$E$9:$E$508,203)</f>
        <v>23.638579742111347</v>
      </c>
      <c r="O209">
        <f>1/(COUNT(SimDataScen!$E$9:$E$508)-1)+$O$208</f>
        <v>0.4048096192384773</v>
      </c>
    </row>
    <row r="210" spans="1:15">
      <c r="A210">
        <v>202</v>
      </c>
      <c r="B210">
        <v>180.81883320074019</v>
      </c>
      <c r="C210">
        <v>102.79755198436725</v>
      </c>
      <c r="D210">
        <v>24.776270767994291</v>
      </c>
      <c r="E210">
        <v>-53.24501044837865</v>
      </c>
      <c r="H210">
        <f>SMALL(SimDataScen!$B$9:$B$508,204)</f>
        <v>262.39388647551215</v>
      </c>
      <c r="I210">
        <f>1/(COUNT(SimDataScen!$B$9:$B$508)-1)+$I$209</f>
        <v>0.40681362725450937</v>
      </c>
      <c r="J210">
        <f>SMALL(SimDataScen!$C$9:$C$508,204)</f>
        <v>183.38912690272605</v>
      </c>
      <c r="K210">
        <f>1/(COUNT(SimDataScen!$C$9:$C$508)-1)+$K$209</f>
        <v>0.40681362725450937</v>
      </c>
      <c r="L210">
        <f>SMALL(SimDataScen!$D$9:$D$508,204)</f>
        <v>104.20564874538367</v>
      </c>
      <c r="M210">
        <f>1/(COUNT(SimDataScen!$D$9:$D$508)-1)+$M$209</f>
        <v>0.40681362725450937</v>
      </c>
      <c r="N210">
        <f>SMALL(SimDataScen!$E$9:$E$508,204)</f>
        <v>24.272212644392624</v>
      </c>
      <c r="O210">
        <f>1/(COUNT(SimDataScen!$E$9:$E$508)-1)+$O$209</f>
        <v>0.40681362725450937</v>
      </c>
    </row>
    <row r="211" spans="1:15">
      <c r="A211">
        <v>203</v>
      </c>
      <c r="B211">
        <v>321.51003024590273</v>
      </c>
      <c r="C211">
        <v>242.85313111095866</v>
      </c>
      <c r="D211">
        <v>164.19623197601453</v>
      </c>
      <c r="E211">
        <v>85.539332841070433</v>
      </c>
      <c r="H211">
        <f>SMALL(SimDataScen!$B$9:$B$508,205)</f>
        <v>262.7928074022675</v>
      </c>
      <c r="I211">
        <f>1/(COUNT(SimDataScen!$B$9:$B$508)-1)+$I$210</f>
        <v>0.40881763527054144</v>
      </c>
      <c r="J211">
        <f>SMALL(SimDataScen!$C$9:$C$508,205)</f>
        <v>183.77333155668339</v>
      </c>
      <c r="K211">
        <f>1/(COUNT(SimDataScen!$C$9:$C$508)-1)+$K$210</f>
        <v>0.40881763527054144</v>
      </c>
      <c r="L211">
        <f>SMALL(SimDataScen!$D$9:$D$508,205)</f>
        <v>104.69922677890446</v>
      </c>
      <c r="M211">
        <f>1/(COUNT(SimDataScen!$D$9:$D$508)-1)+$M$210</f>
        <v>0.40881763527054144</v>
      </c>
      <c r="N211">
        <f>SMALL(SimDataScen!$E$9:$E$508,205)</f>
        <v>26.444437172496862</v>
      </c>
      <c r="O211">
        <f>1/(COUNT(SimDataScen!$E$9:$E$508)-1)+$O$210</f>
        <v>0.40881763527054144</v>
      </c>
    </row>
    <row r="212" spans="1:15">
      <c r="A212">
        <v>204</v>
      </c>
      <c r="B212">
        <v>316.40921715549473</v>
      </c>
      <c r="C212">
        <v>235.66065966763421</v>
      </c>
      <c r="D212">
        <v>154.91210217977363</v>
      </c>
      <c r="E212">
        <v>74.163544691913074</v>
      </c>
      <c r="H212">
        <f>SMALL(SimDataScen!$B$9:$B$508,206)</f>
        <v>262.9556452263144</v>
      </c>
      <c r="I212">
        <f>1/(COUNT(SimDataScen!$B$9:$B$508)-1)+$I$211</f>
        <v>0.4108216432865735</v>
      </c>
      <c r="J212">
        <f>SMALL(SimDataScen!$C$9:$C$508,206)</f>
        <v>184.08334679451877</v>
      </c>
      <c r="K212">
        <f>1/(COUNT(SimDataScen!$C$9:$C$508)-1)+$K$211</f>
        <v>0.4108216432865735</v>
      </c>
      <c r="L212">
        <f>SMALL(SimDataScen!$D$9:$D$508,206)</f>
        <v>104.9192100459409</v>
      </c>
      <c r="M212">
        <f>1/(COUNT(SimDataScen!$D$9:$D$508)-1)+$M$211</f>
        <v>0.4108216432865735</v>
      </c>
      <c r="N212">
        <f>SMALL(SimDataScen!$E$9:$E$508,206)</f>
        <v>26.72473723132137</v>
      </c>
      <c r="O212">
        <f>1/(COUNT(SimDataScen!$E$9:$E$508)-1)+$O$211</f>
        <v>0.4108216432865735</v>
      </c>
    </row>
    <row r="213" spans="1:15">
      <c r="A213">
        <v>205</v>
      </c>
      <c r="B213">
        <v>208.35870508089783</v>
      </c>
      <c r="C213">
        <v>128.31624653474773</v>
      </c>
      <c r="D213">
        <v>48.273787988597633</v>
      </c>
      <c r="E213">
        <v>-31.768670557552468</v>
      </c>
      <c r="H213">
        <f>SMALL(SimDataScen!$B$9:$B$508,207)</f>
        <v>263.47142792970533</v>
      </c>
      <c r="I213">
        <f>1/(COUNT(SimDataScen!$B$9:$B$508)-1)+$I$212</f>
        <v>0.41282565130260557</v>
      </c>
      <c r="J213">
        <f>SMALL(SimDataScen!$C$9:$C$508,207)</f>
        <v>184.78425581974275</v>
      </c>
      <c r="K213">
        <f>1/(COUNT(SimDataScen!$C$9:$C$508)-1)+$K$212</f>
        <v>0.41282565130260557</v>
      </c>
      <c r="L213">
        <f>SMALL(SimDataScen!$D$9:$D$508,207)</f>
        <v>106.06201014029961</v>
      </c>
      <c r="M213">
        <f>1/(COUNT(SimDataScen!$D$9:$D$508)-1)+$M$212</f>
        <v>0.41282565130260557</v>
      </c>
      <c r="N213">
        <f>SMALL(SimDataScen!$E$9:$E$508,207)</f>
        <v>26.838635889449478</v>
      </c>
      <c r="O213">
        <f>1/(COUNT(SimDataScen!$E$9:$E$508)-1)+$O$212</f>
        <v>0.41282565130260557</v>
      </c>
    </row>
    <row r="214" spans="1:15">
      <c r="A214">
        <v>206</v>
      </c>
      <c r="B214">
        <v>248.96893405609239</v>
      </c>
      <c r="C214">
        <v>171.02544139359358</v>
      </c>
      <c r="D214">
        <v>93.081948731094769</v>
      </c>
      <c r="E214">
        <v>15.138456068595957</v>
      </c>
      <c r="H214">
        <f>SMALL(SimDataScen!$B$9:$B$508,208)</f>
        <v>263.5065014991859</v>
      </c>
      <c r="I214">
        <f>1/(COUNT(SimDataScen!$B$9:$B$508)-1)+$I$213</f>
        <v>0.41482965931863763</v>
      </c>
      <c r="J214">
        <f>SMALL(SimDataScen!$C$9:$C$508,208)</f>
        <v>185.39471992870818</v>
      </c>
      <c r="K214">
        <f>1/(COUNT(SimDataScen!$C$9:$C$508)-1)+$K$213</f>
        <v>0.41482965931863763</v>
      </c>
      <c r="L214">
        <f>SMALL(SimDataScen!$D$9:$D$508,208)</f>
        <v>106.77208599541102</v>
      </c>
      <c r="M214">
        <f>1/(COUNT(SimDataScen!$D$9:$D$508)-1)+$M$213</f>
        <v>0.41482965931863763</v>
      </c>
      <c r="N214">
        <f>SMALL(SimDataScen!$E$9:$E$508,208)</f>
        <v>27.33304797458203</v>
      </c>
      <c r="O214">
        <f>1/(COUNT(SimDataScen!$E$9:$E$508)-1)+$O$213</f>
        <v>0.41482965931863763</v>
      </c>
    </row>
    <row r="215" spans="1:15">
      <c r="A215">
        <v>207</v>
      </c>
      <c r="B215">
        <v>146.74651169477988</v>
      </c>
      <c r="C215">
        <v>82.846429499009304</v>
      </c>
      <c r="D215">
        <v>18.946347303238689</v>
      </c>
      <c r="E215">
        <v>-44.953734892531912</v>
      </c>
      <c r="H215">
        <f>SMALL(SimDataScen!$B$9:$B$508,209)</f>
        <v>263.84070746396935</v>
      </c>
      <c r="I215">
        <f>1/(COUNT(SimDataScen!$B$9:$B$508)-1)+$I$214</f>
        <v>0.4168336673346697</v>
      </c>
      <c r="J215">
        <f>SMALL(SimDataScen!$C$9:$C$508,209)</f>
        <v>185.43422550532611</v>
      </c>
      <c r="K215">
        <f>1/(COUNT(SimDataScen!$C$9:$C$508)-1)+$K$214</f>
        <v>0.4168336673346697</v>
      </c>
      <c r="L215">
        <f>SMALL(SimDataScen!$D$9:$D$508,209)</f>
        <v>106.93289676449076</v>
      </c>
      <c r="M215">
        <f>1/(COUNT(SimDataScen!$D$9:$D$508)-1)+$M$214</f>
        <v>0.4168336673346697</v>
      </c>
      <c r="N215">
        <f>SMALL(SimDataScen!$E$9:$E$508,209)</f>
        <v>27.339764460856486</v>
      </c>
      <c r="O215">
        <f>1/(COUNT(SimDataScen!$E$9:$E$508)-1)+$O$214</f>
        <v>0.4168336673346697</v>
      </c>
    </row>
    <row r="216" spans="1:15">
      <c r="A216">
        <v>208</v>
      </c>
      <c r="B216">
        <v>305.57707062241769</v>
      </c>
      <c r="C216">
        <v>226.88757730699547</v>
      </c>
      <c r="D216">
        <v>148.19808399157324</v>
      </c>
      <c r="E216">
        <v>69.508590676151044</v>
      </c>
      <c r="H216">
        <f>SMALL(SimDataScen!$B$9:$B$508,210)</f>
        <v>264.01735386200528</v>
      </c>
      <c r="I216">
        <f>1/(COUNT(SimDataScen!$B$9:$B$508)-1)+$I$215</f>
        <v>0.41883767535070177</v>
      </c>
      <c r="J216">
        <f>SMALL(SimDataScen!$C$9:$C$508,210)</f>
        <v>185.47281958037323</v>
      </c>
      <c r="K216">
        <f>1/(COUNT(SimDataScen!$C$9:$C$508)-1)+$K$215</f>
        <v>0.41883767535070177</v>
      </c>
      <c r="L216">
        <f>SMALL(SimDataScen!$D$9:$D$508,210)</f>
        <v>107.31352267653038</v>
      </c>
      <c r="M216">
        <f>1/(COUNT(SimDataScen!$D$9:$D$508)-1)+$M$215</f>
        <v>0.41883767535070177</v>
      </c>
      <c r="N216">
        <f>SMALL(SimDataScen!$E$9:$E$508,210)</f>
        <v>27.355619514075244</v>
      </c>
      <c r="O216">
        <f>1/(COUNT(SimDataScen!$E$9:$E$508)-1)+$O$215</f>
        <v>0.41883767535070177</v>
      </c>
    </row>
    <row r="217" spans="1:15">
      <c r="A217">
        <v>209</v>
      </c>
      <c r="B217">
        <v>430.74916188891643</v>
      </c>
      <c r="C217">
        <v>348.81365618635454</v>
      </c>
      <c r="D217">
        <v>266.87815048379264</v>
      </c>
      <c r="E217">
        <v>184.94264478123071</v>
      </c>
      <c r="H217">
        <f>SMALL(SimDataScen!$B$9:$B$508,211)</f>
        <v>264.15065838037873</v>
      </c>
      <c r="I217">
        <f>1/(COUNT(SimDataScen!$B$9:$B$508)-1)+$I$216</f>
        <v>0.42084168336673383</v>
      </c>
      <c r="J217">
        <f>SMALL(SimDataScen!$C$9:$C$508,211)</f>
        <v>185.52403901799522</v>
      </c>
      <c r="K217">
        <f>1/(COUNT(SimDataScen!$C$9:$C$508)-1)+$K$216</f>
        <v>0.42084168336673383</v>
      </c>
      <c r="L217">
        <f>SMALL(SimDataScen!$D$9:$D$508,211)</f>
        <v>107.38213899206674</v>
      </c>
      <c r="M217">
        <f>1/(COUNT(SimDataScen!$D$9:$D$508)-1)+$M$216</f>
        <v>0.42084168336673383</v>
      </c>
      <c r="N217">
        <f>SMALL(SimDataScen!$E$9:$E$508,211)</f>
        <v>28.104588190596075</v>
      </c>
      <c r="O217">
        <f>1/(COUNT(SimDataScen!$E$9:$E$508)-1)+$O$216</f>
        <v>0.42084168336673383</v>
      </c>
    </row>
    <row r="218" spans="1:15">
      <c r="A218">
        <v>210</v>
      </c>
      <c r="B218">
        <v>265.0180223682766</v>
      </c>
      <c r="C218">
        <v>187.24922417441513</v>
      </c>
      <c r="D218">
        <v>109.48042598055363</v>
      </c>
      <c r="E218">
        <v>31.711627786692162</v>
      </c>
      <c r="H218">
        <f>SMALL(SimDataScen!$B$9:$B$508,212)</f>
        <v>264.51424546600538</v>
      </c>
      <c r="I218">
        <f>1/(COUNT(SimDataScen!$B$9:$B$508)-1)+$I$217</f>
        <v>0.4228456913827659</v>
      </c>
      <c r="J218">
        <f>SMALL(SimDataScen!$C$9:$C$508,212)</f>
        <v>185.72426298892043</v>
      </c>
      <c r="K218">
        <f>1/(COUNT(SimDataScen!$C$9:$C$508)-1)+$K$217</f>
        <v>0.4228456913827659</v>
      </c>
      <c r="L218">
        <f>SMALL(SimDataScen!$D$9:$D$508,212)</f>
        <v>107.56283040735423</v>
      </c>
      <c r="M218">
        <f>1/(COUNT(SimDataScen!$D$9:$D$508)-1)+$M$217</f>
        <v>0.4228456913827659</v>
      </c>
      <c r="N218">
        <f>SMALL(SimDataScen!$E$9:$E$508,212)</f>
        <v>28.14945206211388</v>
      </c>
      <c r="O218">
        <f>1/(COUNT(SimDataScen!$E$9:$E$508)-1)+$O$217</f>
        <v>0.4228456913827659</v>
      </c>
    </row>
    <row r="219" spans="1:15">
      <c r="A219">
        <v>211</v>
      </c>
      <c r="B219">
        <v>371.90359028603268</v>
      </c>
      <c r="C219">
        <v>285.39060900645165</v>
      </c>
      <c r="D219">
        <v>198.8776277268706</v>
      </c>
      <c r="E219">
        <v>112.36464644728957</v>
      </c>
      <c r="H219">
        <f>SMALL(SimDataScen!$B$9:$B$508,213)</f>
        <v>265.0180223682766</v>
      </c>
      <c r="I219">
        <f>1/(COUNT(SimDataScen!$B$9:$B$508)-1)+$I$218</f>
        <v>0.42484969939879796</v>
      </c>
      <c r="J219">
        <f>SMALL(SimDataScen!$C$9:$C$508,213)</f>
        <v>186.27083149788251</v>
      </c>
      <c r="K219">
        <f>1/(COUNT(SimDataScen!$C$9:$C$508)-1)+$K$218</f>
        <v>0.42484969939879796</v>
      </c>
      <c r="L219">
        <f>SMALL(SimDataScen!$D$9:$D$508,213)</f>
        <v>107.88603007029951</v>
      </c>
      <c r="M219">
        <f>1/(COUNT(SimDataScen!$D$9:$D$508)-1)+$M$218</f>
        <v>0.42484969939879796</v>
      </c>
      <c r="N219">
        <f>SMALL(SimDataScen!$E$9:$E$508,213)</f>
        <v>28.203611145785317</v>
      </c>
      <c r="O219">
        <f>1/(COUNT(SimDataScen!$E$9:$E$508)-1)+$O$218</f>
        <v>0.42484969939879796</v>
      </c>
    </row>
    <row r="220" spans="1:15">
      <c r="A220">
        <v>212</v>
      </c>
      <c r="B220">
        <v>284.36873209531132</v>
      </c>
      <c r="C220">
        <v>204.67875962774025</v>
      </c>
      <c r="D220">
        <v>124.98878716016918</v>
      </c>
      <c r="E220">
        <v>45.298814692598143</v>
      </c>
      <c r="H220">
        <f>SMALL(SimDataScen!$B$9:$B$508,214)</f>
        <v>265.39271768040328</v>
      </c>
      <c r="I220">
        <f>1/(COUNT(SimDataScen!$B$9:$B$508)-1)+$I$219</f>
        <v>0.42685370741483003</v>
      </c>
      <c r="J220">
        <f>SMALL(SimDataScen!$C$9:$C$508,214)</f>
        <v>186.92561429134292</v>
      </c>
      <c r="K220">
        <f>1/(COUNT(SimDataScen!$C$9:$C$508)-1)+$K$219</f>
        <v>0.42685370741483003</v>
      </c>
      <c r="L220">
        <f>SMALL(SimDataScen!$D$9:$D$508,214)</f>
        <v>108.28610602622753</v>
      </c>
      <c r="M220">
        <f>1/(COUNT(SimDataScen!$D$9:$D$508)-1)+$M$219</f>
        <v>0.42685370741483003</v>
      </c>
      <c r="N220">
        <f>SMALL(SimDataScen!$E$9:$E$508,214)</f>
        <v>28.784499423472056</v>
      </c>
      <c r="O220">
        <f>1/(COUNT(SimDataScen!$E$9:$E$508)-1)+$O$219</f>
        <v>0.42685370741483003</v>
      </c>
    </row>
    <row r="221" spans="1:15">
      <c r="A221">
        <v>213</v>
      </c>
      <c r="B221">
        <v>350.0628187046043</v>
      </c>
      <c r="C221">
        <v>268.98824548487261</v>
      </c>
      <c r="D221">
        <v>187.91367226514092</v>
      </c>
      <c r="E221">
        <v>106.83909904540923</v>
      </c>
      <c r="H221">
        <f>SMALL(SimDataScen!$B$9:$B$508,215)</f>
        <v>265.52273581138849</v>
      </c>
      <c r="I221">
        <f>1/(COUNT(SimDataScen!$B$9:$B$508)-1)+$I$220</f>
        <v>0.4288577154308621</v>
      </c>
      <c r="J221">
        <f>SMALL(SimDataScen!$C$9:$C$508,215)</f>
        <v>187.20020263475951</v>
      </c>
      <c r="K221">
        <f>1/(COUNT(SimDataScen!$C$9:$C$508)-1)+$K$220</f>
        <v>0.4288577154308621</v>
      </c>
      <c r="L221">
        <f>SMALL(SimDataScen!$D$9:$D$508,215)</f>
        <v>108.65703226656309</v>
      </c>
      <c r="M221">
        <f>1/(COUNT(SimDataScen!$D$9:$D$508)-1)+$M$220</f>
        <v>0.4288577154308621</v>
      </c>
      <c r="N221">
        <f>SMALL(SimDataScen!$E$9:$E$508,215)</f>
        <v>29.293226137039014</v>
      </c>
      <c r="O221">
        <f>1/(COUNT(SimDataScen!$E$9:$E$508)-1)+$O$220</f>
        <v>0.4288577154308621</v>
      </c>
    </row>
    <row r="222" spans="1:15">
      <c r="A222">
        <v>214</v>
      </c>
      <c r="B222">
        <v>354.61186183812475</v>
      </c>
      <c r="C222">
        <v>271.21395916383523</v>
      </c>
      <c r="D222">
        <v>187.81605648954573</v>
      </c>
      <c r="E222">
        <v>104.41815381525623</v>
      </c>
      <c r="H222">
        <f>SMALL(SimDataScen!$B$9:$B$508,216)</f>
        <v>265.66253456928467</v>
      </c>
      <c r="I222">
        <f>1/(COUNT(SimDataScen!$B$9:$B$508)-1)+$I$221</f>
        <v>0.43086172344689416</v>
      </c>
      <c r="J222">
        <f>SMALL(SimDataScen!$C$9:$C$508,216)</f>
        <v>187.24922417441513</v>
      </c>
      <c r="K222">
        <f>1/(COUNT(SimDataScen!$C$9:$C$508)-1)+$K$221</f>
        <v>0.43086172344689416</v>
      </c>
      <c r="L222">
        <f>SMALL(SimDataScen!$D$9:$D$508,216)</f>
        <v>109.02356333419129</v>
      </c>
      <c r="M222">
        <f>1/(COUNT(SimDataScen!$D$9:$D$508)-1)+$M$221</f>
        <v>0.43086172344689416</v>
      </c>
      <c r="N222">
        <f>SMALL(SimDataScen!$E$9:$E$508,216)</f>
        <v>30.561977825259731</v>
      </c>
      <c r="O222">
        <f>1/(COUNT(SimDataScen!$E$9:$E$508)-1)+$O$221</f>
        <v>0.43086172344689416</v>
      </c>
    </row>
    <row r="223" spans="1:15">
      <c r="A223">
        <v>215</v>
      </c>
      <c r="B223">
        <v>305.01643378076136</v>
      </c>
      <c r="C223">
        <v>225.71837887271573</v>
      </c>
      <c r="D223">
        <v>146.42032396467005</v>
      </c>
      <c r="E223">
        <v>67.122269056624418</v>
      </c>
      <c r="H223">
        <f>SMALL(SimDataScen!$B$9:$B$508,217)</f>
        <v>266.66924722342532</v>
      </c>
      <c r="I223">
        <f>1/(COUNT(SimDataScen!$B$9:$B$508)-1)+$I$222</f>
        <v>0.43286573146292623</v>
      </c>
      <c r="J223">
        <f>SMALL(SimDataScen!$C$9:$C$508,217)</f>
        <v>187.27142583898552</v>
      </c>
      <c r="K223">
        <f>1/(COUNT(SimDataScen!$C$9:$C$508)-1)+$K$222</f>
        <v>0.43286573146292623</v>
      </c>
      <c r="L223">
        <f>SMALL(SimDataScen!$D$9:$D$508,217)</f>
        <v>109.48042598055363</v>
      </c>
      <c r="M223">
        <f>1/(COUNT(SimDataScen!$D$9:$D$508)-1)+$M$222</f>
        <v>0.43286573146292623</v>
      </c>
      <c r="N223">
        <f>SMALL(SimDataScen!$E$9:$E$508,217)</f>
        <v>30.680931189614711</v>
      </c>
      <c r="O223">
        <f>1/(COUNT(SimDataScen!$E$9:$E$508)-1)+$O$222</f>
        <v>0.43286573146292623</v>
      </c>
    </row>
    <row r="224" spans="1:15">
      <c r="A224">
        <v>216</v>
      </c>
      <c r="B224">
        <v>223.86641293361134</v>
      </c>
      <c r="C224">
        <v>146.15147447288223</v>
      </c>
      <c r="D224">
        <v>68.436536012153084</v>
      </c>
      <c r="E224">
        <v>-9.2784024485760312</v>
      </c>
      <c r="H224">
        <f>SMALL(SimDataScen!$B$9:$B$508,218)</f>
        <v>266.87827959551981</v>
      </c>
      <c r="I224">
        <f>1/(COUNT(SimDataScen!$B$9:$B$508)-1)+$I$223</f>
        <v>0.43486973947895829</v>
      </c>
      <c r="J224">
        <f>SMALL(SimDataScen!$C$9:$C$508,218)</f>
        <v>187.78893383242797</v>
      </c>
      <c r="K224">
        <f>1/(COUNT(SimDataScen!$C$9:$C$508)-1)+$K$223</f>
        <v>0.43486973947895829</v>
      </c>
      <c r="L224">
        <f>SMALL(SimDataScen!$D$9:$D$508,218)</f>
        <v>109.50672926869157</v>
      </c>
      <c r="M224">
        <f>1/(COUNT(SimDataScen!$D$9:$D$508)-1)+$M$223</f>
        <v>0.43486973947895829</v>
      </c>
      <c r="N224">
        <f>SMALL(SimDataScen!$E$9:$E$508,218)</f>
        <v>31.711627786692162</v>
      </c>
      <c r="O224">
        <f>1/(COUNT(SimDataScen!$E$9:$E$508)-1)+$O$223</f>
        <v>0.43486973947895829</v>
      </c>
    </row>
    <row r="225" spans="1:15">
      <c r="A225">
        <v>217</v>
      </c>
      <c r="B225">
        <v>165.80300665264733</v>
      </c>
      <c r="C225">
        <v>96.187457184840753</v>
      </c>
      <c r="D225">
        <v>26.571907717034151</v>
      </c>
      <c r="E225">
        <v>-43.043641750772423</v>
      </c>
      <c r="H225">
        <f>SMALL(SimDataScen!$B$9:$B$508,219)</f>
        <v>266.91885815630019</v>
      </c>
      <c r="I225">
        <f>1/(COUNT(SimDataScen!$B$9:$B$508)-1)+$I$224</f>
        <v>0.43687374749499036</v>
      </c>
      <c r="J225">
        <f>SMALL(SimDataScen!$C$9:$C$508,219)</f>
        <v>188.36860090666977</v>
      </c>
      <c r="K225">
        <f>1/(COUNT(SimDataScen!$C$9:$C$508)-1)+$K$224</f>
        <v>0.43687374749499036</v>
      </c>
      <c r="L225">
        <f>SMALL(SimDataScen!$D$9:$D$508,219)</f>
        <v>109.74885559349752</v>
      </c>
      <c r="M225">
        <f>1/(COUNT(SimDataScen!$D$9:$D$508)-1)+$M$224</f>
        <v>0.43687374749499036</v>
      </c>
      <c r="N225">
        <f>SMALL(SimDataScen!$E$9:$E$508,219)</f>
        <v>31.714327331768118</v>
      </c>
      <c r="O225">
        <f>1/(COUNT(SimDataScen!$E$9:$E$508)-1)+$O$224</f>
        <v>0.43687374749499036</v>
      </c>
    </row>
    <row r="226" spans="1:15">
      <c r="A226">
        <v>218</v>
      </c>
      <c r="B226">
        <v>192.42619046281644</v>
      </c>
      <c r="C226">
        <v>122.57282468506654</v>
      </c>
      <c r="D226">
        <v>52.71945890731665</v>
      </c>
      <c r="E226">
        <v>-17.133906870433236</v>
      </c>
      <c r="H226">
        <f>SMALL(SimDataScen!$B$9:$B$508,220)</f>
        <v>267.19290006129216</v>
      </c>
      <c r="I226">
        <f>1/(COUNT(SimDataScen!$B$9:$B$508)-1)+$I$225</f>
        <v>0.43887775551102243</v>
      </c>
      <c r="J226">
        <f>SMALL(SimDataScen!$C$9:$C$508,220)</f>
        <v>188.51734788145615</v>
      </c>
      <c r="K226">
        <f>1/(COUNT(SimDataScen!$C$9:$C$508)-1)+$K$225</f>
        <v>0.43887775551102243</v>
      </c>
      <c r="L226">
        <f>SMALL(SimDataScen!$D$9:$D$508,220)</f>
        <v>110.11583760661213</v>
      </c>
      <c r="M226">
        <f>1/(COUNT(SimDataScen!$D$9:$D$508)-1)+$M$225</f>
        <v>0.43887775551102243</v>
      </c>
      <c r="N226">
        <f>SMALL(SimDataScen!$E$9:$E$508,220)</f>
        <v>31.784058109684452</v>
      </c>
      <c r="O226">
        <f>1/(COUNT(SimDataScen!$E$9:$E$508)-1)+$O$225</f>
        <v>0.43887775551102243</v>
      </c>
    </row>
    <row r="227" spans="1:15">
      <c r="A227">
        <v>219</v>
      </c>
      <c r="B227">
        <v>292.23665380068957</v>
      </c>
      <c r="C227">
        <v>210.39235472282911</v>
      </c>
      <c r="D227">
        <v>128.54805564496866</v>
      </c>
      <c r="E227">
        <v>46.703756567108172</v>
      </c>
      <c r="H227">
        <f>SMALL(SimDataScen!$B$9:$B$508,221)</f>
        <v>267.22932900144065</v>
      </c>
      <c r="I227">
        <f>1/(COUNT(SimDataScen!$B$9:$B$508)-1)+$I$226</f>
        <v>0.44088176352705449</v>
      </c>
      <c r="J227">
        <f>SMALL(SimDataScen!$C$9:$C$508,221)</f>
        <v>188.52440645692428</v>
      </c>
      <c r="K227">
        <f>1/(COUNT(SimDataScen!$C$9:$C$508)-1)+$K$226</f>
        <v>0.44088176352705449</v>
      </c>
      <c r="L227">
        <f>SMALL(SimDataScen!$D$9:$D$508,221)</f>
        <v>110.35471406558202</v>
      </c>
      <c r="M227">
        <f>1/(COUNT(SimDataScen!$D$9:$D$508)-1)+$M$226</f>
        <v>0.44088176352705449</v>
      </c>
      <c r="N227">
        <f>SMALL(SimDataScen!$E$9:$E$508,221)</f>
        <v>32.361433983823815</v>
      </c>
      <c r="O227">
        <f>1/(COUNT(SimDataScen!$E$9:$E$508)-1)+$O$226</f>
        <v>0.44088176352705449</v>
      </c>
    </row>
    <row r="228" spans="1:15">
      <c r="A228">
        <v>220</v>
      </c>
      <c r="B228">
        <v>268.22366093840134</v>
      </c>
      <c r="C228">
        <v>185.47281958037323</v>
      </c>
      <c r="D228">
        <v>102.72197822234511</v>
      </c>
      <c r="E228">
        <v>19.971136864317003</v>
      </c>
      <c r="H228">
        <f>SMALL(SimDataScen!$B$9:$B$508,222)</f>
        <v>267.33363123198143</v>
      </c>
      <c r="I228">
        <f>1/(COUNT(SimDataScen!$B$9:$B$508)-1)+$I$227</f>
        <v>0.44288577154308656</v>
      </c>
      <c r="J228">
        <f>SMALL(SimDataScen!$C$9:$C$508,222)</f>
        <v>189.32614186037745</v>
      </c>
      <c r="K228">
        <f>1/(COUNT(SimDataScen!$C$9:$C$508)-1)+$K$227</f>
        <v>0.44288577154308656</v>
      </c>
      <c r="L228">
        <f>SMALL(SimDataScen!$D$9:$D$508,222)</f>
        <v>110.89558335637147</v>
      </c>
      <c r="M228">
        <f>1/(COUNT(SimDataScen!$D$9:$D$508)-1)+$M$227</f>
        <v>0.44288577154308656</v>
      </c>
      <c r="N228">
        <f>SMALL(SimDataScen!$E$9:$E$508,222)</f>
        <v>32.523087650387396</v>
      </c>
      <c r="O228">
        <f>1/(COUNT(SimDataScen!$E$9:$E$508)-1)+$O$227</f>
        <v>0.44288577154308656</v>
      </c>
    </row>
    <row r="229" spans="1:15">
      <c r="A229">
        <v>221</v>
      </c>
      <c r="B229">
        <v>286.4078396879919</v>
      </c>
      <c r="C229">
        <v>203.6004595565704</v>
      </c>
      <c r="D229">
        <v>120.79307942514893</v>
      </c>
      <c r="E229">
        <v>37.985699293727436</v>
      </c>
      <c r="H229">
        <f>SMALL(SimDataScen!$B$9:$B$508,223)</f>
        <v>268.22366093840134</v>
      </c>
      <c r="I229">
        <f>1/(COUNT(SimDataScen!$B$9:$B$508)-1)+$I$228</f>
        <v>0.44488977955911863</v>
      </c>
      <c r="J229">
        <f>SMALL(SimDataScen!$C$9:$C$508,223)</f>
        <v>189.85640204127736</v>
      </c>
      <c r="K229">
        <f>1/(COUNT(SimDataScen!$C$9:$C$508)-1)+$K$228</f>
        <v>0.44488977955911863</v>
      </c>
      <c r="L229">
        <f>SMALL(SimDataScen!$D$9:$D$508,223)</f>
        <v>111.54219110935122</v>
      </c>
      <c r="M229">
        <f>1/(COUNT(SimDataScen!$D$9:$D$508)-1)+$M$228</f>
        <v>0.44488977955911863</v>
      </c>
      <c r="N229">
        <f>SMALL(SimDataScen!$E$9:$E$508,223)</f>
        <v>33.022778662422581</v>
      </c>
      <c r="O229">
        <f>1/(COUNT(SimDataScen!$E$9:$E$508)-1)+$O$228</f>
        <v>0.44488977955911863</v>
      </c>
    </row>
    <row r="230" spans="1:15">
      <c r="A230">
        <v>222</v>
      </c>
      <c r="B230">
        <v>331.64232754002717</v>
      </c>
      <c r="C230">
        <v>252.69944072081893</v>
      </c>
      <c r="D230">
        <v>173.75655390161063</v>
      </c>
      <c r="E230">
        <v>94.813667082402333</v>
      </c>
      <c r="H230">
        <f>SMALL(SimDataScen!$B$9:$B$508,224)</f>
        <v>268.45109578711197</v>
      </c>
      <c r="I230">
        <f>1/(COUNT(SimDataScen!$B$9:$B$508)-1)+$I$229</f>
        <v>0.44689378757515069</v>
      </c>
      <c r="J230">
        <f>SMALL(SimDataScen!$C$9:$C$508,224)</f>
        <v>190.55927960114224</v>
      </c>
      <c r="K230">
        <f>1/(COUNT(SimDataScen!$C$9:$C$508)-1)+$K$229</f>
        <v>0.44689378757515069</v>
      </c>
      <c r="L230">
        <f>SMALL(SimDataScen!$D$9:$D$508,224)</f>
        <v>112.12613840350548</v>
      </c>
      <c r="M230">
        <f>1/(COUNT(SimDataScen!$D$9:$D$508)-1)+$M$229</f>
        <v>0.44689378757515069</v>
      </c>
      <c r="N230">
        <f>SMALL(SimDataScen!$E$9:$E$508,224)</f>
        <v>33.226879689112536</v>
      </c>
      <c r="O230">
        <f>1/(COUNT(SimDataScen!$E$9:$E$508)-1)+$O$229</f>
        <v>0.44689378757515069</v>
      </c>
    </row>
    <row r="231" spans="1:15">
      <c r="A231">
        <v>223</v>
      </c>
      <c r="B231">
        <v>223.94447082587351</v>
      </c>
      <c r="C231">
        <v>145.18828438431547</v>
      </c>
      <c r="D231">
        <v>66.432097942757395</v>
      </c>
      <c r="E231">
        <v>-12.324088498800648</v>
      </c>
      <c r="H231">
        <f>SMALL(SimDataScen!$B$9:$B$508,225)</f>
        <v>268.52735886163077</v>
      </c>
      <c r="I231">
        <f>1/(COUNT(SimDataScen!$B$9:$B$508)-1)+$I$230</f>
        <v>0.44889779559118276</v>
      </c>
      <c r="J231">
        <f>SMALL(SimDataScen!$C$9:$C$508,225)</f>
        <v>191.46197538432739</v>
      </c>
      <c r="K231">
        <f>1/(COUNT(SimDataScen!$C$9:$C$508)-1)+$K$230</f>
        <v>0.44889779559118276</v>
      </c>
      <c r="L231">
        <f>SMALL(SimDataScen!$D$9:$D$508,225)</f>
        <v>112.13134866877705</v>
      </c>
      <c r="M231">
        <f>1/(COUNT(SimDataScen!$D$9:$D$508)-1)+$M$230</f>
        <v>0.44889779559118276</v>
      </c>
      <c r="N231">
        <f>SMALL(SimDataScen!$E$9:$E$508,225)</f>
        <v>33.289195548462715</v>
      </c>
      <c r="O231">
        <f>1/(COUNT(SimDataScen!$E$9:$E$508)-1)+$O$230</f>
        <v>0.44889779559118276</v>
      </c>
    </row>
    <row r="232" spans="1:15">
      <c r="A232">
        <v>224</v>
      </c>
      <c r="B232">
        <v>112.42572399201978</v>
      </c>
      <c r="C232">
        <v>45.751700146469162</v>
      </c>
      <c r="D232">
        <v>-20.92232369908146</v>
      </c>
      <c r="E232">
        <v>-87.596347544632081</v>
      </c>
      <c r="H232">
        <f>SMALL(SimDataScen!$B$9:$B$508,226)</f>
        <v>268.96717204347999</v>
      </c>
      <c r="I232">
        <f>1/(COUNT(SimDataScen!$B$9:$B$508)-1)+$I$231</f>
        <v>0.45090180360721482</v>
      </c>
      <c r="J232">
        <f>SMALL(SimDataScen!$C$9:$C$508,226)</f>
        <v>191.56787179037292</v>
      </c>
      <c r="K232">
        <f>1/(COUNT(SimDataScen!$C$9:$C$508)-1)+$K$231</f>
        <v>0.45090180360721482</v>
      </c>
      <c r="L232">
        <f>SMALL(SimDataScen!$D$9:$D$508,226)</f>
        <v>112.89815453346985</v>
      </c>
      <c r="M232">
        <f>1/(COUNT(SimDataScen!$D$9:$D$508)-1)+$M$231</f>
        <v>0.45090180360721482</v>
      </c>
      <c r="N232">
        <f>SMALL(SimDataScen!$E$9:$E$508,226)</f>
        <v>33.294230209101386</v>
      </c>
      <c r="O232">
        <f>1/(COUNT(SimDataScen!$E$9:$E$508)-1)+$O$231</f>
        <v>0.45090180360721482</v>
      </c>
    </row>
    <row r="233" spans="1:15">
      <c r="A233">
        <v>225</v>
      </c>
      <c r="B233">
        <v>217.70376240885324</v>
      </c>
      <c r="C233">
        <v>143.32442773231287</v>
      </c>
      <c r="D233">
        <v>68.945093055772531</v>
      </c>
      <c r="E233">
        <v>-5.4342416207678212</v>
      </c>
      <c r="H233">
        <f>SMALL(SimDataScen!$B$9:$B$508,227)</f>
        <v>268.98721053350744</v>
      </c>
      <c r="I233">
        <f>1/(COUNT(SimDataScen!$B$9:$B$508)-1)+$I$232</f>
        <v>0.45290581162324689</v>
      </c>
      <c r="J233">
        <f>SMALL(SimDataScen!$C$9:$C$508,227)</f>
        <v>191.76018285844071</v>
      </c>
      <c r="K233">
        <f>1/(COUNT(SimDataScen!$C$9:$C$508)-1)+$K$232</f>
        <v>0.45290581162324689</v>
      </c>
      <c r="L233">
        <f>SMALL(SimDataScen!$D$9:$D$508,227)</f>
        <v>113.04355685912934</v>
      </c>
      <c r="M233">
        <f>1/(COUNT(SimDataScen!$D$9:$D$508)-1)+$M$232</f>
        <v>0.45290581162324689</v>
      </c>
      <c r="N233">
        <f>SMALL(SimDataScen!$E$9:$E$508,227)</f>
        <v>33.703417736411865</v>
      </c>
      <c r="O233">
        <f>1/(COUNT(SimDataScen!$E$9:$E$508)-1)+$O$232</f>
        <v>0.45290581162324689</v>
      </c>
    </row>
    <row r="234" spans="1:15">
      <c r="A234">
        <v>226</v>
      </c>
      <c r="B234">
        <v>382.76555169798053</v>
      </c>
      <c r="C234">
        <v>303.79553955974973</v>
      </c>
      <c r="D234">
        <v>224.82552742151887</v>
      </c>
      <c r="E234">
        <v>145.85551528328804</v>
      </c>
      <c r="H234">
        <f>SMALL(SimDataScen!$B$9:$B$508,228)</f>
        <v>269.42299272613792</v>
      </c>
      <c r="I234">
        <f>1/(COUNT(SimDataScen!$B$9:$B$508)-1)+$I$233</f>
        <v>0.45490981963927896</v>
      </c>
      <c r="J234">
        <f>SMALL(SimDataScen!$C$9:$C$508,228)</f>
        <v>192.46821869732651</v>
      </c>
      <c r="K234">
        <f>1/(COUNT(SimDataScen!$C$9:$C$508)-1)+$K$233</f>
        <v>0.45490981963927896</v>
      </c>
      <c r="L234">
        <f>SMALL(SimDataScen!$D$9:$D$508,228)</f>
        <v>113.12954790936644</v>
      </c>
      <c r="M234">
        <f>1/(COUNT(SimDataScen!$D$9:$D$508)-1)+$M$233</f>
        <v>0.45490981963927896</v>
      </c>
      <c r="N234">
        <f>SMALL(SimDataScen!$E$9:$E$508,228)</f>
        <v>34.361229568268413</v>
      </c>
      <c r="O234">
        <f>1/(COUNT(SimDataScen!$E$9:$E$508)-1)+$O$233</f>
        <v>0.45490981963927896</v>
      </c>
    </row>
    <row r="235" spans="1:15">
      <c r="A235">
        <v>227</v>
      </c>
      <c r="B235">
        <v>150.72149536718968</v>
      </c>
      <c r="C235">
        <v>75.912137188944158</v>
      </c>
      <c r="D235">
        <v>1.1027790106986259</v>
      </c>
      <c r="E235">
        <v>-73.706579167546892</v>
      </c>
      <c r="H235">
        <f>SMALL(SimDataScen!$B$9:$B$508,229)</f>
        <v>269.43856343732762</v>
      </c>
      <c r="I235">
        <f>1/(COUNT(SimDataScen!$B$9:$B$508)-1)+$I$234</f>
        <v>0.45691382765531102</v>
      </c>
      <c r="J235">
        <f>SMALL(SimDataScen!$C$9:$C$508,229)</f>
        <v>192.52436830226429</v>
      </c>
      <c r="K235">
        <f>1/(COUNT(SimDataScen!$C$9:$C$508)-1)+$K$234</f>
        <v>0.45691382765531102</v>
      </c>
      <c r="L235">
        <f>SMALL(SimDataScen!$D$9:$D$508,229)</f>
        <v>113.48538733132715</v>
      </c>
      <c r="M235">
        <f>1/(COUNT(SimDataScen!$D$9:$D$508)-1)+$M$234</f>
        <v>0.45691382765531102</v>
      </c>
      <c r="N235">
        <f>SMALL(SimDataScen!$E$9:$E$508,229)</f>
        <v>34.571532702061745</v>
      </c>
      <c r="O235">
        <f>1/(COUNT(SimDataScen!$E$9:$E$508)-1)+$O$234</f>
        <v>0.45691382765531102</v>
      </c>
    </row>
    <row r="236" spans="1:15">
      <c r="A236">
        <v>228</v>
      </c>
      <c r="B236">
        <v>274.20503774989487</v>
      </c>
      <c r="C236">
        <v>198.2934665047311</v>
      </c>
      <c r="D236">
        <v>122.38189525956733</v>
      </c>
      <c r="E236">
        <v>46.470324014403559</v>
      </c>
      <c r="H236">
        <f>SMALL(SimDataScen!$B$9:$B$508,230)</f>
        <v>270.52781584019601</v>
      </c>
      <c r="I236">
        <f>1/(COUNT(SimDataScen!$B$9:$B$508)-1)+$I$235</f>
        <v>0.45891783567134309</v>
      </c>
      <c r="J236">
        <f>SMALL(SimDataScen!$C$9:$C$508,230)</f>
        <v>192.89861846813005</v>
      </c>
      <c r="K236">
        <f>1/(COUNT(SimDataScen!$C$9:$C$508)-1)+$K$235</f>
        <v>0.45891783567134309</v>
      </c>
      <c r="L236">
        <f>SMALL(SimDataScen!$D$9:$D$508,230)</f>
        <v>113.61774107800639</v>
      </c>
      <c r="M236">
        <f>1/(COUNT(SimDataScen!$D$9:$D$508)-1)+$M$235</f>
        <v>0.45891783567134309</v>
      </c>
      <c r="N236">
        <f>SMALL(SimDataScen!$E$9:$E$508,230)</f>
        <v>34.865552421400025</v>
      </c>
      <c r="O236">
        <f>1/(COUNT(SimDataScen!$E$9:$E$508)-1)+$O$235</f>
        <v>0.45891783567134309</v>
      </c>
    </row>
    <row r="237" spans="1:15">
      <c r="A237">
        <v>229</v>
      </c>
      <c r="B237">
        <v>197.47479322488775</v>
      </c>
      <c r="C237">
        <v>124.01020496616155</v>
      </c>
      <c r="D237">
        <v>50.545616707435329</v>
      </c>
      <c r="E237">
        <v>-22.918971551290866</v>
      </c>
      <c r="H237">
        <f>SMALL(SimDataScen!$B$9:$B$508,231)</f>
        <v>270.75788987163014</v>
      </c>
      <c r="I237">
        <f>1/(COUNT(SimDataScen!$B$9:$B$508)-1)+$I$236</f>
        <v>0.46092184368737515</v>
      </c>
      <c r="J237">
        <f>SMALL(SimDataScen!$C$9:$C$508,231)</f>
        <v>193.36123543383016</v>
      </c>
      <c r="K237">
        <f>1/(COUNT(SimDataScen!$C$9:$C$508)-1)+$K$236</f>
        <v>0.46092184368737515</v>
      </c>
      <c r="L237">
        <f>SMALL(SimDataScen!$D$9:$D$508,231)</f>
        <v>113.96460566624533</v>
      </c>
      <c r="M237">
        <f>1/(COUNT(SimDataScen!$D$9:$D$508)-1)+$M$236</f>
        <v>0.46092184368737515</v>
      </c>
      <c r="N237">
        <f>SMALL(SimDataScen!$E$9:$E$508,231)</f>
        <v>35.404843030226374</v>
      </c>
      <c r="O237">
        <f>1/(COUNT(SimDataScen!$E$9:$E$508)-1)+$O$236</f>
        <v>0.46092184368737515</v>
      </c>
    </row>
    <row r="238" spans="1:15">
      <c r="A238">
        <v>230</v>
      </c>
      <c r="B238">
        <v>231.17351727947803</v>
      </c>
      <c r="C238">
        <v>147.92118953703979</v>
      </c>
      <c r="D238">
        <v>64.668861794601526</v>
      </c>
      <c r="E238">
        <v>-18.583465947836714</v>
      </c>
      <c r="H238">
        <f>SMALL(SimDataScen!$B$9:$B$508,232)</f>
        <v>271.08413093828324</v>
      </c>
      <c r="I238">
        <f>1/(COUNT(SimDataScen!$B$9:$B$508)-1)+$I$237</f>
        <v>0.46292585170340722</v>
      </c>
      <c r="J238">
        <f>SMALL(SimDataScen!$C$9:$C$508,232)</f>
        <v>193.9269879684087</v>
      </c>
      <c r="K238">
        <f>1/(COUNT(SimDataScen!$C$9:$C$508)-1)+$K$237</f>
        <v>0.46292585170340722</v>
      </c>
      <c r="L238">
        <f>SMALL(SimDataScen!$D$9:$D$508,232)</f>
        <v>114.03942834534783</v>
      </c>
      <c r="M238">
        <f>1/(COUNT(SimDataScen!$D$9:$D$508)-1)+$M$237</f>
        <v>0.46292585170340722</v>
      </c>
      <c r="N238">
        <f>SMALL(SimDataScen!$E$9:$E$508,232)</f>
        <v>35.508799278326904</v>
      </c>
      <c r="O238">
        <f>1/(COUNT(SimDataScen!$E$9:$E$508)-1)+$O$237</f>
        <v>0.46292585170340722</v>
      </c>
    </row>
    <row r="239" spans="1:15">
      <c r="A239">
        <v>231</v>
      </c>
      <c r="B239">
        <v>396.94487626044372</v>
      </c>
      <c r="C239">
        <v>313.22839550569148</v>
      </c>
      <c r="D239">
        <v>229.51191475093916</v>
      </c>
      <c r="E239">
        <v>145.79543399618689</v>
      </c>
      <c r="H239">
        <f>SMALL(SimDataScen!$B$9:$B$508,233)</f>
        <v>271.62004062946352</v>
      </c>
      <c r="I239">
        <f>1/(COUNT(SimDataScen!$B$9:$B$508)-1)+$I$238</f>
        <v>0.46492985971943929</v>
      </c>
      <c r="J239">
        <f>SMALL(SimDataScen!$C$9:$C$508,233)</f>
        <v>194.90609779906802</v>
      </c>
      <c r="K239">
        <f>1/(COUNT(SimDataScen!$C$9:$C$508)-1)+$K$238</f>
        <v>0.46492985971943929</v>
      </c>
      <c r="L239">
        <f>SMALL(SimDataScen!$D$9:$D$508,233)</f>
        <v>114.09737299074347</v>
      </c>
      <c r="M239">
        <f>1/(COUNT(SimDataScen!$D$9:$D$508)-1)+$M$238</f>
        <v>0.46492985971943929</v>
      </c>
      <c r="N239">
        <f>SMALL(SimDataScen!$E$9:$E$508,233)</f>
        <v>35.99726606922431</v>
      </c>
      <c r="O239">
        <f>1/(COUNT(SimDataScen!$E$9:$E$508)-1)+$O$238</f>
        <v>0.46492985971943929</v>
      </c>
    </row>
    <row r="240" spans="1:15">
      <c r="A240">
        <v>232</v>
      </c>
      <c r="B240">
        <v>155.88834788410892</v>
      </c>
      <c r="C240">
        <v>73.099433742924674</v>
      </c>
      <c r="D240">
        <v>-9.6894803982596045</v>
      </c>
      <c r="E240">
        <v>-92.478394539443855</v>
      </c>
      <c r="H240">
        <f>SMALL(SimDataScen!$B$9:$B$508,234)</f>
        <v>272.00551342321586</v>
      </c>
      <c r="I240">
        <f>1/(COUNT(SimDataScen!$B$9:$B$508)-1)+$I$239</f>
        <v>0.46693386773547135</v>
      </c>
      <c r="J240">
        <f>SMALL(SimDataScen!$C$9:$C$508,234)</f>
        <v>195.06454859194702</v>
      </c>
      <c r="K240">
        <f>1/(COUNT(SimDataScen!$C$9:$C$508)-1)+$K$239</f>
        <v>0.46693386773547135</v>
      </c>
      <c r="L240">
        <f>SMALL(SimDataScen!$D$9:$D$508,234)</f>
        <v>114.14986160758994</v>
      </c>
      <c r="M240">
        <f>1/(COUNT(SimDataScen!$D$9:$D$508)-1)+$M$239</f>
        <v>0.46693386773547135</v>
      </c>
      <c r="N240">
        <f>SMALL(SimDataScen!$E$9:$E$508,234)</f>
        <v>36.230711676981343</v>
      </c>
      <c r="O240">
        <f>1/(COUNT(SimDataScen!$E$9:$E$508)-1)+$O$239</f>
        <v>0.46693386773547135</v>
      </c>
    </row>
    <row r="241" spans="1:15">
      <c r="A241">
        <v>233</v>
      </c>
      <c r="B241">
        <v>267.33363123198143</v>
      </c>
      <c r="C241">
        <v>195.06454859194702</v>
      </c>
      <c r="D241">
        <v>122.79546595191259</v>
      </c>
      <c r="E241">
        <v>50.526383311878163</v>
      </c>
      <c r="H241">
        <f>SMALL(SimDataScen!$B$9:$B$508,235)</f>
        <v>272.81029899114753</v>
      </c>
      <c r="I241">
        <f>1/(COUNT(SimDataScen!$B$9:$B$508)-1)+$I$240</f>
        <v>0.46893787575150342</v>
      </c>
      <c r="J241">
        <f>SMALL(SimDataScen!$C$9:$C$508,235)</f>
        <v>195.13201172514368</v>
      </c>
      <c r="K241">
        <f>1/(COUNT(SimDataScen!$C$9:$C$508)-1)+$K$240</f>
        <v>0.46893787575150342</v>
      </c>
      <c r="L241">
        <f>SMALL(SimDataScen!$D$9:$D$508,235)</f>
        <v>114.55027298058624</v>
      </c>
      <c r="M241">
        <f>1/(COUNT(SimDataScen!$D$9:$D$508)-1)+$M$240</f>
        <v>0.46893787575150342</v>
      </c>
      <c r="N241">
        <f>SMALL(SimDataScen!$E$9:$E$508,235)</f>
        <v>36.434563123046246</v>
      </c>
      <c r="O241">
        <f>1/(COUNT(SimDataScen!$E$9:$E$508)-1)+$O$240</f>
        <v>0.46893787575150342</v>
      </c>
    </row>
    <row r="242" spans="1:15">
      <c r="A242">
        <v>234</v>
      </c>
      <c r="B242">
        <v>297.30039024648653</v>
      </c>
      <c r="C242">
        <v>220.13399630032052</v>
      </c>
      <c r="D242">
        <v>142.96760235415445</v>
      </c>
      <c r="E242">
        <v>65.80120840798844</v>
      </c>
      <c r="H242">
        <f>SMALL(SimDataScen!$B$9:$B$508,236)</f>
        <v>273.47915061563219</v>
      </c>
      <c r="I242">
        <f>1/(COUNT(SimDataScen!$B$9:$B$508)-1)+$I$241</f>
        <v>0.47094188376753549</v>
      </c>
      <c r="J242">
        <f>SMALL(SimDataScen!$C$9:$C$508,236)</f>
        <v>195.51236519305763</v>
      </c>
      <c r="K242">
        <f>1/(COUNT(SimDataScen!$C$9:$C$508)-1)+$K$241</f>
        <v>0.47094188376753549</v>
      </c>
      <c r="L242">
        <f>SMALL(SimDataScen!$D$9:$D$508,236)</f>
        <v>116.78487283465516</v>
      </c>
      <c r="M242">
        <f>1/(COUNT(SimDataScen!$D$9:$D$508)-1)+$M$241</f>
        <v>0.47094188376753549</v>
      </c>
      <c r="N242">
        <f>SMALL(SimDataScen!$E$9:$E$508,236)</f>
        <v>36.932953958355426</v>
      </c>
      <c r="O242">
        <f>1/(COUNT(SimDataScen!$E$9:$E$508)-1)+$O$241</f>
        <v>0.47094188376753549</v>
      </c>
    </row>
    <row r="243" spans="1:15">
      <c r="A243">
        <v>235</v>
      </c>
      <c r="B243">
        <v>260.78455459697079</v>
      </c>
      <c r="C243">
        <v>184.08334679451877</v>
      </c>
      <c r="D243">
        <v>107.38213899206674</v>
      </c>
      <c r="E243">
        <v>30.680931189614711</v>
      </c>
      <c r="H243">
        <f>SMALL(SimDataScen!$B$9:$B$508,237)</f>
        <v>274.20503774989487</v>
      </c>
      <c r="I243">
        <f>1/(COUNT(SimDataScen!$B$9:$B$508)-1)+$I$242</f>
        <v>0.47294589178356755</v>
      </c>
      <c r="J243">
        <f>SMALL(SimDataScen!$C$9:$C$508,237)</f>
        <v>196.65740074120072</v>
      </c>
      <c r="K243">
        <f>1/(COUNT(SimDataScen!$C$9:$C$508)-1)+$K$242</f>
        <v>0.47294589178356755</v>
      </c>
      <c r="L243">
        <f>SMALL(SimDataScen!$D$9:$D$508,237)</f>
        <v>117.5967478776563</v>
      </c>
      <c r="M243">
        <f>1/(COUNT(SimDataScen!$D$9:$D$508)-1)+$M$242</f>
        <v>0.47294589178356755</v>
      </c>
      <c r="N243">
        <f>SMALL(SimDataScen!$E$9:$E$508,237)</f>
        <v>36.981796993022101</v>
      </c>
      <c r="O243">
        <f>1/(COUNT(SimDataScen!$E$9:$E$508)-1)+$O$242</f>
        <v>0.47294589178356755</v>
      </c>
    </row>
    <row r="244" spans="1:15">
      <c r="A244">
        <v>236</v>
      </c>
      <c r="B244">
        <v>381.13188372869229</v>
      </c>
      <c r="C244">
        <v>300.9756051248915</v>
      </c>
      <c r="D244">
        <v>220.81932652109072</v>
      </c>
      <c r="E244">
        <v>140.66304791728996</v>
      </c>
      <c r="H244">
        <f>SMALL(SimDataScen!$B$9:$B$508,238)</f>
        <v>274.84655888048735</v>
      </c>
      <c r="I244">
        <f>1/(COUNT(SimDataScen!$B$9:$B$508)-1)+$I$243</f>
        <v>0.47494989979959962</v>
      </c>
      <c r="J244">
        <f>SMALL(SimDataScen!$C$9:$C$508,238)</f>
        <v>196.8878651204958</v>
      </c>
      <c r="K244">
        <f>1/(COUNT(SimDataScen!$C$9:$C$508)-1)+$K$243</f>
        <v>0.47494989979959962</v>
      </c>
      <c r="L244">
        <f>SMALL(SimDataScen!$D$9:$D$508,238)</f>
        <v>117.89270821875434</v>
      </c>
      <c r="M244">
        <f>1/(COUNT(SimDataScen!$D$9:$D$508)-1)+$M$243</f>
        <v>0.47494989979959962</v>
      </c>
      <c r="N244">
        <f>SMALL(SimDataScen!$E$9:$E$508,238)</f>
        <v>37.271902610015417</v>
      </c>
      <c r="O244">
        <f>1/(COUNT(SimDataScen!$E$9:$E$508)-1)+$O$243</f>
        <v>0.47494989979959962</v>
      </c>
    </row>
    <row r="245" spans="1:15">
      <c r="A245">
        <v>237</v>
      </c>
      <c r="B245">
        <v>299.87908586780168</v>
      </c>
      <c r="C245">
        <v>216.09016709870878</v>
      </c>
      <c r="D245">
        <v>132.30124832961585</v>
      </c>
      <c r="E245">
        <v>48.512329560522943</v>
      </c>
      <c r="H245">
        <f>SMALL(SimDataScen!$B$9:$B$508,239)</f>
        <v>275.73613838529963</v>
      </c>
      <c r="I245">
        <f>1/(COUNT(SimDataScen!$B$9:$B$508)-1)+$I$244</f>
        <v>0.47695390781563168</v>
      </c>
      <c r="J245">
        <f>SMALL(SimDataScen!$C$9:$C$508,239)</f>
        <v>197.48478051272747</v>
      </c>
      <c r="K245">
        <f>1/(COUNT(SimDataScen!$C$9:$C$508)-1)+$K$244</f>
        <v>0.47695390781563168</v>
      </c>
      <c r="L245">
        <f>SMALL(SimDataScen!$D$9:$D$508,239)</f>
        <v>117.9189995352862</v>
      </c>
      <c r="M245">
        <f>1/(COUNT(SimDataScen!$D$9:$D$508)-1)+$M$244</f>
        <v>0.47695390781563168</v>
      </c>
      <c r="N245">
        <f>SMALL(SimDataScen!$E$9:$E$508,239)</f>
        <v>37.650156713376333</v>
      </c>
      <c r="O245">
        <f>1/(COUNT(SimDataScen!$E$9:$E$508)-1)+$O$244</f>
        <v>0.47695390781563168</v>
      </c>
    </row>
    <row r="246" spans="1:15">
      <c r="A246">
        <v>238</v>
      </c>
      <c r="B246">
        <v>287.08966423806027</v>
      </c>
      <c r="C246">
        <v>202.49118622840734</v>
      </c>
      <c r="D246">
        <v>117.89270821875434</v>
      </c>
      <c r="E246">
        <v>33.294230209101386</v>
      </c>
      <c r="H246">
        <f>SMALL(SimDataScen!$B$9:$B$508,240)</f>
        <v>276.8677368202159</v>
      </c>
      <c r="I246">
        <f>1/(COUNT(SimDataScen!$B$9:$B$508)-1)+$I$245</f>
        <v>0.47895791583166375</v>
      </c>
      <c r="J246">
        <f>SMALL(SimDataScen!$C$9:$C$508,240)</f>
        <v>197.84843665724156</v>
      </c>
      <c r="K246">
        <f>1/(COUNT(SimDataScen!$C$9:$C$508)-1)+$K$245</f>
        <v>0.47895791583166375</v>
      </c>
      <c r="L246">
        <f>SMALL(SimDataScen!$D$9:$D$508,240)</f>
        <v>118.51773942238671</v>
      </c>
      <c r="M246">
        <f>1/(COUNT(SimDataScen!$D$9:$D$508)-1)+$M$245</f>
        <v>0.47895791583166375</v>
      </c>
      <c r="N246">
        <f>SMALL(SimDataScen!$E$9:$E$508,240)</f>
        <v>37.985699293727436</v>
      </c>
      <c r="O246">
        <f>1/(COUNT(SimDataScen!$E$9:$E$508)-1)+$O$245</f>
        <v>0.47895791583166375</v>
      </c>
    </row>
    <row r="247" spans="1:15">
      <c r="A247">
        <v>239</v>
      </c>
      <c r="B247">
        <v>311.23943997335817</v>
      </c>
      <c r="C247">
        <v>229.34935044393035</v>
      </c>
      <c r="D247">
        <v>147.45926091450252</v>
      </c>
      <c r="E247">
        <v>65.569171385074696</v>
      </c>
      <c r="H247">
        <f>SMALL(SimDataScen!$B$9:$B$508,241)</f>
        <v>277.05056149016866</v>
      </c>
      <c r="I247">
        <f>1/(COUNT(SimDataScen!$B$9:$B$508)-1)+$I$246</f>
        <v>0.48096192384769582</v>
      </c>
      <c r="J247">
        <f>SMALL(SimDataScen!$C$9:$C$508,241)</f>
        <v>197.93688830798919</v>
      </c>
      <c r="K247">
        <f>1/(COUNT(SimDataScen!$C$9:$C$508)-1)+$K$246</f>
        <v>0.48096192384769582</v>
      </c>
      <c r="L247">
        <f>SMALL(SimDataScen!$D$9:$D$508,241)</f>
        <v>118.60433687496794</v>
      </c>
      <c r="M247">
        <f>1/(COUNT(SimDataScen!$D$9:$D$508)-1)+$M$246</f>
        <v>0.48096192384769582</v>
      </c>
      <c r="N247">
        <f>SMALL(SimDataScen!$E$9:$E$508,241)</f>
        <v>38.353218557844968</v>
      </c>
      <c r="O247">
        <f>1/(COUNT(SimDataScen!$E$9:$E$508)-1)+$O$246</f>
        <v>0.48096192384769582</v>
      </c>
    </row>
    <row r="248" spans="1:15">
      <c r="A248">
        <v>240</v>
      </c>
      <c r="B248">
        <v>402.46209941137721</v>
      </c>
      <c r="C248">
        <v>320.44033582053572</v>
      </c>
      <c r="D248">
        <v>238.41857222969421</v>
      </c>
      <c r="E248">
        <v>156.39680863885269</v>
      </c>
      <c r="H248">
        <f>SMALL(SimDataScen!$B$9:$B$508,242)</f>
        <v>277.35756389848291</v>
      </c>
      <c r="I248">
        <f>1/(COUNT(SimDataScen!$B$9:$B$508)-1)+$I$247</f>
        <v>0.48296593186372788</v>
      </c>
      <c r="J248">
        <f>SMALL(SimDataScen!$C$9:$C$508,242)</f>
        <v>198.2116987622905</v>
      </c>
      <c r="K248">
        <f>1/(COUNT(SimDataScen!$C$9:$C$508)-1)+$K$247</f>
        <v>0.48296593186372788</v>
      </c>
      <c r="L248">
        <f>SMALL(SimDataScen!$D$9:$D$508,242)</f>
        <v>119.40468975665173</v>
      </c>
      <c r="M248">
        <f>1/(COUNT(SimDataScen!$D$9:$D$508)-1)+$M$247</f>
        <v>0.48296593186372788</v>
      </c>
      <c r="N248">
        <f>SMALL(SimDataScen!$E$9:$E$508,242)</f>
        <v>38.437733944166638</v>
      </c>
      <c r="O248">
        <f>1/(COUNT(SimDataScen!$E$9:$E$508)-1)+$O$247</f>
        <v>0.48296593186372788</v>
      </c>
    </row>
    <row r="249" spans="1:15">
      <c r="A249">
        <v>241</v>
      </c>
      <c r="B249">
        <v>292.41616950520159</v>
      </c>
      <c r="C249">
        <v>211.35791554947576</v>
      </c>
      <c r="D249">
        <v>130.2996615937499</v>
      </c>
      <c r="E249">
        <v>49.241407638024072</v>
      </c>
      <c r="H249">
        <f>SMALL(SimDataScen!$B$9:$B$508,243)</f>
        <v>277.95604356949127</v>
      </c>
      <c r="I249">
        <f>1/(COUNT(SimDataScen!$B$9:$B$508)-1)+$I$248</f>
        <v>0.48496993987975995</v>
      </c>
      <c r="J249">
        <f>SMALL(SimDataScen!$C$9:$C$508,243)</f>
        <v>198.2934665047311</v>
      </c>
      <c r="K249">
        <f>1/(COUNT(SimDataScen!$C$9:$C$508)-1)+$K$248</f>
        <v>0.48496993987975995</v>
      </c>
      <c r="L249">
        <f>SMALL(SimDataScen!$D$9:$D$508,243)</f>
        <v>120.79307942514893</v>
      </c>
      <c r="M249">
        <f>1/(COUNT(SimDataScen!$D$9:$D$508)-1)+$M$248</f>
        <v>0.48496993987975995</v>
      </c>
      <c r="N249">
        <f>SMALL(SimDataScen!$E$9:$E$508,243)</f>
        <v>39.840352073468068</v>
      </c>
      <c r="O249">
        <f>1/(COUNT(SimDataScen!$E$9:$E$508)-1)+$O$248</f>
        <v>0.48496993987975995</v>
      </c>
    </row>
    <row r="250" spans="1:15">
      <c r="A250">
        <v>242</v>
      </c>
      <c r="B250">
        <v>245.06841193218733</v>
      </c>
      <c r="C250">
        <v>166.74368275725706</v>
      </c>
      <c r="D250">
        <v>88.418953582326765</v>
      </c>
      <c r="E250">
        <v>10.094224407396496</v>
      </c>
      <c r="H250">
        <f>SMALL(SimDataScen!$B$9:$B$508,244)</f>
        <v>278.82664964692469</v>
      </c>
      <c r="I250">
        <f>1/(COUNT(SimDataScen!$B$9:$B$508)-1)+$I$249</f>
        <v>0.48697394789579201</v>
      </c>
      <c r="J250">
        <f>SMALL(SimDataScen!$C$9:$C$508,244)</f>
        <v>198.45098273254075</v>
      </c>
      <c r="K250">
        <f>1/(COUNT(SimDataScen!$C$9:$C$508)-1)+$K$249</f>
        <v>0.48697394789579201</v>
      </c>
      <c r="L250">
        <f>SMALL(SimDataScen!$D$9:$D$508,244)</f>
        <v>120.84502355465605</v>
      </c>
      <c r="M250">
        <f>1/(COUNT(SimDataScen!$D$9:$D$508)-1)+$M$249</f>
        <v>0.48697394789579201</v>
      </c>
      <c r="N250">
        <f>SMALL(SimDataScen!$E$9:$E$508,244)</f>
        <v>41.437856733734037</v>
      </c>
      <c r="O250">
        <f>1/(COUNT(SimDataScen!$E$9:$E$508)-1)+$O$249</f>
        <v>0.48697394789579201</v>
      </c>
    </row>
    <row r="251" spans="1:15">
      <c r="A251">
        <v>243</v>
      </c>
      <c r="B251">
        <v>408.29173454052392</v>
      </c>
      <c r="C251">
        <v>326.09642403632995</v>
      </c>
      <c r="D251">
        <v>243.90111353213601</v>
      </c>
      <c r="E251">
        <v>161.70580302794207</v>
      </c>
      <c r="H251">
        <f>SMALL(SimDataScen!$B$9:$B$508,245)</f>
        <v>278.83644079736081</v>
      </c>
      <c r="I251">
        <f>1/(COUNT(SimDataScen!$B$9:$B$508)-1)+$I$250</f>
        <v>0.48897795591182408</v>
      </c>
      <c r="J251">
        <f>SMALL(SimDataScen!$C$9:$C$508,245)</f>
        <v>198.53856813591278</v>
      </c>
      <c r="K251">
        <f>1/(COUNT(SimDataScen!$C$9:$C$508)-1)+$K$250</f>
        <v>0.48897795591182408</v>
      </c>
      <c r="L251">
        <f>SMALL(SimDataScen!$D$9:$D$508,245)</f>
        <v>120.85031443399581</v>
      </c>
      <c r="M251">
        <f>1/(COUNT(SimDataScen!$D$9:$D$508)-1)+$M$250</f>
        <v>0.48897795591182408</v>
      </c>
      <c r="N251">
        <f>SMALL(SimDataScen!$E$9:$E$508,245)</f>
        <v>42.614906791774899</v>
      </c>
      <c r="O251">
        <f>1/(COUNT(SimDataScen!$E$9:$E$508)-1)+$O$250</f>
        <v>0.48897795591182408</v>
      </c>
    </row>
    <row r="252" spans="1:15">
      <c r="A252">
        <v>244</v>
      </c>
      <c r="B252">
        <v>350.80454263822071</v>
      </c>
      <c r="C252">
        <v>274.56260468937154</v>
      </c>
      <c r="D252">
        <v>198.32066674052231</v>
      </c>
      <c r="E252">
        <v>122.07872879167309</v>
      </c>
      <c r="H252">
        <f>SMALL(SimDataScen!$B$9:$B$508,246)</f>
        <v>279.39905580046712</v>
      </c>
      <c r="I252">
        <f>1/(COUNT(SimDataScen!$B$9:$B$508)-1)+$I$251</f>
        <v>0.49098196392785615</v>
      </c>
      <c r="J252">
        <f>SMALL(SimDataScen!$C$9:$C$508,246)</f>
        <v>199.47599155941271</v>
      </c>
      <c r="K252">
        <f>1/(COUNT(SimDataScen!$C$9:$C$508)-1)+$K$251</f>
        <v>0.49098196392785615</v>
      </c>
      <c r="L252">
        <f>SMALL(SimDataScen!$D$9:$D$508,246)</f>
        <v>120.97569634129759</v>
      </c>
      <c r="M252">
        <f>1/(COUNT(SimDataScen!$D$9:$D$508)-1)+$M$251</f>
        <v>0.49098196392785615</v>
      </c>
      <c r="N252">
        <f>SMALL(SimDataScen!$E$9:$E$508,246)</f>
        <v>43.297014320245836</v>
      </c>
      <c r="O252">
        <f>1/(COUNT(SimDataScen!$E$9:$E$508)-1)+$O$251</f>
        <v>0.49098196392785615</v>
      </c>
    </row>
    <row r="253" spans="1:15">
      <c r="A253">
        <v>245</v>
      </c>
      <c r="B253">
        <v>238.76626783140216</v>
      </c>
      <c r="C253">
        <v>161.83124164402903</v>
      </c>
      <c r="D253">
        <v>84.896215456655909</v>
      </c>
      <c r="E253">
        <v>7.9611892692827837</v>
      </c>
      <c r="H253">
        <f>SMALL(SimDataScen!$B$9:$B$508,247)</f>
        <v>280.70123856098115</v>
      </c>
      <c r="I253">
        <f>1/(COUNT(SimDataScen!$B$9:$B$508)-1)+$I$252</f>
        <v>0.49298597194388821</v>
      </c>
      <c r="J253">
        <f>SMALL(SimDataScen!$C$9:$C$508,247)</f>
        <v>199.97426850009964</v>
      </c>
      <c r="K253">
        <f>1/(COUNT(SimDataScen!$C$9:$C$508)-1)+$K$252</f>
        <v>0.49298597194388821</v>
      </c>
      <c r="L253">
        <f>SMALL(SimDataScen!$D$9:$D$508,247)</f>
        <v>121.0214839099857</v>
      </c>
      <c r="M253">
        <f>1/(COUNT(SimDataScen!$D$9:$D$508)-1)+$M$252</f>
        <v>0.49298597194388821</v>
      </c>
      <c r="N253">
        <f>SMALL(SimDataScen!$E$9:$E$508,247)</f>
        <v>43.852192210750047</v>
      </c>
      <c r="O253">
        <f>1/(COUNT(SimDataScen!$E$9:$E$508)-1)+$O$252</f>
        <v>0.49298597194388821</v>
      </c>
    </row>
    <row r="254" spans="1:15">
      <c r="A254">
        <v>246</v>
      </c>
      <c r="B254">
        <v>215.62020526941112</v>
      </c>
      <c r="C254">
        <v>140.34047406759262</v>
      </c>
      <c r="D254">
        <v>65.060742865774117</v>
      </c>
      <c r="E254">
        <v>-10.218988336044376</v>
      </c>
      <c r="H254">
        <f>SMALL(SimDataScen!$B$9:$B$508,248)</f>
        <v>280.87377839771619</v>
      </c>
      <c r="I254">
        <f>1/(COUNT(SimDataScen!$B$9:$B$508)-1)+$I$253</f>
        <v>0.49498997995992028</v>
      </c>
      <c r="J254">
        <f>SMALL(SimDataScen!$C$9:$C$508,248)</f>
        <v>200.81626950341843</v>
      </c>
      <c r="K254">
        <f>1/(COUNT(SimDataScen!$C$9:$C$508)-1)+$K$253</f>
        <v>0.49498997995992028</v>
      </c>
      <c r="L254">
        <f>SMALL(SimDataScen!$D$9:$D$508,248)</f>
        <v>121.71420641438641</v>
      </c>
      <c r="M254">
        <f>1/(COUNT(SimDataScen!$D$9:$D$508)-1)+$M$253</f>
        <v>0.49498997995992028</v>
      </c>
      <c r="N254">
        <f>SMALL(SimDataScen!$E$9:$E$508,248)</f>
        <v>44.31005528180583</v>
      </c>
      <c r="O254">
        <f>1/(COUNT(SimDataScen!$E$9:$E$508)-1)+$O$253</f>
        <v>0.49498997995992028</v>
      </c>
    </row>
    <row r="255" spans="1:15">
      <c r="A255">
        <v>247</v>
      </c>
      <c r="B255">
        <v>469.64702780711622</v>
      </c>
      <c r="C255">
        <v>385.96331147800379</v>
      </c>
      <c r="D255">
        <v>302.27959514889142</v>
      </c>
      <c r="E255">
        <v>218.59587881977899</v>
      </c>
      <c r="H255">
        <f>SMALL(SimDataScen!$B$9:$B$508,249)</f>
        <v>282.26690577569116</v>
      </c>
      <c r="I255">
        <f>1/(COUNT(SimDataScen!$B$9:$B$508)-1)+$I$254</f>
        <v>0.49699398797595234</v>
      </c>
      <c r="J255">
        <f>SMALL(SimDataScen!$C$9:$C$508,249)</f>
        <v>201.29550920148824</v>
      </c>
      <c r="K255">
        <f>1/(COUNT(SimDataScen!$C$9:$C$508)-1)+$K$254</f>
        <v>0.49699398797595234</v>
      </c>
      <c r="L255">
        <f>SMALL(SimDataScen!$D$9:$D$508,249)</f>
        <v>122.08424629860951</v>
      </c>
      <c r="M255">
        <f>1/(COUNT(SimDataScen!$D$9:$D$508)-1)+$M$254</f>
        <v>0.49699398797595234</v>
      </c>
      <c r="N255">
        <f>SMALL(SimDataScen!$E$9:$E$508,249)</f>
        <v>44.692501037806352</v>
      </c>
      <c r="O255">
        <f>1/(COUNT(SimDataScen!$E$9:$E$508)-1)+$O$254</f>
        <v>0.49699398797595234</v>
      </c>
    </row>
    <row r="256" spans="1:15">
      <c r="A256">
        <v>248</v>
      </c>
      <c r="B256">
        <v>181.35882514813491</v>
      </c>
      <c r="C256">
        <v>104.82241206153205</v>
      </c>
      <c r="D256">
        <v>28.285998974929157</v>
      </c>
      <c r="E256">
        <v>-48.250414111673706</v>
      </c>
      <c r="H256">
        <f>SMALL(SimDataScen!$B$9:$B$508,250)</f>
        <v>282.52686329123929</v>
      </c>
      <c r="I256">
        <f>1/(COUNT(SimDataScen!$B$9:$B$508)-1)+$I$255</f>
        <v>0.49899799599198441</v>
      </c>
      <c r="J256">
        <f>SMALL(SimDataScen!$C$9:$C$508,250)</f>
        <v>201.80562989970034</v>
      </c>
      <c r="K256">
        <f>1/(COUNT(SimDataScen!$C$9:$C$508)-1)+$K$255</f>
        <v>0.49899799599198441</v>
      </c>
      <c r="L256">
        <f>SMALL(SimDataScen!$D$9:$D$508,250)</f>
        <v>122.38189525956733</v>
      </c>
      <c r="M256">
        <f>1/(COUNT(SimDataScen!$D$9:$D$508)-1)+$M$255</f>
        <v>0.49899799599198441</v>
      </c>
      <c r="N256">
        <f>SMALL(SimDataScen!$E$9:$E$508,250)</f>
        <v>44.929826207339602</v>
      </c>
      <c r="O256">
        <f>1/(COUNT(SimDataScen!$E$9:$E$508)-1)+$O$255</f>
        <v>0.49899799599198441</v>
      </c>
    </row>
    <row r="257" spans="1:15">
      <c r="A257">
        <v>249</v>
      </c>
      <c r="B257">
        <v>185.22575768142542</v>
      </c>
      <c r="C257">
        <v>110.7295574953198</v>
      </c>
      <c r="D257">
        <v>36.233357309214142</v>
      </c>
      <c r="E257">
        <v>-38.262842876891497</v>
      </c>
      <c r="H257">
        <f>SMALL(SimDataScen!$B$9:$B$508,251)</f>
        <v>283.28422438707508</v>
      </c>
      <c r="I257">
        <f>1/(COUNT(SimDataScen!$B$9:$B$508)-1)+$I$256</f>
        <v>0.50100200400801642</v>
      </c>
      <c r="J257">
        <f>SMALL(SimDataScen!$C$9:$C$508,251)</f>
        <v>201.88138038995913</v>
      </c>
      <c r="K257">
        <f>1/(COUNT(SimDataScen!$C$9:$C$508)-1)+$K$256</f>
        <v>0.50100200400801642</v>
      </c>
      <c r="L257">
        <f>SMALL(SimDataScen!$D$9:$D$508,251)</f>
        <v>122.40252039941171</v>
      </c>
      <c r="M257">
        <f>1/(COUNT(SimDataScen!$D$9:$D$508)-1)+$M$256</f>
        <v>0.50100200400801642</v>
      </c>
      <c r="N257">
        <f>SMALL(SimDataScen!$E$9:$E$508,251)</f>
        <v>45.298814692598143</v>
      </c>
      <c r="O257">
        <f>1/(COUNT(SimDataScen!$E$9:$E$508)-1)+$O$256</f>
        <v>0.50100200400801642</v>
      </c>
    </row>
    <row r="258" spans="1:15">
      <c r="A258">
        <v>250</v>
      </c>
      <c r="B258">
        <v>395.63099429190231</v>
      </c>
      <c r="C258">
        <v>312.90789307534402</v>
      </c>
      <c r="D258">
        <v>230.18479185878576</v>
      </c>
      <c r="E258">
        <v>147.46169064222747</v>
      </c>
      <c r="H258">
        <f>SMALL(SimDataScen!$B$9:$B$508,252)</f>
        <v>283.38374758302098</v>
      </c>
      <c r="I258">
        <f>1/(COUNT(SimDataScen!$B$9:$B$508)-1)+$I$257</f>
        <v>0.50300601202404849</v>
      </c>
      <c r="J258">
        <f>SMALL(SimDataScen!$C$9:$C$508,252)</f>
        <v>201.99055609503881</v>
      </c>
      <c r="K258">
        <f>1/(COUNT(SimDataScen!$C$9:$C$508)-1)+$K$257</f>
        <v>0.50300601202404849</v>
      </c>
      <c r="L258">
        <f>SMALL(SimDataScen!$D$9:$D$508,252)</f>
        <v>122.79546595191259</v>
      </c>
      <c r="M258">
        <f>1/(COUNT(SimDataScen!$D$9:$D$508)-1)+$M$257</f>
        <v>0.50300601202404849</v>
      </c>
      <c r="N258">
        <f>SMALL(SimDataScen!$E$9:$E$508,252)</f>
        <v>46.062619091322034</v>
      </c>
      <c r="O258">
        <f>1/(COUNT(SimDataScen!$E$9:$E$508)-1)+$O$257</f>
        <v>0.50300601202404849</v>
      </c>
    </row>
    <row r="259" spans="1:15">
      <c r="A259">
        <v>251</v>
      </c>
      <c r="B259">
        <v>419.4665396015327</v>
      </c>
      <c r="C259">
        <v>337.31112403945292</v>
      </c>
      <c r="D259">
        <v>255.15570847737308</v>
      </c>
      <c r="E259">
        <v>173.00029291529327</v>
      </c>
      <c r="H259">
        <f>SMALL(SimDataScen!$B$9:$B$508,253)</f>
        <v>283.87690900838896</v>
      </c>
      <c r="I259">
        <f>1/(COUNT(SimDataScen!$B$9:$B$508)-1)+$I$258</f>
        <v>0.50501002004008055</v>
      </c>
      <c r="J259">
        <f>SMALL(SimDataScen!$C$9:$C$508,253)</f>
        <v>202.20261574650334</v>
      </c>
      <c r="K259">
        <f>1/(COUNT(SimDataScen!$C$9:$C$508)-1)+$K$258</f>
        <v>0.50501002004008055</v>
      </c>
      <c r="L259">
        <f>SMALL(SimDataScen!$D$9:$D$508,253)</f>
        <v>123.24791440079559</v>
      </c>
      <c r="M259">
        <f>1/(COUNT(SimDataScen!$D$9:$D$508)-1)+$M$258</f>
        <v>0.50501002004008055</v>
      </c>
      <c r="N259">
        <f>SMALL(SimDataScen!$E$9:$E$508,253)</f>
        <v>46.241239780017253</v>
      </c>
      <c r="O259">
        <f>1/(COUNT(SimDataScen!$E$9:$E$508)-1)+$O$258</f>
        <v>0.50501002004008055</v>
      </c>
    </row>
    <row r="260" spans="1:15">
      <c r="A260">
        <v>252</v>
      </c>
      <c r="B260">
        <v>149.99434606880311</v>
      </c>
      <c r="C260">
        <v>73.570143720869154</v>
      </c>
      <c r="D260">
        <v>-2.8540586270648021</v>
      </c>
      <c r="E260">
        <v>-79.278260974998744</v>
      </c>
      <c r="H260">
        <f>SMALL(SimDataScen!$B$9:$B$508,254)</f>
        <v>284.36873209531132</v>
      </c>
      <c r="I260">
        <f>1/(COUNT(SimDataScen!$B$9:$B$508)-1)+$I$259</f>
        <v>0.50701402805611262</v>
      </c>
      <c r="J260">
        <f>SMALL(SimDataScen!$C$9:$C$508,254)</f>
        <v>202.49118622840734</v>
      </c>
      <c r="K260">
        <f>1/(COUNT(SimDataScen!$C$9:$C$508)-1)+$K$259</f>
        <v>0.50701402805611262</v>
      </c>
      <c r="L260">
        <f>SMALL(SimDataScen!$D$9:$D$508,254)</f>
        <v>123.67649543734555</v>
      </c>
      <c r="M260">
        <f>1/(COUNT(SimDataScen!$D$9:$D$508)-1)+$M$259</f>
        <v>0.50701402805611262</v>
      </c>
      <c r="N260">
        <f>SMALL(SimDataScen!$E$9:$E$508,254)</f>
        <v>46.45129746521954</v>
      </c>
      <c r="O260">
        <f>1/(COUNT(SimDataScen!$E$9:$E$508)-1)+$O$259</f>
        <v>0.50701402805611262</v>
      </c>
    </row>
    <row r="261" spans="1:15">
      <c r="A261">
        <v>253</v>
      </c>
      <c r="B261">
        <v>378.23224650896293</v>
      </c>
      <c r="C261">
        <v>303.30888074593963</v>
      </c>
      <c r="D261">
        <v>228.38551498291628</v>
      </c>
      <c r="E261">
        <v>153.46214921989292</v>
      </c>
      <c r="H261">
        <f>SMALL(SimDataScen!$B$9:$B$508,255)</f>
        <v>284.91418539693757</v>
      </c>
      <c r="I261">
        <f>1/(COUNT(SimDataScen!$B$9:$B$508)-1)+$I$260</f>
        <v>0.50901803607214469</v>
      </c>
      <c r="J261">
        <f>SMALL(SimDataScen!$C$9:$C$508,255)</f>
        <v>203.6004595565704</v>
      </c>
      <c r="K261">
        <f>1/(COUNT(SimDataScen!$C$9:$C$508)-1)+$K$260</f>
        <v>0.50901803607214469</v>
      </c>
      <c r="L261">
        <f>SMALL(SimDataScen!$D$9:$D$508,255)</f>
        <v>124.36370497945111</v>
      </c>
      <c r="M261">
        <f>1/(COUNT(SimDataScen!$D$9:$D$508)-1)+$M$260</f>
        <v>0.50901803607214469</v>
      </c>
      <c r="N261">
        <f>SMALL(SimDataScen!$E$9:$E$508,255)</f>
        <v>46.470324014403559</v>
      </c>
      <c r="O261">
        <f>1/(COUNT(SimDataScen!$E$9:$E$508)-1)+$O$260</f>
        <v>0.50901803607214469</v>
      </c>
    </row>
    <row r="262" spans="1:15">
      <c r="A262">
        <v>254</v>
      </c>
      <c r="B262">
        <v>439.71388217477698</v>
      </c>
      <c r="C262">
        <v>354.09167211699292</v>
      </c>
      <c r="D262">
        <v>268.46946205920892</v>
      </c>
      <c r="E262">
        <v>182.84725200142486</v>
      </c>
      <c r="H262">
        <f>SMALL(SimDataScen!$B$9:$B$508,256)</f>
        <v>285.02413120058156</v>
      </c>
      <c r="I262">
        <f>1/(COUNT(SimDataScen!$B$9:$B$508)-1)+$I$261</f>
        <v>0.51102204408817675</v>
      </c>
      <c r="J262">
        <f>SMALL(SimDataScen!$C$9:$C$508,256)</f>
        <v>204.01270018235084</v>
      </c>
      <c r="K262">
        <f>1/(COUNT(SimDataScen!$C$9:$C$508)-1)+$K$261</f>
        <v>0.51102204408817675</v>
      </c>
      <c r="L262">
        <f>SMALL(SimDataScen!$D$9:$D$508,256)</f>
        <v>124.37791358989422</v>
      </c>
      <c r="M262">
        <f>1/(COUNT(SimDataScen!$D$9:$D$508)-1)+$M$261</f>
        <v>0.51102204408817675</v>
      </c>
      <c r="N262">
        <f>SMALL(SimDataScen!$E$9:$E$508,256)</f>
        <v>46.536721371272705</v>
      </c>
      <c r="O262">
        <f>1/(COUNT(SimDataScen!$E$9:$E$508)-1)+$O$261</f>
        <v>0.51102204408817675</v>
      </c>
    </row>
    <row r="263" spans="1:15">
      <c r="A263">
        <v>255</v>
      </c>
      <c r="B263">
        <v>290.21080757148519</v>
      </c>
      <c r="C263">
        <v>208.88761830766254</v>
      </c>
      <c r="D263">
        <v>127.56442904383989</v>
      </c>
      <c r="E263">
        <v>46.241239780017253</v>
      </c>
      <c r="H263">
        <f>SMALL(SimDataScen!$B$9:$B$508,257)</f>
        <v>285.51906255039637</v>
      </c>
      <c r="I263">
        <f>1/(COUNT(SimDataScen!$B$9:$B$508)-1)+$I$262</f>
        <v>0.51302605210420882</v>
      </c>
      <c r="J263">
        <f>SMALL(SimDataScen!$C$9:$C$508,257)</f>
        <v>204.02751057078729</v>
      </c>
      <c r="K263">
        <f>1/(COUNT(SimDataScen!$C$9:$C$508)-1)+$K$262</f>
        <v>0.51302605210420882</v>
      </c>
      <c r="L263">
        <f>SMALL(SimDataScen!$D$9:$D$508,257)</f>
        <v>124.78744262077065</v>
      </c>
      <c r="M263">
        <f>1/(COUNT(SimDataScen!$D$9:$D$508)-1)+$M$262</f>
        <v>0.51302605210420882</v>
      </c>
      <c r="N263">
        <f>SMALL(SimDataScen!$E$9:$E$508,257)</f>
        <v>46.703756567108172</v>
      </c>
      <c r="O263">
        <f>1/(COUNT(SimDataScen!$E$9:$E$508)-1)+$O$262</f>
        <v>0.51302605210420882</v>
      </c>
    </row>
    <row r="264" spans="1:15">
      <c r="A264">
        <v>256</v>
      </c>
      <c r="B264">
        <v>185.60691819781886</v>
      </c>
      <c r="C264">
        <v>101.65785098852079</v>
      </c>
      <c r="D264">
        <v>17.708783779222728</v>
      </c>
      <c r="E264">
        <v>-66.240283430075351</v>
      </c>
      <c r="H264">
        <f>SMALL(SimDataScen!$B$9:$B$508,258)</f>
        <v>285.90910865485137</v>
      </c>
      <c r="I264">
        <f>1/(COUNT(SimDataScen!$B$9:$B$508)-1)+$I$263</f>
        <v>0.51503006012024088</v>
      </c>
      <c r="J264">
        <f>SMALL(SimDataScen!$C$9:$C$508,258)</f>
        <v>204.67875962774025</v>
      </c>
      <c r="K264">
        <f>1/(COUNT(SimDataScen!$C$9:$C$508)-1)+$K$263</f>
        <v>0.51503006012024088</v>
      </c>
      <c r="L264">
        <f>SMALL(SimDataScen!$D$9:$D$508,258)</f>
        <v>124.98878716016918</v>
      </c>
      <c r="M264">
        <f>1/(COUNT(SimDataScen!$D$9:$D$508)-1)+$M$263</f>
        <v>0.51503006012024088</v>
      </c>
      <c r="N264">
        <f>SMALL(SimDataScen!$E$9:$E$508,258)</f>
        <v>46.761927415322361</v>
      </c>
      <c r="O264">
        <f>1/(COUNT(SimDataScen!$E$9:$E$508)-1)+$O$263</f>
        <v>0.51503006012024088</v>
      </c>
    </row>
    <row r="265" spans="1:15">
      <c r="A265">
        <v>257</v>
      </c>
      <c r="B265">
        <v>464.39215779153307</v>
      </c>
      <c r="C265">
        <v>382.16750262400598</v>
      </c>
      <c r="D265">
        <v>299.94284745647894</v>
      </c>
      <c r="E265">
        <v>217.71819228895185</v>
      </c>
      <c r="H265">
        <f>SMALL(SimDataScen!$B$9:$B$508,259)</f>
        <v>286.4078396879919</v>
      </c>
      <c r="I265">
        <f>1/(COUNT(SimDataScen!$B$9:$B$508)-1)+$I$264</f>
        <v>0.51703406813627295</v>
      </c>
      <c r="J265">
        <f>SMALL(SimDataScen!$C$9:$C$508,259)</f>
        <v>204.83858181070008</v>
      </c>
      <c r="K265">
        <f>1/(COUNT(SimDataScen!$C$9:$C$508)-1)+$K$264</f>
        <v>0.51703406813627295</v>
      </c>
      <c r="L265">
        <f>SMALL(SimDataScen!$D$9:$D$508,259)</f>
        <v>125.80025461301122</v>
      </c>
      <c r="M265">
        <f>1/(COUNT(SimDataScen!$D$9:$D$508)-1)+$M$264</f>
        <v>0.51703406813627295</v>
      </c>
      <c r="N265">
        <f>SMALL(SimDataScen!$E$9:$E$508,259)</f>
        <v>46.783949310244083</v>
      </c>
      <c r="O265">
        <f>1/(COUNT(SimDataScen!$E$9:$E$508)-1)+$O$264</f>
        <v>0.51703406813627295</v>
      </c>
    </row>
    <row r="266" spans="1:15">
      <c r="A266">
        <v>258</v>
      </c>
      <c r="B266">
        <v>412.13827365043153</v>
      </c>
      <c r="C266">
        <v>324.28243698672929</v>
      </c>
      <c r="D266">
        <v>236.42660032302712</v>
      </c>
      <c r="E266">
        <v>148.57076365932494</v>
      </c>
      <c r="H266">
        <f>SMALL(SimDataScen!$B$9:$B$508,260)</f>
        <v>286.58949863848693</v>
      </c>
      <c r="I266">
        <f>1/(COUNT(SimDataScen!$B$9:$B$508)-1)+$I$265</f>
        <v>0.51903807615230502</v>
      </c>
      <c r="J266">
        <f>SMALL(SimDataScen!$C$9:$C$508,260)</f>
        <v>206.14092038801357</v>
      </c>
      <c r="K266">
        <f>1/(COUNT(SimDataScen!$C$9:$C$508)-1)+$K$265</f>
        <v>0.51903807615230502</v>
      </c>
      <c r="L266">
        <f>SMALL(SimDataScen!$D$9:$D$508,260)</f>
        <v>126.25369590091771</v>
      </c>
      <c r="M266">
        <f>1/(COUNT(SimDataScen!$D$9:$D$508)-1)+$M$265</f>
        <v>0.51903807615230502</v>
      </c>
      <c r="N266">
        <f>SMALL(SimDataScen!$E$9:$E$508,260)</f>
        <v>46.846029568943123</v>
      </c>
      <c r="O266">
        <f>1/(COUNT(SimDataScen!$E$9:$E$508)-1)+$O$265</f>
        <v>0.51903807615230502</v>
      </c>
    </row>
    <row r="267" spans="1:15">
      <c r="A267">
        <v>259</v>
      </c>
      <c r="B267">
        <v>320.82374048809243</v>
      </c>
      <c r="C267">
        <v>234.55847032397207</v>
      </c>
      <c r="D267">
        <v>148.29320015985169</v>
      </c>
      <c r="E267">
        <v>62.027929995731341</v>
      </c>
      <c r="H267">
        <f>SMALL(SimDataScen!$B$9:$B$508,261)</f>
        <v>287.08966423806027</v>
      </c>
      <c r="I267">
        <f>1/(COUNT(SimDataScen!$B$9:$B$508)-1)+$I$266</f>
        <v>0.52104208416833708</v>
      </c>
      <c r="J267">
        <f>SMALL(SimDataScen!$C$9:$C$508,261)</f>
        <v>207.12785598518354</v>
      </c>
      <c r="K267">
        <f>1/(COUNT(SimDataScen!$C$9:$C$508)-1)+$K$266</f>
        <v>0.52104208416833708</v>
      </c>
      <c r="L267">
        <f>SMALL(SimDataScen!$D$9:$D$508,261)</f>
        <v>126.85488001767683</v>
      </c>
      <c r="M267">
        <f>1/(COUNT(SimDataScen!$D$9:$D$508)-1)+$M$266</f>
        <v>0.52104208416833708</v>
      </c>
      <c r="N267">
        <f>SMALL(SimDataScen!$E$9:$E$508,261)</f>
        <v>47.652255971036794</v>
      </c>
      <c r="O267">
        <f>1/(COUNT(SimDataScen!$E$9:$E$508)-1)+$O$266</f>
        <v>0.52104208416833708</v>
      </c>
    </row>
    <row r="268" spans="1:15">
      <c r="A268">
        <v>260</v>
      </c>
      <c r="B268">
        <v>311.10734584251759</v>
      </c>
      <c r="C268">
        <v>227.8228964192559</v>
      </c>
      <c r="D268">
        <v>144.53844699599421</v>
      </c>
      <c r="E268">
        <v>61.253997572732516</v>
      </c>
      <c r="H268">
        <f>SMALL(SimDataScen!$B$9:$B$508,262)</f>
        <v>287.47531144821119</v>
      </c>
      <c r="I268">
        <f>1/(COUNT(SimDataScen!$B$9:$B$508)-1)+$I$267</f>
        <v>0.52304609218436915</v>
      </c>
      <c r="J268">
        <f>SMALL(SimDataScen!$C$9:$C$508,262)</f>
        <v>207.53076930558342</v>
      </c>
      <c r="K268">
        <f>1/(COUNT(SimDataScen!$C$9:$C$508)-1)+$K$267</f>
        <v>0.52304609218436915</v>
      </c>
      <c r="L268">
        <f>SMALL(SimDataScen!$D$9:$D$508,262)</f>
        <v>127.40349006270151</v>
      </c>
      <c r="M268">
        <f>1/(COUNT(SimDataScen!$D$9:$D$508)-1)+$M$267</f>
        <v>0.52304609218436915</v>
      </c>
      <c r="N268">
        <f>SMALL(SimDataScen!$E$9:$E$508,262)</f>
        <v>48.024404714186488</v>
      </c>
      <c r="O268">
        <f>1/(COUNT(SimDataScen!$E$9:$E$508)-1)+$O$267</f>
        <v>0.52304609218436915</v>
      </c>
    </row>
    <row r="269" spans="1:15">
      <c r="A269">
        <v>261</v>
      </c>
      <c r="B269">
        <v>296.94488636902167</v>
      </c>
      <c r="C269">
        <v>213.44702340108762</v>
      </c>
      <c r="D269">
        <v>129.94916043315359</v>
      </c>
      <c r="E269">
        <v>46.45129746521954</v>
      </c>
      <c r="H269">
        <f>SMALL(SimDataScen!$B$9:$B$508,263)</f>
        <v>287.90392718613288</v>
      </c>
      <c r="I269">
        <f>1/(COUNT(SimDataScen!$B$9:$B$508)-1)+$I$268</f>
        <v>0.52505010020040122</v>
      </c>
      <c r="J269">
        <f>SMALL(SimDataScen!$C$9:$C$508,263)</f>
        <v>208.6915856148745</v>
      </c>
      <c r="K269">
        <f>1/(COUNT(SimDataScen!$C$9:$C$508)-1)+$K$268</f>
        <v>0.52505010020040122</v>
      </c>
      <c r="L269">
        <f>SMALL(SimDataScen!$D$9:$D$508,263)</f>
        <v>127.56442904383989</v>
      </c>
      <c r="M269">
        <f>1/(COUNT(SimDataScen!$D$9:$D$508)-1)+$M$268</f>
        <v>0.52505010020040122</v>
      </c>
      <c r="N269">
        <f>SMALL(SimDataScen!$E$9:$E$508,263)</f>
        <v>48.512329560522943</v>
      </c>
      <c r="O269">
        <f>1/(COUNT(SimDataScen!$E$9:$E$508)-1)+$O$268</f>
        <v>0.52505010020040122</v>
      </c>
    </row>
    <row r="270" spans="1:15">
      <c r="A270">
        <v>262</v>
      </c>
      <c r="B270">
        <v>412.19598596887238</v>
      </c>
      <c r="C270">
        <v>330.90706229107764</v>
      </c>
      <c r="D270">
        <v>249.61813861328284</v>
      </c>
      <c r="E270">
        <v>168.32921493548804</v>
      </c>
      <c r="H270">
        <f>SMALL(SimDataScen!$B$9:$B$508,264)</f>
        <v>288.12655796105366</v>
      </c>
      <c r="I270">
        <f>1/(COUNT(SimDataScen!$B$9:$B$508)-1)+$I$269</f>
        <v>0.52705410821643328</v>
      </c>
      <c r="J270">
        <f>SMALL(SimDataScen!$C$9:$C$508,264)</f>
        <v>208.80777472959915</v>
      </c>
      <c r="K270">
        <f>1/(COUNT(SimDataScen!$C$9:$C$508)-1)+$K$269</f>
        <v>0.52705410821643328</v>
      </c>
      <c r="L270">
        <f>SMALL(SimDataScen!$D$9:$D$508,264)</f>
        <v>128.54805564496866</v>
      </c>
      <c r="M270">
        <f>1/(COUNT(SimDataScen!$D$9:$D$508)-1)+$M$269</f>
        <v>0.52705410821643328</v>
      </c>
      <c r="N270">
        <f>SMALL(SimDataScen!$E$9:$E$508,264)</f>
        <v>48.609319732430549</v>
      </c>
      <c r="O270">
        <f>1/(COUNT(SimDataScen!$E$9:$E$508)-1)+$O$269</f>
        <v>0.52705410821643328</v>
      </c>
    </row>
    <row r="271" spans="1:15">
      <c r="A271">
        <v>263</v>
      </c>
      <c r="B271">
        <v>528.32200519078776</v>
      </c>
      <c r="C271">
        <v>444.01887418302948</v>
      </c>
      <c r="D271">
        <v>359.7157431752712</v>
      </c>
      <c r="E271">
        <v>275.41261216751292</v>
      </c>
      <c r="H271">
        <f>SMALL(SimDataScen!$B$9:$B$508,265)</f>
        <v>289.50766094231494</v>
      </c>
      <c r="I271">
        <f>1/(COUNT(SimDataScen!$B$9:$B$508)-1)+$I$270</f>
        <v>0.52905811623246535</v>
      </c>
      <c r="J271">
        <f>SMALL(SimDataScen!$C$9:$C$508,265)</f>
        <v>208.88761830766254</v>
      </c>
      <c r="K271">
        <f>1/(COUNT(SimDataScen!$C$9:$C$508)-1)+$K$270</f>
        <v>0.52905811623246535</v>
      </c>
      <c r="L271">
        <f>SMALL(SimDataScen!$D$9:$D$508,265)</f>
        <v>129.34152657342952</v>
      </c>
      <c r="M271">
        <f>1/(COUNT(SimDataScen!$D$9:$D$508)-1)+$M$270</f>
        <v>0.52905811623246535</v>
      </c>
      <c r="N271">
        <f>SMALL(SimDataScen!$E$9:$E$508,265)</f>
        <v>49.000310465255012</v>
      </c>
      <c r="O271">
        <f>1/(COUNT(SimDataScen!$E$9:$E$508)-1)+$O$270</f>
        <v>0.52905811623246535</v>
      </c>
    </row>
    <row r="272" spans="1:15">
      <c r="A272">
        <v>264</v>
      </c>
      <c r="B272">
        <v>249.37115314099788</v>
      </c>
      <c r="C272">
        <v>171.06392668804159</v>
      </c>
      <c r="D272">
        <v>92.756700235085319</v>
      </c>
      <c r="E272">
        <v>14.449473782129047</v>
      </c>
      <c r="H272">
        <f>SMALL(SimDataScen!$B$9:$B$508,266)</f>
        <v>290.21080757148519</v>
      </c>
      <c r="I272">
        <f>1/(COUNT(SimDataScen!$B$9:$B$508)-1)+$I$271</f>
        <v>0.53106212424849741</v>
      </c>
      <c r="J272">
        <f>SMALL(SimDataScen!$C$9:$C$508,266)</f>
        <v>209.87715391806341</v>
      </c>
      <c r="K272">
        <f>1/(COUNT(SimDataScen!$C$9:$C$508)-1)+$K$271</f>
        <v>0.53106212424849741</v>
      </c>
      <c r="L272">
        <f>SMALL(SimDataScen!$D$9:$D$508,266)</f>
        <v>129.90785978153781</v>
      </c>
      <c r="M272">
        <f>1/(COUNT(SimDataScen!$D$9:$D$508)-1)+$M$271</f>
        <v>0.53106212424849741</v>
      </c>
      <c r="N272">
        <f>SMALL(SimDataScen!$E$9:$E$508,266)</f>
        <v>49.077298695518323</v>
      </c>
      <c r="O272">
        <f>1/(COUNT(SimDataScen!$E$9:$E$508)-1)+$O$271</f>
        <v>0.53106212424849741</v>
      </c>
    </row>
    <row r="273" spans="1:15">
      <c r="A273">
        <v>265</v>
      </c>
      <c r="B273">
        <v>382.10291564809199</v>
      </c>
      <c r="C273">
        <v>300.48492389283393</v>
      </c>
      <c r="D273">
        <v>218.86693213757587</v>
      </c>
      <c r="E273">
        <v>137.24894038231781</v>
      </c>
      <c r="H273">
        <f>SMALL(SimDataScen!$B$9:$B$508,267)</f>
        <v>291.12391757665591</v>
      </c>
      <c r="I273">
        <f>1/(COUNT(SimDataScen!$B$9:$B$508)-1)+$I$272</f>
        <v>0.53306613226452948</v>
      </c>
      <c r="J273">
        <f>SMALL(SimDataScen!$C$9:$C$508,267)</f>
        <v>210.36620529346524</v>
      </c>
      <c r="K273">
        <f>1/(COUNT(SimDataScen!$C$9:$C$508)-1)+$K$272</f>
        <v>0.53306613226452948</v>
      </c>
      <c r="L273">
        <f>SMALL(SimDataScen!$D$9:$D$508,267)</f>
        <v>129.94916043315359</v>
      </c>
      <c r="M273">
        <f>1/(COUNT(SimDataScen!$D$9:$D$508)-1)+$M$272</f>
        <v>0.53306613226452948</v>
      </c>
      <c r="N273">
        <f>SMALL(SimDataScen!$E$9:$E$508,267)</f>
        <v>49.241407638024072</v>
      </c>
      <c r="O273">
        <f>1/(COUNT(SimDataScen!$E$9:$E$508)-1)+$O$272</f>
        <v>0.53306613226452948</v>
      </c>
    </row>
    <row r="274" spans="1:15">
      <c r="A274">
        <v>266</v>
      </c>
      <c r="B274">
        <v>259.326259901301</v>
      </c>
      <c r="C274">
        <v>185.43422550532611</v>
      </c>
      <c r="D274">
        <v>111.54219110935122</v>
      </c>
      <c r="E274">
        <v>37.650156713376333</v>
      </c>
      <c r="H274">
        <f>SMALL(SimDataScen!$B$9:$B$508,268)</f>
        <v>292.23665380068957</v>
      </c>
      <c r="I274">
        <f>1/(COUNT(SimDataScen!$B$9:$B$508)-1)+$I$273</f>
        <v>0.53507014028056155</v>
      </c>
      <c r="J274">
        <f>SMALL(SimDataScen!$C$9:$C$508,268)</f>
        <v>210.39235472282911</v>
      </c>
      <c r="K274">
        <f>1/(COUNT(SimDataScen!$C$9:$C$508)-1)+$K$273</f>
        <v>0.53507014028056155</v>
      </c>
      <c r="L274">
        <f>SMALL(SimDataScen!$D$9:$D$508,268)</f>
        <v>130.20216740411965</v>
      </c>
      <c r="M274">
        <f>1/(COUNT(SimDataScen!$D$9:$D$508)-1)+$M$273</f>
        <v>0.53507014028056155</v>
      </c>
      <c r="N274">
        <f>SMALL(SimDataScen!$E$9:$E$508,268)</f>
        <v>49.607963681095384</v>
      </c>
      <c r="O274">
        <f>1/(COUNT(SimDataScen!$E$9:$E$508)-1)+$O$273</f>
        <v>0.53507014028056155</v>
      </c>
    </row>
    <row r="275" spans="1:15">
      <c r="A275">
        <v>267</v>
      </c>
      <c r="B275">
        <v>279.39905580046712</v>
      </c>
      <c r="C275">
        <v>201.88138038995913</v>
      </c>
      <c r="D275">
        <v>124.36370497945111</v>
      </c>
      <c r="E275">
        <v>46.846029568943123</v>
      </c>
      <c r="H275">
        <f>SMALL(SimDataScen!$B$9:$B$508,269)</f>
        <v>292.35081777342532</v>
      </c>
      <c r="I275">
        <f>1/(COUNT(SimDataScen!$B$9:$B$508)-1)+$I$274</f>
        <v>0.53707414829659361</v>
      </c>
      <c r="J275">
        <f>SMALL(SimDataScen!$C$9:$C$508,269)</f>
        <v>210.47338206765505</v>
      </c>
      <c r="K275">
        <f>1/(COUNT(SimDataScen!$C$9:$C$508)-1)+$K$274</f>
        <v>0.53707414829659361</v>
      </c>
      <c r="L275">
        <f>SMALL(SimDataScen!$D$9:$D$508,269)</f>
        <v>130.2996615937499</v>
      </c>
      <c r="M275">
        <f>1/(COUNT(SimDataScen!$D$9:$D$508)-1)+$M$274</f>
        <v>0.53707414829659361</v>
      </c>
      <c r="N275">
        <f>SMALL(SimDataScen!$E$9:$E$508,269)</f>
        <v>49.963277959220079</v>
      </c>
      <c r="O275">
        <f>1/(COUNT(SimDataScen!$E$9:$E$508)-1)+$O$274</f>
        <v>0.53707414829659361</v>
      </c>
    </row>
    <row r="276" spans="1:15">
      <c r="A276">
        <v>268</v>
      </c>
      <c r="B276">
        <v>103.28683611361984</v>
      </c>
      <c r="C276">
        <v>33.316522074749003</v>
      </c>
      <c r="D276">
        <v>-36.653791964121865</v>
      </c>
      <c r="E276">
        <v>-106.6241060029927</v>
      </c>
      <c r="H276">
        <f>SMALL(SimDataScen!$B$9:$B$508,270)</f>
        <v>292.41616950520159</v>
      </c>
      <c r="I276">
        <f>1/(COUNT(SimDataScen!$B$9:$B$508)-1)+$I$275</f>
        <v>0.53907815631262568</v>
      </c>
      <c r="J276">
        <f>SMALL(SimDataScen!$C$9:$C$508,270)</f>
        <v>210.60428386540548</v>
      </c>
      <c r="K276">
        <f>1/(COUNT(SimDataScen!$C$9:$C$508)-1)+$K$275</f>
        <v>0.53907815631262568</v>
      </c>
      <c r="L276">
        <f>SMALL(SimDataScen!$D$9:$D$508,270)</f>
        <v>131.13369773236874</v>
      </c>
      <c r="M276">
        <f>1/(COUNT(SimDataScen!$D$9:$D$508)-1)+$M$275</f>
        <v>0.53907815631262568</v>
      </c>
      <c r="N276">
        <f>SMALL(SimDataScen!$E$9:$E$508,270)</f>
        <v>49.969769703300074</v>
      </c>
      <c r="O276">
        <f>1/(COUNT(SimDataScen!$E$9:$E$508)-1)+$O$275</f>
        <v>0.53907815631262568</v>
      </c>
    </row>
    <row r="277" spans="1:15">
      <c r="A277">
        <v>269</v>
      </c>
      <c r="B277">
        <v>372.90057347196779</v>
      </c>
      <c r="C277">
        <v>284.64705992534238</v>
      </c>
      <c r="D277">
        <v>196.39354637871693</v>
      </c>
      <c r="E277">
        <v>108.14003283209149</v>
      </c>
      <c r="H277">
        <f>SMALL(SimDataScen!$B$9:$B$508,271)</f>
        <v>293.9051595339846</v>
      </c>
      <c r="I277">
        <f>1/(COUNT(SimDataScen!$B$9:$B$508)-1)+$I$276</f>
        <v>0.54108216432865774</v>
      </c>
      <c r="J277">
        <f>SMALL(SimDataScen!$C$9:$C$508,271)</f>
        <v>211.35791554947576</v>
      </c>
      <c r="K277">
        <f>1/(COUNT(SimDataScen!$C$9:$C$508)-1)+$K$276</f>
        <v>0.54108216432865774</v>
      </c>
      <c r="L277">
        <f>SMALL(SimDataScen!$D$9:$D$508,271)</f>
        <v>132.30124832961585</v>
      </c>
      <c r="M277">
        <f>1/(COUNT(SimDataScen!$D$9:$D$508)-1)+$M$276</f>
        <v>0.54108216432865774</v>
      </c>
      <c r="N277">
        <f>SMALL(SimDataScen!$E$9:$E$508,271)</f>
        <v>50.526383311878163</v>
      </c>
      <c r="O277">
        <f>1/(COUNT(SimDataScen!$E$9:$E$508)-1)+$O$276</f>
        <v>0.54108216432865774</v>
      </c>
    </row>
    <row r="278" spans="1:15">
      <c r="A278">
        <v>270</v>
      </c>
      <c r="B278">
        <v>286.58949863848693</v>
      </c>
      <c r="C278">
        <v>210.60428386540548</v>
      </c>
      <c r="D278">
        <v>134.61906909232397</v>
      </c>
      <c r="E278">
        <v>58.633854319242459</v>
      </c>
      <c r="H278">
        <f>SMALL(SimDataScen!$B$9:$B$508,272)</f>
        <v>294.77744465119883</v>
      </c>
      <c r="I278">
        <f>1/(COUNT(SimDataScen!$B$9:$B$508)-1)+$I$277</f>
        <v>0.54308617234468981</v>
      </c>
      <c r="J278">
        <f>SMALL(SimDataScen!$C$9:$C$508,272)</f>
        <v>213.44702340108762</v>
      </c>
      <c r="K278">
        <f>1/(COUNT(SimDataScen!$C$9:$C$508)-1)+$K$277</f>
        <v>0.54308617234468981</v>
      </c>
      <c r="L278">
        <f>SMALL(SimDataScen!$D$9:$D$508,272)</f>
        <v>132.38212774025504</v>
      </c>
      <c r="M278">
        <f>1/(COUNT(SimDataScen!$D$9:$D$508)-1)+$M$277</f>
        <v>0.54308617234468981</v>
      </c>
      <c r="N278">
        <f>SMALL(SimDataScen!$E$9:$E$508,272)</f>
        <v>50.531857253944452</v>
      </c>
      <c r="O278">
        <f>1/(COUNT(SimDataScen!$E$9:$E$508)-1)+$O$277</f>
        <v>0.54308617234468981</v>
      </c>
    </row>
    <row r="279" spans="1:15">
      <c r="A279">
        <v>271</v>
      </c>
      <c r="B279">
        <v>427.45522238612182</v>
      </c>
      <c r="C279">
        <v>337.74074580009881</v>
      </c>
      <c r="D279">
        <v>248.0262692140758</v>
      </c>
      <c r="E279">
        <v>158.31179262805279</v>
      </c>
      <c r="H279">
        <f>SMALL(SimDataScen!$B$9:$B$508,273)</f>
        <v>295.21302905978655</v>
      </c>
      <c r="I279">
        <f>1/(COUNT(SimDataScen!$B$9:$B$508)-1)+$I$278</f>
        <v>0.54509018036072188</v>
      </c>
      <c r="J279">
        <f>SMALL(SimDataScen!$C$9:$C$508,273)</f>
        <v>213.65807573230694</v>
      </c>
      <c r="K279">
        <f>1/(COUNT(SimDataScen!$C$9:$C$508)-1)+$K$278</f>
        <v>0.54509018036072188</v>
      </c>
      <c r="L279">
        <f>SMALL(SimDataScen!$D$9:$D$508,273)</f>
        <v>132.82020617425638</v>
      </c>
      <c r="M279">
        <f>1/(COUNT(SimDataScen!$D$9:$D$508)-1)+$M$278</f>
        <v>0.54509018036072188</v>
      </c>
      <c r="N279">
        <f>SMALL(SimDataScen!$E$9:$E$508,273)</f>
        <v>50.701761902135104</v>
      </c>
      <c r="O279">
        <f>1/(COUNT(SimDataScen!$E$9:$E$508)-1)+$O$278</f>
        <v>0.54509018036072188</v>
      </c>
    </row>
    <row r="280" spans="1:15">
      <c r="A280">
        <v>272</v>
      </c>
      <c r="B280">
        <v>301.09742934099722</v>
      </c>
      <c r="C280">
        <v>228.67448388230292</v>
      </c>
      <c r="D280">
        <v>156.25153842360857</v>
      </c>
      <c r="E280">
        <v>83.828592964914236</v>
      </c>
      <c r="H280">
        <f>SMALL(SimDataScen!$B$9:$B$508,274)</f>
        <v>295.58350369024652</v>
      </c>
      <c r="I280">
        <f>1/(COUNT(SimDataScen!$B$9:$B$508)-1)+$I$279</f>
        <v>0.54709418837675394</v>
      </c>
      <c r="J280">
        <f>SMALL(SimDataScen!$C$9:$C$508,274)</f>
        <v>213.86799166545154</v>
      </c>
      <c r="K280">
        <f>1/(COUNT(SimDataScen!$C$9:$C$508)-1)+$K$279</f>
        <v>0.54709418837675394</v>
      </c>
      <c r="L280">
        <f>SMALL(SimDataScen!$D$9:$D$508,274)</f>
        <v>132.96486510474682</v>
      </c>
      <c r="M280">
        <f>1/(COUNT(SimDataScen!$D$9:$D$508)-1)+$M$279</f>
        <v>0.54709418837675394</v>
      </c>
      <c r="N280">
        <f>SMALL(SimDataScen!$E$9:$E$508,274)</f>
        <v>50.781439765259336</v>
      </c>
      <c r="O280">
        <f>1/(COUNT(SimDataScen!$E$9:$E$508)-1)+$O$279</f>
        <v>0.54709418837675394</v>
      </c>
    </row>
    <row r="281" spans="1:15">
      <c r="A281">
        <v>273</v>
      </c>
      <c r="B281">
        <v>488.7915024443331</v>
      </c>
      <c r="C281">
        <v>404.73497974310493</v>
      </c>
      <c r="D281">
        <v>320.67845704187675</v>
      </c>
      <c r="E281">
        <v>236.62193434064861</v>
      </c>
      <c r="H281">
        <f>SMALL(SimDataScen!$B$9:$B$508,275)</f>
        <v>296.18245373224516</v>
      </c>
      <c r="I281">
        <f>1/(COUNT(SimDataScen!$B$9:$B$508)-1)+$I$280</f>
        <v>0.54909819639278601</v>
      </c>
      <c r="J281">
        <f>SMALL(SimDataScen!$C$9:$C$508,275)</f>
        <v>213.98281571525078</v>
      </c>
      <c r="K281">
        <f>1/(COUNT(SimDataScen!$C$9:$C$508)-1)+$K$280</f>
        <v>0.54909819639278601</v>
      </c>
      <c r="L281">
        <f>SMALL(SimDataScen!$D$9:$D$508,275)</f>
        <v>133.32148631990236</v>
      </c>
      <c r="M281">
        <f>1/(COUNT(SimDataScen!$D$9:$D$508)-1)+$M$280</f>
        <v>0.54909819639278601</v>
      </c>
      <c r="N281">
        <f>SMALL(SimDataScen!$E$9:$E$508,275)</f>
        <v>51.124133948201148</v>
      </c>
      <c r="O281">
        <f>1/(COUNT(SimDataScen!$E$9:$E$508)-1)+$O$280</f>
        <v>0.54909819639278601</v>
      </c>
    </row>
    <row r="282" spans="1:15">
      <c r="A282">
        <v>274</v>
      </c>
      <c r="B282">
        <v>185.50230210378339</v>
      </c>
      <c r="C282">
        <v>114.50125498135698</v>
      </c>
      <c r="D282">
        <v>43.500207858930565</v>
      </c>
      <c r="E282">
        <v>-27.500839263495834</v>
      </c>
      <c r="H282">
        <f>SMALL(SimDataScen!$B$9:$B$508,276)</f>
        <v>296.94488636902167</v>
      </c>
      <c r="I282">
        <f>1/(COUNT(SimDataScen!$B$9:$B$508)-1)+$I$281</f>
        <v>0.55110220440881807</v>
      </c>
      <c r="J282">
        <f>SMALL(SimDataScen!$C$9:$C$508,276)</f>
        <v>214.34171571691729</v>
      </c>
      <c r="K282">
        <f>1/(COUNT(SimDataScen!$C$9:$C$508)-1)+$K$281</f>
        <v>0.55110220440881807</v>
      </c>
      <c r="L282">
        <f>SMALL(SimDataScen!$D$9:$D$508,276)</f>
        <v>134.18776021345064</v>
      </c>
      <c r="M282">
        <f>1/(COUNT(SimDataScen!$D$9:$D$508)-1)+$M$281</f>
        <v>0.55110220440881807</v>
      </c>
      <c r="N282">
        <f>SMALL(SimDataScen!$E$9:$E$508,276)</f>
        <v>51.555197161675522</v>
      </c>
      <c r="O282">
        <f>1/(COUNT(SimDataScen!$E$9:$E$508)-1)+$O$281</f>
        <v>0.55110220440881807</v>
      </c>
    </row>
    <row r="283" spans="1:15">
      <c r="A283">
        <v>275</v>
      </c>
      <c r="B283">
        <v>492.57190130259431</v>
      </c>
      <c r="C283">
        <v>407.26420550232035</v>
      </c>
      <c r="D283">
        <v>321.95650970204645</v>
      </c>
      <c r="E283">
        <v>236.64881390177251</v>
      </c>
      <c r="H283">
        <f>SMALL(SimDataScen!$B$9:$B$508,277)</f>
        <v>297.30039024648653</v>
      </c>
      <c r="I283">
        <f>1/(COUNT(SimDataScen!$B$9:$B$508)-1)+$I$282</f>
        <v>0.55310621242485014</v>
      </c>
      <c r="J283">
        <f>SMALL(SimDataScen!$C$9:$C$508,277)</f>
        <v>216.09016709870878</v>
      </c>
      <c r="K283">
        <f>1/(COUNT(SimDataScen!$C$9:$C$508)-1)+$K$282</f>
        <v>0.55310621242485014</v>
      </c>
      <c r="L283">
        <f>SMALL(SimDataScen!$D$9:$D$508,277)</f>
        <v>134.2396727849532</v>
      </c>
      <c r="M283">
        <f>1/(COUNT(SimDataScen!$D$9:$D$508)-1)+$M$282</f>
        <v>0.55310621242485014</v>
      </c>
      <c r="N283">
        <f>SMALL(SimDataScen!$E$9:$E$508,277)</f>
        <v>51.589192366011872</v>
      </c>
      <c r="O283">
        <f>1/(COUNT(SimDataScen!$E$9:$E$508)-1)+$O$282</f>
        <v>0.55310621242485014</v>
      </c>
    </row>
    <row r="284" spans="1:15">
      <c r="A284">
        <v>276</v>
      </c>
      <c r="B284">
        <v>291.12391757665591</v>
      </c>
      <c r="C284">
        <v>213.86799166545154</v>
      </c>
      <c r="D284">
        <v>136.61206575424717</v>
      </c>
      <c r="E284">
        <v>59.356139843042826</v>
      </c>
      <c r="H284">
        <f>SMALL(SimDataScen!$B$9:$B$508,278)</f>
        <v>298.07620493655361</v>
      </c>
      <c r="I284">
        <f>1/(COUNT(SimDataScen!$B$9:$B$508)-1)+$I$283</f>
        <v>0.55511022044088221</v>
      </c>
      <c r="J284">
        <f>SMALL(SimDataScen!$C$9:$C$508,278)</f>
        <v>216.66176520818954</v>
      </c>
      <c r="K284">
        <f>1/(COUNT(SimDataScen!$C$9:$C$508)-1)+$K$283</f>
        <v>0.55511022044088221</v>
      </c>
      <c r="L284">
        <f>SMALL(SimDataScen!$D$9:$D$508,278)</f>
        <v>134.61906909232397</v>
      </c>
      <c r="M284">
        <f>1/(COUNT(SimDataScen!$D$9:$D$508)-1)+$M$283</f>
        <v>0.55511022044088221</v>
      </c>
      <c r="N284">
        <f>SMALL(SimDataScen!$E$9:$E$508,278)</f>
        <v>51.624649394450927</v>
      </c>
      <c r="O284">
        <f>1/(COUNT(SimDataScen!$E$9:$E$508)-1)+$O$283</f>
        <v>0.55511022044088221</v>
      </c>
    </row>
    <row r="285" spans="1:15">
      <c r="A285">
        <v>277</v>
      </c>
      <c r="B285">
        <v>224.71888469024393</v>
      </c>
      <c r="C285">
        <v>149.9783854867228</v>
      </c>
      <c r="D285">
        <v>75.237886283201632</v>
      </c>
      <c r="E285">
        <v>0.49738707968049312</v>
      </c>
      <c r="H285">
        <f>SMALL(SimDataScen!$B$9:$B$508,279)</f>
        <v>298.48126402971491</v>
      </c>
      <c r="I285">
        <f>1/(COUNT(SimDataScen!$B$9:$B$508)-1)+$I$284</f>
        <v>0.55711422845691427</v>
      </c>
      <c r="J285">
        <f>SMALL(SimDataScen!$C$9:$C$508,279)</f>
        <v>217.64266217454971</v>
      </c>
      <c r="K285">
        <f>1/(COUNT(SimDataScen!$C$9:$C$508)-1)+$K$284</f>
        <v>0.55711422845691427</v>
      </c>
      <c r="L285">
        <f>SMALL(SimDataScen!$D$9:$D$508,279)</f>
        <v>135.32649347901392</v>
      </c>
      <c r="M285">
        <f>1/(COUNT(SimDataScen!$D$9:$D$508)-1)+$M$284</f>
        <v>0.55711422845691427</v>
      </c>
      <c r="N285">
        <f>SMALL(SimDataScen!$E$9:$E$508,279)</f>
        <v>52.414250833865452</v>
      </c>
      <c r="O285">
        <f>1/(COUNT(SimDataScen!$E$9:$E$508)-1)+$O$284</f>
        <v>0.55711422845691427</v>
      </c>
    </row>
    <row r="286" spans="1:15">
      <c r="A286">
        <v>278</v>
      </c>
      <c r="B286">
        <v>266.66924722342532</v>
      </c>
      <c r="C286">
        <v>189.85640204127736</v>
      </c>
      <c r="D286">
        <v>113.04355685912934</v>
      </c>
      <c r="E286">
        <v>36.230711676981343</v>
      </c>
      <c r="H286">
        <f>SMALL(SimDataScen!$B$9:$B$508,280)</f>
        <v>298.52026823193813</v>
      </c>
      <c r="I286">
        <f>1/(COUNT(SimDataScen!$B$9:$B$508)-1)+$I$285</f>
        <v>0.55911823647294634</v>
      </c>
      <c r="J286">
        <f>SMALL(SimDataScen!$C$9:$C$508,280)</f>
        <v>217.73145141377051</v>
      </c>
      <c r="K286">
        <f>1/(COUNT(SimDataScen!$C$9:$C$508)-1)+$K$285</f>
        <v>0.55911823647294634</v>
      </c>
      <c r="L286">
        <f>SMALL(SimDataScen!$D$9:$D$508,280)</f>
        <v>135.38968057271089</v>
      </c>
      <c r="M286">
        <f>1/(COUNT(SimDataScen!$D$9:$D$508)-1)+$M$285</f>
        <v>0.55911823647294634</v>
      </c>
      <c r="N286">
        <f>SMALL(SimDataScen!$E$9:$E$508,280)</f>
        <v>52.917484500340578</v>
      </c>
      <c r="O286">
        <f>1/(COUNT(SimDataScen!$E$9:$E$508)-1)+$O$285</f>
        <v>0.55911823647294634</v>
      </c>
    </row>
    <row r="287" spans="1:15">
      <c r="A287">
        <v>279</v>
      </c>
      <c r="B287">
        <v>387.52783283166832</v>
      </c>
      <c r="C287">
        <v>306.7438409795692</v>
      </c>
      <c r="D287">
        <v>225.95984912747005</v>
      </c>
      <c r="E287">
        <v>145.17585727537093</v>
      </c>
      <c r="H287">
        <f>SMALL(SimDataScen!$B$9:$B$508,281)</f>
        <v>298.62819189400739</v>
      </c>
      <c r="I287">
        <f>1/(COUNT(SimDataScen!$B$9:$B$508)-1)+$I$286</f>
        <v>0.56112224448897841</v>
      </c>
      <c r="J287">
        <f>SMALL(SimDataScen!$C$9:$C$508,281)</f>
        <v>218.27747423845685</v>
      </c>
      <c r="K287">
        <f>1/(COUNT(SimDataScen!$C$9:$C$508)-1)+$K$286</f>
        <v>0.56112224448897841</v>
      </c>
      <c r="L287">
        <f>SMALL(SimDataScen!$D$9:$D$508,281)</f>
        <v>135.42907816484617</v>
      </c>
      <c r="M287">
        <f>1/(COUNT(SimDataScen!$D$9:$D$508)-1)+$M$286</f>
        <v>0.56112224448897841</v>
      </c>
      <c r="N287">
        <f>SMALL(SimDataScen!$E$9:$E$508,281)</f>
        <v>55.167030280857716</v>
      </c>
      <c r="O287">
        <f>1/(COUNT(SimDataScen!$E$9:$E$508)-1)+$O$286</f>
        <v>0.56112224448897841</v>
      </c>
    </row>
    <row r="288" spans="1:15">
      <c r="A288">
        <v>280</v>
      </c>
      <c r="B288">
        <v>217.36357819752425</v>
      </c>
      <c r="C288">
        <v>140.90988551302075</v>
      </c>
      <c r="D288">
        <v>64.456192828517217</v>
      </c>
      <c r="E288">
        <v>-11.997499855986291</v>
      </c>
      <c r="H288">
        <f>SMALL(SimDataScen!$B$9:$B$508,282)</f>
        <v>299.0695935765774</v>
      </c>
      <c r="I288">
        <f>1/(COUNT(SimDataScen!$B$9:$B$508)-1)+$I$287</f>
        <v>0.56312625250501047</v>
      </c>
      <c r="J288">
        <f>SMALL(SimDataScen!$C$9:$C$508,282)</f>
        <v>218.51606761068635</v>
      </c>
      <c r="K288">
        <f>1/(COUNT(SimDataScen!$C$9:$C$508)-1)+$K$287</f>
        <v>0.56312625250501047</v>
      </c>
      <c r="L288">
        <f>SMALL(SimDataScen!$D$9:$D$508,282)</f>
        <v>135.70827938634892</v>
      </c>
      <c r="M288">
        <f>1/(COUNT(SimDataScen!$D$9:$D$508)-1)+$M$287</f>
        <v>0.56312625250501047</v>
      </c>
      <c r="N288">
        <f>SMALL(SimDataScen!$E$9:$E$508,282)</f>
        <v>55.883981881793233</v>
      </c>
      <c r="O288">
        <f>1/(COUNT(SimDataScen!$E$9:$E$508)-1)+$O$287</f>
        <v>0.56312625250501047</v>
      </c>
    </row>
    <row r="289" spans="1:15">
      <c r="A289">
        <v>281</v>
      </c>
      <c r="B289">
        <v>209.63695283001886</v>
      </c>
      <c r="C289">
        <v>132.32941741130634</v>
      </c>
      <c r="D289">
        <v>55.021881992593791</v>
      </c>
      <c r="E289">
        <v>-22.285653426118728</v>
      </c>
      <c r="H289">
        <f>SMALL(SimDataScen!$B$9:$B$508,283)</f>
        <v>299.87908586780168</v>
      </c>
      <c r="I289">
        <f>1/(COUNT(SimDataScen!$B$9:$B$508)-1)+$I$288</f>
        <v>0.56513026052104254</v>
      </c>
      <c r="J289">
        <f>SMALL(SimDataScen!$C$9:$C$508,283)</f>
        <v>218.59113908395386</v>
      </c>
      <c r="K289">
        <f>1/(COUNT(SimDataScen!$C$9:$C$508)-1)+$K$288</f>
        <v>0.56513026052104254</v>
      </c>
      <c r="L289">
        <f>SMALL(SimDataScen!$D$9:$D$508,283)</f>
        <v>135.96521628221458</v>
      </c>
      <c r="M289">
        <f>1/(COUNT(SimDataScen!$D$9:$D$508)-1)+$M$288</f>
        <v>0.56513026052104254</v>
      </c>
      <c r="N289">
        <f>SMALL(SimDataScen!$E$9:$E$508,283)</f>
        <v>55.937970453296742</v>
      </c>
      <c r="O289">
        <f>1/(COUNT(SimDataScen!$E$9:$E$508)-1)+$O$288</f>
        <v>0.56513026052104254</v>
      </c>
    </row>
    <row r="290" spans="1:15">
      <c r="A290">
        <v>282</v>
      </c>
      <c r="B290">
        <v>417.79304796006761</v>
      </c>
      <c r="C290">
        <v>331.67445193513765</v>
      </c>
      <c r="D290">
        <v>245.55585591020775</v>
      </c>
      <c r="E290">
        <v>159.43725988527785</v>
      </c>
      <c r="H290">
        <f>SMALL(SimDataScen!$B$9:$B$508,284)</f>
        <v>300.43249043136228</v>
      </c>
      <c r="I290">
        <f>1/(COUNT(SimDataScen!$B$9:$B$508)-1)+$I$289</f>
        <v>0.5671342685370746</v>
      </c>
      <c r="J290">
        <f>SMALL(SimDataScen!$C$9:$C$508,284)</f>
        <v>219.063794592016</v>
      </c>
      <c r="K290">
        <f>1/(COUNT(SimDataScen!$C$9:$C$508)-1)+$K$289</f>
        <v>0.5671342685370746</v>
      </c>
      <c r="L290">
        <f>SMALL(SimDataScen!$D$9:$D$508,284)</f>
        <v>136.61206575424717</v>
      </c>
      <c r="M290">
        <f>1/(COUNT(SimDataScen!$D$9:$D$508)-1)+$M$289</f>
        <v>0.5671342685370746</v>
      </c>
      <c r="N290">
        <f>SMALL(SimDataScen!$E$9:$E$508,284)</f>
        <v>56.767842941939932</v>
      </c>
      <c r="O290">
        <f>1/(COUNT(SimDataScen!$E$9:$E$508)-1)+$O$289</f>
        <v>0.5671342685370746</v>
      </c>
    </row>
    <row r="291" spans="1:15">
      <c r="A291">
        <v>283</v>
      </c>
      <c r="B291">
        <v>334.4284567374973</v>
      </c>
      <c r="C291">
        <v>254.79137693974329</v>
      </c>
      <c r="D291">
        <v>175.15429714198928</v>
      </c>
      <c r="E291">
        <v>95.517217344235263</v>
      </c>
      <c r="H291">
        <f>SMALL(SimDataScen!$B$9:$B$508,285)</f>
        <v>301.09742934099722</v>
      </c>
      <c r="I291">
        <f>1/(COUNT(SimDataScen!$B$9:$B$508)-1)+$I$290</f>
        <v>0.56913827655310667</v>
      </c>
      <c r="J291">
        <f>SMALL(SimDataScen!$C$9:$C$508,285)</f>
        <v>219.21094126822152</v>
      </c>
      <c r="K291">
        <f>1/(COUNT(SimDataScen!$C$9:$C$508)-1)+$K$290</f>
        <v>0.56913827655310667</v>
      </c>
      <c r="L291">
        <f>SMALL(SimDataScen!$D$9:$D$508,285)</f>
        <v>136.83471093353361</v>
      </c>
      <c r="M291">
        <f>1/(COUNT(SimDataScen!$D$9:$D$508)-1)+$M$290</f>
        <v>0.56913827655310667</v>
      </c>
      <c r="N291">
        <f>SMALL(SimDataScen!$E$9:$E$508,285)</f>
        <v>57.236037429245357</v>
      </c>
      <c r="O291">
        <f>1/(COUNT(SimDataScen!$E$9:$E$508)-1)+$O$290</f>
        <v>0.56913827655310667</v>
      </c>
    </row>
    <row r="292" spans="1:15">
      <c r="A292">
        <v>284</v>
      </c>
      <c r="B292">
        <v>314.03376719522021</v>
      </c>
      <c r="C292">
        <v>229.54019725094435</v>
      </c>
      <c r="D292">
        <v>145.04662730666848</v>
      </c>
      <c r="E292">
        <v>60.55305736239265</v>
      </c>
      <c r="H292">
        <f>SMALL(SimDataScen!$B$9:$B$508,286)</f>
        <v>301.17787461061482</v>
      </c>
      <c r="I292">
        <f>1/(COUNT(SimDataScen!$B$9:$B$508)-1)+$I$291</f>
        <v>0.57114228456913874</v>
      </c>
      <c r="J292">
        <f>SMALL(SimDataScen!$C$9:$C$508,286)</f>
        <v>220.13399630032052</v>
      </c>
      <c r="K292">
        <f>1/(COUNT(SimDataScen!$C$9:$C$508)-1)+$K$291</f>
        <v>0.57114228456913874</v>
      </c>
      <c r="L292">
        <f>SMALL(SimDataScen!$D$9:$D$508,286)</f>
        <v>136.86170980447747</v>
      </c>
      <c r="M292">
        <f>1/(COUNT(SimDataScen!$D$9:$D$508)-1)+$M$291</f>
        <v>0.57114228456913874</v>
      </c>
      <c r="N292">
        <f>SMALL(SimDataScen!$E$9:$E$508,286)</f>
        <v>57.679854327066522</v>
      </c>
      <c r="O292">
        <f>1/(COUNT(SimDataScen!$E$9:$E$508)-1)+$O$291</f>
        <v>0.57114228456913874</v>
      </c>
    </row>
    <row r="293" spans="1:15">
      <c r="A293">
        <v>285</v>
      </c>
      <c r="B293">
        <v>360.05912810331949</v>
      </c>
      <c r="C293">
        <v>280.56653785187154</v>
      </c>
      <c r="D293">
        <v>201.07394760042365</v>
      </c>
      <c r="E293">
        <v>121.58135734897576</v>
      </c>
      <c r="H293">
        <f>SMALL(SimDataScen!$B$9:$B$508,287)</f>
        <v>301.96383802919706</v>
      </c>
      <c r="I293">
        <f>1/(COUNT(SimDataScen!$B$9:$B$508)-1)+$I$292</f>
        <v>0.5731462925851708</v>
      </c>
      <c r="J293">
        <f>SMALL(SimDataScen!$C$9:$C$508,287)</f>
        <v>220.3262990757479</v>
      </c>
      <c r="K293">
        <f>1/(COUNT(SimDataScen!$C$9:$C$508)-1)+$K$292</f>
        <v>0.5731462925851708</v>
      </c>
      <c r="L293">
        <f>SMALL(SimDataScen!$D$9:$D$508,287)</f>
        <v>137.9893921050807</v>
      </c>
      <c r="M293">
        <f>1/(COUNT(SimDataScen!$D$9:$D$508)-1)+$M$292</f>
        <v>0.5731462925851708</v>
      </c>
      <c r="N293">
        <f>SMALL(SimDataScen!$E$9:$E$508,287)</f>
        <v>58.504390718420808</v>
      </c>
      <c r="O293">
        <f>1/(COUNT(SimDataScen!$E$9:$E$508)-1)+$O$292</f>
        <v>0.5731462925851708</v>
      </c>
    </row>
    <row r="294" spans="1:15">
      <c r="A294">
        <v>286</v>
      </c>
      <c r="B294">
        <v>196.90255639670244</v>
      </c>
      <c r="C294">
        <v>122.56491002207264</v>
      </c>
      <c r="D294">
        <v>48.227263647442811</v>
      </c>
      <c r="E294">
        <v>-26.110382727187002</v>
      </c>
      <c r="H294">
        <f>SMALL(SimDataScen!$B$9:$B$508,288)</f>
        <v>302.05598470101086</v>
      </c>
      <c r="I294">
        <f>1/(COUNT(SimDataScen!$B$9:$B$508)-1)+$I$293</f>
        <v>0.57515030060120287</v>
      </c>
      <c r="J294">
        <f>SMALL(SimDataScen!$C$9:$C$508,288)</f>
        <v>220.80959144212176</v>
      </c>
      <c r="K294">
        <f>1/(COUNT(SimDataScen!$C$9:$C$508)-1)+$K$293</f>
        <v>0.57515030060120287</v>
      </c>
      <c r="L294">
        <f>SMALL(SimDataScen!$D$9:$D$508,288)</f>
        <v>138.54608576518018</v>
      </c>
      <c r="M294">
        <f>1/(COUNT(SimDataScen!$D$9:$D$508)-1)+$M$293</f>
        <v>0.57515030060120287</v>
      </c>
      <c r="N294">
        <f>SMALL(SimDataScen!$E$9:$E$508,288)</f>
        <v>58.633854319242459</v>
      </c>
      <c r="O294">
        <f>1/(COUNT(SimDataScen!$E$9:$E$508)-1)+$O$293</f>
        <v>0.57515030060120287</v>
      </c>
    </row>
    <row r="295" spans="1:15">
      <c r="A295">
        <v>287</v>
      </c>
      <c r="B295">
        <v>251.75148756139362</v>
      </c>
      <c r="C295">
        <v>170.28250143006596</v>
      </c>
      <c r="D295">
        <v>88.813515298738338</v>
      </c>
      <c r="E295">
        <v>7.3445291674107125</v>
      </c>
      <c r="H295">
        <f>SMALL(SimDataScen!$B$9:$B$508,289)</f>
        <v>302.1366196217906</v>
      </c>
      <c r="I295">
        <f>1/(COUNT(SimDataScen!$B$9:$B$508)-1)+$I$294</f>
        <v>0.57715430861723493</v>
      </c>
      <c r="J295">
        <f>SMALL(SimDataScen!$C$9:$C$508,289)</f>
        <v>221.13671818224373</v>
      </c>
      <c r="K295">
        <f>1/(COUNT(SimDataScen!$C$9:$C$508)-1)+$K$294</f>
        <v>0.57715430861723493</v>
      </c>
      <c r="L295">
        <f>SMALL(SimDataScen!$D$9:$D$508,289)</f>
        <v>138.66200993596959</v>
      </c>
      <c r="M295">
        <f>1/(COUNT(SimDataScen!$D$9:$D$508)-1)+$M$294</f>
        <v>0.57715430861723493</v>
      </c>
      <c r="N295">
        <f>SMALL(SimDataScen!$E$9:$E$508,289)</f>
        <v>58.732880787985351</v>
      </c>
      <c r="O295">
        <f>1/(COUNT(SimDataScen!$E$9:$E$508)-1)+$O$294</f>
        <v>0.57715430861723493</v>
      </c>
    </row>
    <row r="296" spans="1:15">
      <c r="A296">
        <v>288</v>
      </c>
      <c r="B296">
        <v>353.23862493391306</v>
      </c>
      <c r="C296">
        <v>273.42766283971025</v>
      </c>
      <c r="D296">
        <v>193.61670074550739</v>
      </c>
      <c r="E296">
        <v>113.80573865130458</v>
      </c>
      <c r="H296">
        <f>SMALL(SimDataScen!$B$9:$B$508,290)</f>
        <v>302.79246243641944</v>
      </c>
      <c r="I296">
        <f>1/(COUNT(SimDataScen!$B$9:$B$508)-1)+$I$295</f>
        <v>0.579158316633267</v>
      </c>
      <c r="J296">
        <f>SMALL(SimDataScen!$C$9:$C$508,290)</f>
        <v>221.6050121945492</v>
      </c>
      <c r="K296">
        <f>1/(COUNT(SimDataScen!$C$9:$C$508)-1)+$K$295</f>
        <v>0.579158316633267</v>
      </c>
      <c r="L296">
        <f>SMALL(SimDataScen!$D$9:$D$508,290)</f>
        <v>139.56711989558534</v>
      </c>
      <c r="M296">
        <f>1/(COUNT(SimDataScen!$D$9:$D$508)-1)+$M$295</f>
        <v>0.579158316633267</v>
      </c>
      <c r="N296">
        <f>SMALL(SimDataScen!$E$9:$E$508,290)</f>
        <v>58.841255637113534</v>
      </c>
      <c r="O296">
        <f>1/(COUNT(SimDataScen!$E$9:$E$508)-1)+$O$295</f>
        <v>0.579158316633267</v>
      </c>
    </row>
    <row r="297" spans="1:15">
      <c r="A297">
        <v>289</v>
      </c>
      <c r="B297">
        <v>200.00524409314633</v>
      </c>
      <c r="C297">
        <v>127.6636211124568</v>
      </c>
      <c r="D297">
        <v>55.321998131767245</v>
      </c>
      <c r="E297">
        <v>-17.019624848922291</v>
      </c>
      <c r="H297">
        <f>SMALL(SimDataScen!$B$9:$B$508,291)</f>
        <v>302.80109570501804</v>
      </c>
      <c r="I297">
        <f>1/(COUNT(SimDataScen!$B$9:$B$508)-1)+$I$296</f>
        <v>0.58116232464929907</v>
      </c>
      <c r="J297">
        <f>SMALL(SimDataScen!$C$9:$C$508,291)</f>
        <v>221.89820236192531</v>
      </c>
      <c r="K297">
        <f>1/(COUNT(SimDataScen!$C$9:$C$508)-1)+$K$296</f>
        <v>0.58116232464929907</v>
      </c>
      <c r="L297">
        <f>SMALL(SimDataScen!$D$9:$D$508,291)</f>
        <v>139.98064625404484</v>
      </c>
      <c r="M297">
        <f>1/(COUNT(SimDataScen!$D$9:$D$508)-1)+$M$296</f>
        <v>0.58116232464929907</v>
      </c>
      <c r="N297">
        <f>SMALL(SimDataScen!$E$9:$E$508,291)</f>
        <v>59.298185144709379</v>
      </c>
      <c r="O297">
        <f>1/(COUNT(SimDataScen!$E$9:$E$508)-1)+$O$296</f>
        <v>0.58116232464929907</v>
      </c>
    </row>
    <row r="298" spans="1:15">
      <c r="A298">
        <v>290</v>
      </c>
      <c r="B298">
        <v>525.31571906933686</v>
      </c>
      <c r="C298">
        <v>434.68711145656999</v>
      </c>
      <c r="D298">
        <v>344.05850384380301</v>
      </c>
      <c r="E298">
        <v>253.42989623103614</v>
      </c>
      <c r="H298">
        <f>SMALL(SimDataScen!$B$9:$B$508,292)</f>
        <v>302.94554511913589</v>
      </c>
      <c r="I298">
        <f>1/(COUNT(SimDataScen!$B$9:$B$508)-1)+$I$297</f>
        <v>0.58316633266533113</v>
      </c>
      <c r="J298">
        <f>SMALL(SimDataScen!$C$9:$C$508,292)</f>
        <v>222.09877021450401</v>
      </c>
      <c r="K298">
        <f>1/(COUNT(SimDataScen!$C$9:$C$508)-1)+$K$297</f>
        <v>0.58316633266533113</v>
      </c>
      <c r="L298">
        <f>SMALL(SimDataScen!$D$9:$D$508,292)</f>
        <v>140.21745166347654</v>
      </c>
      <c r="M298">
        <f>1/(COUNT(SimDataScen!$D$9:$D$508)-1)+$M$297</f>
        <v>0.58316633266533113</v>
      </c>
      <c r="N298">
        <f>SMALL(SimDataScen!$E$9:$E$508,292)</f>
        <v>59.356139843042826</v>
      </c>
      <c r="O298">
        <f>1/(COUNT(SimDataScen!$E$9:$E$508)-1)+$O$297</f>
        <v>0.58316633266533113</v>
      </c>
    </row>
    <row r="299" spans="1:15">
      <c r="A299">
        <v>291</v>
      </c>
      <c r="B299">
        <v>295.58350369024652</v>
      </c>
      <c r="C299">
        <v>213.98281571525078</v>
      </c>
      <c r="D299">
        <v>132.38212774025504</v>
      </c>
      <c r="E299">
        <v>50.781439765259336</v>
      </c>
      <c r="H299">
        <f>SMALL(SimDataScen!$B$9:$B$508,293)</f>
        <v>303.20602170295456</v>
      </c>
      <c r="I299">
        <f>1/(COUNT(SimDataScen!$B$9:$B$508)-1)+$I$298</f>
        <v>0.5851703406813632</v>
      </c>
      <c r="J299">
        <f>SMALL(SimDataScen!$C$9:$C$508,293)</f>
        <v>222.13089092224425</v>
      </c>
      <c r="K299">
        <f>1/(COUNT(SimDataScen!$C$9:$C$508)-1)+$K$298</f>
        <v>0.5851703406813632</v>
      </c>
      <c r="L299">
        <f>SMALL(SimDataScen!$D$9:$D$508,293)</f>
        <v>141.94886224437204</v>
      </c>
      <c r="M299">
        <f>1/(COUNT(SimDataScen!$D$9:$D$508)-1)+$M$298</f>
        <v>0.5851703406813632</v>
      </c>
      <c r="N299">
        <f>SMALL(SimDataScen!$E$9:$E$508,293)</f>
        <v>59.863333020460885</v>
      </c>
      <c r="O299">
        <f>1/(COUNT(SimDataScen!$E$9:$E$508)-1)+$O$298</f>
        <v>0.5851703406813632</v>
      </c>
    </row>
    <row r="300" spans="1:15">
      <c r="A300">
        <v>292</v>
      </c>
      <c r="B300">
        <v>233.63363753995847</v>
      </c>
      <c r="C300">
        <v>152.64154276736042</v>
      </c>
      <c r="D300">
        <v>71.649447994762326</v>
      </c>
      <c r="E300">
        <v>-9.3426467778357392</v>
      </c>
      <c r="H300">
        <f>SMALL(SimDataScen!$B$9:$B$508,294)</f>
        <v>303.59008337216687</v>
      </c>
      <c r="I300">
        <f>1/(COUNT(SimDataScen!$B$9:$B$508)-1)+$I$299</f>
        <v>0.58717434869739527</v>
      </c>
      <c r="J300">
        <f>SMALL(SimDataScen!$C$9:$C$508,294)</f>
        <v>222.28143818102319</v>
      </c>
      <c r="K300">
        <f>1/(COUNT(SimDataScen!$C$9:$C$508)-1)+$K$299</f>
        <v>0.58717434869739527</v>
      </c>
      <c r="L300">
        <f>SMALL(SimDataScen!$D$9:$D$508,294)</f>
        <v>142.1251622226979</v>
      </c>
      <c r="M300">
        <f>1/(COUNT(SimDataScen!$D$9:$D$508)-1)+$M$299</f>
        <v>0.58717434869739527</v>
      </c>
      <c r="N300">
        <f>SMALL(SimDataScen!$E$9:$E$508,294)</f>
        <v>60.430406322170882</v>
      </c>
      <c r="O300">
        <f>1/(COUNT(SimDataScen!$E$9:$E$508)-1)+$O$299</f>
        <v>0.58717434869739527</v>
      </c>
    </row>
    <row r="301" spans="1:15">
      <c r="A301">
        <v>293</v>
      </c>
      <c r="B301">
        <v>384.9431200418054</v>
      </c>
      <c r="C301">
        <v>302.2682292398157</v>
      </c>
      <c r="D301">
        <v>219.59333843782605</v>
      </c>
      <c r="E301">
        <v>136.9184476358364</v>
      </c>
      <c r="H301">
        <f>SMALL(SimDataScen!$B$9:$B$508,295)</f>
        <v>304.11412923402997</v>
      </c>
      <c r="I301">
        <f>1/(COUNT(SimDataScen!$B$9:$B$508)-1)+$I$300</f>
        <v>0.58917835671342733</v>
      </c>
      <c r="J301">
        <f>SMALL(SimDataScen!$C$9:$C$508,295)</f>
        <v>222.81531185039188</v>
      </c>
      <c r="K301">
        <f>1/(COUNT(SimDataScen!$C$9:$C$508)-1)+$K$300</f>
        <v>0.58917835671342733</v>
      </c>
      <c r="L301">
        <f>SMALL(SimDataScen!$D$9:$D$508,295)</f>
        <v>142.19536019069221</v>
      </c>
      <c r="M301">
        <f>1/(COUNT(SimDataScen!$D$9:$D$508)-1)+$M$300</f>
        <v>0.58917835671342733</v>
      </c>
      <c r="N301">
        <f>SMALL(SimDataScen!$E$9:$E$508,295)</f>
        <v>60.55305736239265</v>
      </c>
      <c r="O301">
        <f>1/(COUNT(SimDataScen!$E$9:$E$508)-1)+$O$300</f>
        <v>0.58917835671342733</v>
      </c>
    </row>
    <row r="302" spans="1:15">
      <c r="A302">
        <v>294</v>
      </c>
      <c r="B302">
        <v>246.94645869524877</v>
      </c>
      <c r="C302">
        <v>170.63924774249179</v>
      </c>
      <c r="D302">
        <v>94.332036789734786</v>
      </c>
      <c r="E302">
        <v>18.024825836977811</v>
      </c>
      <c r="H302">
        <f>SMALL(SimDataScen!$B$9:$B$508,296)</f>
        <v>304.22928482826529</v>
      </c>
      <c r="I302">
        <f>1/(COUNT(SimDataScen!$B$9:$B$508)-1)+$I$301</f>
        <v>0.5911823647294594</v>
      </c>
      <c r="J302">
        <f>SMALL(SimDataScen!$C$9:$C$508,296)</f>
        <v>222.85313386891085</v>
      </c>
      <c r="K302">
        <f>1/(COUNT(SimDataScen!$C$9:$C$508)-1)+$K$301</f>
        <v>0.5911823647294594</v>
      </c>
      <c r="L302">
        <f>SMALL(SimDataScen!$D$9:$D$508,296)</f>
        <v>142.68507858164787</v>
      </c>
      <c r="M302">
        <f>1/(COUNT(SimDataScen!$D$9:$D$508)-1)+$M$301</f>
        <v>0.5911823647294594</v>
      </c>
      <c r="N302">
        <f>SMALL(SimDataScen!$E$9:$E$508,296)</f>
        <v>60.84475112131787</v>
      </c>
      <c r="O302">
        <f>1/(COUNT(SimDataScen!$E$9:$E$508)-1)+$O$301</f>
        <v>0.5911823647294594</v>
      </c>
    </row>
    <row r="303" spans="1:15">
      <c r="A303">
        <v>295</v>
      </c>
      <c r="B303">
        <v>101.96607163048088</v>
      </c>
      <c r="C303">
        <v>21.699055030756043</v>
      </c>
      <c r="D303">
        <v>-58.567961568968812</v>
      </c>
      <c r="E303">
        <v>-138.83497816869365</v>
      </c>
      <c r="H303">
        <f>SMALL(SimDataScen!$B$9:$B$508,297)</f>
        <v>304.58223010800151</v>
      </c>
      <c r="I303">
        <f>1/(COUNT(SimDataScen!$B$9:$B$508)-1)+$I$302</f>
        <v>0.59318637274549146</v>
      </c>
      <c r="J303">
        <f>SMALL(SimDataScen!$C$9:$C$508,297)</f>
        <v>222.98481698116888</v>
      </c>
      <c r="K303">
        <f>1/(COUNT(SimDataScen!$C$9:$C$508)-1)+$K$302</f>
        <v>0.59318637274549146</v>
      </c>
      <c r="L303">
        <f>SMALL(SimDataScen!$D$9:$D$508,297)</f>
        <v>142.76361225938322</v>
      </c>
      <c r="M303">
        <f>1/(COUNT(SimDataScen!$D$9:$D$508)-1)+$M$302</f>
        <v>0.59318637274549146</v>
      </c>
      <c r="N303">
        <f>SMALL(SimDataScen!$E$9:$E$508,297)</f>
        <v>61.050353479232641</v>
      </c>
      <c r="O303">
        <f>1/(COUNT(SimDataScen!$E$9:$E$508)-1)+$O$302</f>
        <v>0.59318637274549146</v>
      </c>
    </row>
    <row r="304" spans="1:15">
      <c r="A304">
        <v>296</v>
      </c>
      <c r="B304">
        <v>371.04248225559058</v>
      </c>
      <c r="C304">
        <v>289.32993381532447</v>
      </c>
      <c r="D304">
        <v>207.61738537505829</v>
      </c>
      <c r="E304">
        <v>125.90483693479217</v>
      </c>
      <c r="H304">
        <f>SMALL(SimDataScen!$B$9:$B$508,298)</f>
        <v>305.01643378076136</v>
      </c>
      <c r="I304">
        <f>1/(COUNT(SimDataScen!$B$9:$B$508)-1)+$I$303</f>
        <v>0.59519038076152353</v>
      </c>
      <c r="J304">
        <f>SMALL(SimDataScen!$C$9:$C$508,298)</f>
        <v>223.25068095965429</v>
      </c>
      <c r="K304">
        <f>1/(COUNT(SimDataScen!$C$9:$C$508)-1)+$K$303</f>
        <v>0.59519038076152353</v>
      </c>
      <c r="L304">
        <f>SMALL(SimDataScen!$D$9:$D$508,298)</f>
        <v>142.96760235415445</v>
      </c>
      <c r="M304">
        <f>1/(COUNT(SimDataScen!$D$9:$D$508)-1)+$M$303</f>
        <v>0.59519038076152353</v>
      </c>
      <c r="N304">
        <f>SMALL(SimDataScen!$E$9:$E$508,298)</f>
        <v>61.253997572732516</v>
      </c>
      <c r="O304">
        <f>1/(COUNT(SimDataScen!$E$9:$E$508)-1)+$O$303</f>
        <v>0.59519038076152353</v>
      </c>
    </row>
    <row r="305" spans="1:15">
      <c r="A305">
        <v>297</v>
      </c>
      <c r="B305">
        <v>313.75254418380524</v>
      </c>
      <c r="C305">
        <v>232.0853384121427</v>
      </c>
      <c r="D305">
        <v>150.41813264048017</v>
      </c>
      <c r="E305">
        <v>68.750926868817629</v>
      </c>
      <c r="H305">
        <f>SMALL(SimDataScen!$B$9:$B$508,299)</f>
        <v>305.22351998664959</v>
      </c>
      <c r="I305">
        <f>1/(COUNT(SimDataScen!$B$9:$B$508)-1)+$I$304</f>
        <v>0.5971943887775556</v>
      </c>
      <c r="J305">
        <f>SMALL(SimDataScen!$C$9:$C$508,299)</f>
        <v>224.56498084977017</v>
      </c>
      <c r="K305">
        <f>1/(COUNT(SimDataScen!$C$9:$C$508)-1)+$K$304</f>
        <v>0.5971943887775556</v>
      </c>
      <c r="L305">
        <f>SMALL(SimDataScen!$D$9:$D$508,299)</f>
        <v>143.25412481967882</v>
      </c>
      <c r="M305">
        <f>1/(COUNT(SimDataScen!$D$9:$D$508)-1)+$M$304</f>
        <v>0.5971943887775556</v>
      </c>
      <c r="N305">
        <f>SMALL(SimDataScen!$E$9:$E$508,299)</f>
        <v>61.265109036769417</v>
      </c>
      <c r="O305">
        <f>1/(COUNT(SimDataScen!$E$9:$E$508)-1)+$O$304</f>
        <v>0.5971943887775556</v>
      </c>
    </row>
    <row r="306" spans="1:15">
      <c r="A306">
        <v>298</v>
      </c>
      <c r="B306">
        <v>175.11680455180772</v>
      </c>
      <c r="C306">
        <v>92.98461837379368</v>
      </c>
      <c r="D306">
        <v>10.852432195779642</v>
      </c>
      <c r="E306">
        <v>-71.279753982234382</v>
      </c>
      <c r="H306">
        <f>SMALL(SimDataScen!$B$9:$B$508,300)</f>
        <v>305.40279818666079</v>
      </c>
      <c r="I306">
        <f>1/(COUNT(SimDataScen!$B$9:$B$508)-1)+$I$305</f>
        <v>0.59919839679358766</v>
      </c>
      <c r="J306">
        <f>SMALL(SimDataScen!$C$9:$C$508,300)</f>
        <v>224.68613161465862</v>
      </c>
      <c r="K306">
        <f>1/(COUNT(SimDataScen!$C$9:$C$508)-1)+$K$305</f>
        <v>0.59919839679358766</v>
      </c>
      <c r="L306">
        <f>SMALL(SimDataScen!$D$9:$D$508,300)</f>
        <v>143.73324166062125</v>
      </c>
      <c r="M306">
        <f>1/(COUNT(SimDataScen!$D$9:$D$508)-1)+$M$305</f>
        <v>0.59919839679358766</v>
      </c>
      <c r="N306">
        <f>SMALL(SimDataScen!$E$9:$E$508,300)</f>
        <v>62.027929995731341</v>
      </c>
      <c r="O306">
        <f>1/(COUNT(SimDataScen!$E$9:$E$508)-1)+$O$305</f>
        <v>0.59919839679358766</v>
      </c>
    </row>
    <row r="307" spans="1:15">
      <c r="A307">
        <v>299</v>
      </c>
      <c r="B307">
        <v>369.18916886231813</v>
      </c>
      <c r="C307">
        <v>289.42794685790636</v>
      </c>
      <c r="D307">
        <v>209.66672485349463</v>
      </c>
      <c r="E307">
        <v>129.90550284908289</v>
      </c>
      <c r="H307">
        <f>SMALL(SimDataScen!$B$9:$B$508,301)</f>
        <v>305.57707062241769</v>
      </c>
      <c r="I307">
        <f>1/(COUNT(SimDataScen!$B$9:$B$508)-1)+$I$306</f>
        <v>0.60120240480961973</v>
      </c>
      <c r="J307">
        <f>SMALL(SimDataScen!$C$9:$C$508,301)</f>
        <v>225.05646885163057</v>
      </c>
      <c r="K307">
        <f>1/(COUNT(SimDataScen!$C$9:$C$508)-1)+$K$306</f>
        <v>0.60120240480961973</v>
      </c>
      <c r="L307">
        <f>SMALL(SimDataScen!$D$9:$D$508,301)</f>
        <v>143.87802901483695</v>
      </c>
      <c r="M307">
        <f>1/(COUNT(SimDataScen!$D$9:$D$508)-1)+$M$306</f>
        <v>0.60120240480961973</v>
      </c>
      <c r="N307">
        <f>SMALL(SimDataScen!$E$9:$E$508,301)</f>
        <v>62.099731887361543</v>
      </c>
      <c r="O307">
        <f>1/(COUNT(SimDataScen!$E$9:$E$508)-1)+$O$306</f>
        <v>0.60120240480961973</v>
      </c>
    </row>
    <row r="308" spans="1:15">
      <c r="A308">
        <v>300</v>
      </c>
      <c r="B308">
        <v>253.30709144528532</v>
      </c>
      <c r="C308">
        <v>177.77964004063068</v>
      </c>
      <c r="D308">
        <v>102.25218863597601</v>
      </c>
      <c r="E308">
        <v>26.72473723132137</v>
      </c>
      <c r="H308">
        <f>SMALL(SimDataScen!$B$9:$B$508,302)</f>
        <v>306.09953117965739</v>
      </c>
      <c r="I308">
        <f>1/(COUNT(SimDataScen!$B$9:$B$508)-1)+$I$307</f>
        <v>0.60320641282565179</v>
      </c>
      <c r="J308">
        <f>SMALL(SimDataScen!$C$9:$C$508,302)</f>
        <v>225.36675143388095</v>
      </c>
      <c r="K308">
        <f>1/(COUNT(SimDataScen!$C$9:$C$508)-1)+$K$307</f>
        <v>0.60320641282565179</v>
      </c>
      <c r="L308">
        <f>SMALL(SimDataScen!$D$9:$D$508,302)</f>
        <v>143.96946504265645</v>
      </c>
      <c r="M308">
        <f>1/(COUNT(SimDataScen!$D$9:$D$508)-1)+$M$307</f>
        <v>0.60320641282565179</v>
      </c>
      <c r="N308">
        <f>SMALL(SimDataScen!$E$9:$E$508,302)</f>
        <v>62.119433523151542</v>
      </c>
      <c r="O308">
        <f>1/(COUNT(SimDataScen!$E$9:$E$508)-1)+$O$307</f>
        <v>0.60320641282565179</v>
      </c>
    </row>
    <row r="309" spans="1:15">
      <c r="A309">
        <v>301</v>
      </c>
      <c r="B309">
        <v>451.88659231449287</v>
      </c>
      <c r="C309">
        <v>368.0889474502543</v>
      </c>
      <c r="D309">
        <v>284.29130258601572</v>
      </c>
      <c r="E309">
        <v>200.49365772177717</v>
      </c>
      <c r="H309">
        <f>SMALL(SimDataScen!$B$9:$B$508,303)</f>
        <v>306.22950231153254</v>
      </c>
      <c r="I309">
        <f>1/(COUNT(SimDataScen!$B$9:$B$508)-1)+$I$308</f>
        <v>0.60521042084168386</v>
      </c>
      <c r="J309">
        <f>SMALL(SimDataScen!$C$9:$C$508,303)</f>
        <v>225.71837887271573</v>
      </c>
      <c r="K309">
        <f>1/(COUNT(SimDataScen!$C$9:$C$508)-1)+$K$308</f>
        <v>0.60521042084168386</v>
      </c>
      <c r="L309">
        <f>SMALL(SimDataScen!$D$9:$D$508,303)</f>
        <v>144.14043081252098</v>
      </c>
      <c r="M309">
        <f>1/(COUNT(SimDataScen!$D$9:$D$508)-1)+$M$308</f>
        <v>0.60521042084168386</v>
      </c>
      <c r="N309">
        <f>SMALL(SimDataScen!$E$9:$E$508,303)</f>
        <v>62.542407537597569</v>
      </c>
      <c r="O309">
        <f>1/(COUNT(SimDataScen!$E$9:$E$508)-1)+$O$308</f>
        <v>0.60521042084168386</v>
      </c>
    </row>
    <row r="310" spans="1:15">
      <c r="A310">
        <v>302</v>
      </c>
      <c r="B310">
        <v>359.98360019758974</v>
      </c>
      <c r="C310">
        <v>280.33078416693621</v>
      </c>
      <c r="D310">
        <v>200.67796813628271</v>
      </c>
      <c r="E310">
        <v>121.02515210562922</v>
      </c>
      <c r="H310">
        <f>SMALL(SimDataScen!$B$9:$B$508,304)</f>
        <v>306.97126895629714</v>
      </c>
      <c r="I310">
        <f>1/(COUNT(SimDataScen!$B$9:$B$508)-1)+$I$309</f>
        <v>0.60721442885771593</v>
      </c>
      <c r="J310">
        <f>SMALL(SimDataScen!$C$9:$C$508,304)</f>
        <v>226.01492106070538</v>
      </c>
      <c r="K310">
        <f>1/(COUNT(SimDataScen!$C$9:$C$508)-1)+$K$309</f>
        <v>0.60721442885771593</v>
      </c>
      <c r="L310">
        <f>SMALL(SimDataScen!$D$9:$D$508,304)</f>
        <v>144.53844699599421</v>
      </c>
      <c r="M310">
        <f>1/(COUNT(SimDataScen!$D$9:$D$508)-1)+$M$309</f>
        <v>0.60721442885771593</v>
      </c>
      <c r="N310">
        <f>SMALL(SimDataScen!$E$9:$E$508,304)</f>
        <v>62.554845312903836</v>
      </c>
      <c r="O310">
        <f>1/(COUNT(SimDataScen!$E$9:$E$508)-1)+$O$309</f>
        <v>0.60721442885771593</v>
      </c>
    </row>
    <row r="311" spans="1:15">
      <c r="A311">
        <v>303</v>
      </c>
      <c r="B311">
        <v>195.61248749601856</v>
      </c>
      <c r="C311">
        <v>117.80554297795763</v>
      </c>
      <c r="D311">
        <v>39.998598459896698</v>
      </c>
      <c r="E311">
        <v>-37.808346058164233</v>
      </c>
      <c r="H311">
        <f>SMALL(SimDataScen!$B$9:$B$508,305)</f>
        <v>307.00026120714068</v>
      </c>
      <c r="I311">
        <f>1/(COUNT(SimDataScen!$B$9:$B$508)-1)+$I$310</f>
        <v>0.60921843687374799</v>
      </c>
      <c r="J311">
        <f>SMALL(SimDataScen!$C$9:$C$508,305)</f>
        <v>226.49094899290449</v>
      </c>
      <c r="K311">
        <f>1/(COUNT(SimDataScen!$C$9:$C$508)-1)+$K$310</f>
        <v>0.60921843687374799</v>
      </c>
      <c r="L311">
        <f>SMALL(SimDataScen!$D$9:$D$508,305)</f>
        <v>144.97772214940315</v>
      </c>
      <c r="M311">
        <f>1/(COUNT(SimDataScen!$D$9:$D$508)-1)+$M$310</f>
        <v>0.60921843687374799</v>
      </c>
      <c r="N311">
        <f>SMALL(SimDataScen!$E$9:$E$508,305)</f>
        <v>62.934714883235046</v>
      </c>
      <c r="O311">
        <f>1/(COUNT(SimDataScen!$E$9:$E$508)-1)+$O$310</f>
        <v>0.60921843687374799</v>
      </c>
    </row>
    <row r="312" spans="1:15">
      <c r="A312">
        <v>304</v>
      </c>
      <c r="B312">
        <v>411.12366086048246</v>
      </c>
      <c r="C312">
        <v>325.33825693046839</v>
      </c>
      <c r="D312">
        <v>239.55285300045423</v>
      </c>
      <c r="E312">
        <v>153.76744907044014</v>
      </c>
      <c r="H312">
        <f>SMALL(SimDataScen!$B$9:$B$508,306)</f>
        <v>307.33583062453056</v>
      </c>
      <c r="I312">
        <f>1/(COUNT(SimDataScen!$B$9:$B$508)-1)+$I$311</f>
        <v>0.61122244488978006</v>
      </c>
      <c r="J312">
        <f>SMALL(SimDataScen!$C$9:$C$508,306)</f>
        <v>226.88757730699547</v>
      </c>
      <c r="K312">
        <f>1/(COUNT(SimDataScen!$C$9:$C$508)-1)+$K$311</f>
        <v>0.61122244488978006</v>
      </c>
      <c r="L312">
        <f>SMALL(SimDataScen!$D$9:$D$508,306)</f>
        <v>145.04662730666848</v>
      </c>
      <c r="M312">
        <f>1/(COUNT(SimDataScen!$D$9:$D$508)-1)+$M$311</f>
        <v>0.61122244488978006</v>
      </c>
      <c r="N312">
        <f>SMALL(SimDataScen!$E$9:$E$508,306)</f>
        <v>63.252798470654284</v>
      </c>
      <c r="O312">
        <f>1/(COUNT(SimDataScen!$E$9:$E$508)-1)+$O$311</f>
        <v>0.61122244488978006</v>
      </c>
    </row>
    <row r="313" spans="1:15">
      <c r="A313">
        <v>305</v>
      </c>
      <c r="B313">
        <v>236.60387111516485</v>
      </c>
      <c r="C313">
        <v>155.49103361212084</v>
      </c>
      <c r="D313">
        <v>74.378196109076839</v>
      </c>
      <c r="E313">
        <v>-6.7346413939671663</v>
      </c>
      <c r="H313">
        <f>SMALL(SimDataScen!$B$9:$B$508,307)</f>
        <v>307.44716617027041</v>
      </c>
      <c r="I313">
        <f>1/(COUNT(SimDataScen!$B$9:$B$508)-1)+$I$312</f>
        <v>0.61322645290581212</v>
      </c>
      <c r="J313">
        <f>SMALL(SimDataScen!$C$9:$C$508,307)</f>
        <v>227.02072941557128</v>
      </c>
      <c r="K313">
        <f>1/(COUNT(SimDataScen!$C$9:$C$508)-1)+$K$312</f>
        <v>0.61322645290581212</v>
      </c>
      <c r="L313">
        <f>SMALL(SimDataScen!$D$9:$D$508,307)</f>
        <v>146.42032396467005</v>
      </c>
      <c r="M313">
        <f>1/(COUNT(SimDataScen!$D$9:$D$508)-1)+$M$312</f>
        <v>0.61322645290581212</v>
      </c>
      <c r="N313">
        <f>SMALL(SimDataScen!$E$9:$E$508,307)</f>
        <v>63.595023425771416</v>
      </c>
      <c r="O313">
        <f>1/(COUNT(SimDataScen!$E$9:$E$508)-1)+$O$312</f>
        <v>0.61322645290581212</v>
      </c>
    </row>
    <row r="314" spans="1:15">
      <c r="A314">
        <v>306</v>
      </c>
      <c r="B314">
        <v>145.68607491721389</v>
      </c>
      <c r="C314">
        <v>71.514584604038603</v>
      </c>
      <c r="D314">
        <v>-2.6569057091366943</v>
      </c>
      <c r="E314">
        <v>-76.828396022311978</v>
      </c>
      <c r="H314">
        <f>SMALL(SimDataScen!$B$9:$B$508,308)</f>
        <v>308.1640754588891</v>
      </c>
      <c r="I314">
        <f>1/(COUNT(SimDataScen!$B$9:$B$508)-1)+$I$313</f>
        <v>0.61523046092184419</v>
      </c>
      <c r="J314">
        <f>SMALL(SimDataScen!$C$9:$C$508,308)</f>
        <v>227.50001563692584</v>
      </c>
      <c r="K314">
        <f>1/(COUNT(SimDataScen!$C$9:$C$508)-1)+$K$313</f>
        <v>0.61523046092184419</v>
      </c>
      <c r="L314">
        <f>SMALL(SimDataScen!$D$9:$D$508,308)</f>
        <v>146.78948209866803</v>
      </c>
      <c r="M314">
        <f>1/(COUNT(SimDataScen!$D$9:$D$508)-1)+$M$313</f>
        <v>0.61523046092184419</v>
      </c>
      <c r="N314">
        <f>SMALL(SimDataScen!$E$9:$E$508,308)</f>
        <v>65.125745233569802</v>
      </c>
      <c r="O314">
        <f>1/(COUNT(SimDataScen!$E$9:$E$508)-1)+$O$313</f>
        <v>0.61523046092184419</v>
      </c>
    </row>
    <row r="315" spans="1:15">
      <c r="A315">
        <v>307</v>
      </c>
      <c r="B315">
        <v>261.94179670914929</v>
      </c>
      <c r="C315">
        <v>185.72426298892043</v>
      </c>
      <c r="D315">
        <v>109.50672926869157</v>
      </c>
      <c r="E315">
        <v>33.289195548462715</v>
      </c>
      <c r="H315">
        <f>SMALL(SimDataScen!$B$9:$B$508,309)</f>
        <v>309.06373668173939</v>
      </c>
      <c r="I315">
        <f>1/(COUNT(SimDataScen!$B$9:$B$508)-1)+$I$314</f>
        <v>0.61723446893787626</v>
      </c>
      <c r="J315">
        <f>SMALL(SimDataScen!$C$9:$C$508,309)</f>
        <v>227.8228964192559</v>
      </c>
      <c r="K315">
        <f>1/(COUNT(SimDataScen!$C$9:$C$508)-1)+$K$314</f>
        <v>0.61723446893787626</v>
      </c>
      <c r="L315">
        <f>SMALL(SimDataScen!$D$9:$D$508,309)</f>
        <v>147.45926091450252</v>
      </c>
      <c r="M315">
        <f>1/(COUNT(SimDataScen!$D$9:$D$508)-1)+$M$314</f>
        <v>0.61723446893787626</v>
      </c>
      <c r="N315">
        <f>SMALL(SimDataScen!$E$9:$E$508,309)</f>
        <v>65.569171385074696</v>
      </c>
      <c r="O315">
        <f>1/(COUNT(SimDataScen!$E$9:$E$508)-1)+$O$314</f>
        <v>0.61723446893787626</v>
      </c>
    </row>
    <row r="316" spans="1:15">
      <c r="A316">
        <v>308</v>
      </c>
      <c r="B316">
        <v>339.46400406213024</v>
      </c>
      <c r="C316">
        <v>256.88905949479346</v>
      </c>
      <c r="D316">
        <v>174.31411492745667</v>
      </c>
      <c r="E316">
        <v>91.739170360119886</v>
      </c>
      <c r="H316">
        <f>SMALL(SimDataScen!$B$9:$B$508,310)</f>
        <v>309.10386897097203</v>
      </c>
      <c r="I316">
        <f>1/(COUNT(SimDataScen!$B$9:$B$508)-1)+$I$315</f>
        <v>0.61923847695390832</v>
      </c>
      <c r="J316">
        <f>SMALL(SimDataScen!$C$9:$C$508,310)</f>
        <v>228.00385892093686</v>
      </c>
      <c r="K316">
        <f>1/(COUNT(SimDataScen!$C$9:$C$508)-1)+$K$315</f>
        <v>0.61923847695390832</v>
      </c>
      <c r="L316">
        <f>SMALL(SimDataScen!$D$9:$D$508,310)</f>
        <v>147.91571288738072</v>
      </c>
      <c r="M316">
        <f>1/(COUNT(SimDataScen!$D$9:$D$508)-1)+$M$315</f>
        <v>0.61923847695390832</v>
      </c>
      <c r="N316">
        <f>SMALL(SimDataScen!$E$9:$E$508,310)</f>
        <v>65.80120840798844</v>
      </c>
      <c r="O316">
        <f>1/(COUNT(SimDataScen!$E$9:$E$508)-1)+$O$315</f>
        <v>0.61923847695390832</v>
      </c>
    </row>
    <row r="317" spans="1:15">
      <c r="A317">
        <v>309</v>
      </c>
      <c r="B317">
        <v>314.28245031641154</v>
      </c>
      <c r="C317">
        <v>233.75064313202316</v>
      </c>
      <c r="D317">
        <v>153.21883594763477</v>
      </c>
      <c r="E317">
        <v>72.687028763246389</v>
      </c>
      <c r="H317">
        <f>SMALL(SimDataScen!$B$9:$B$508,311)</f>
        <v>309.74105145560708</v>
      </c>
      <c r="I317">
        <f>1/(COUNT(SimDataScen!$B$9:$B$508)-1)+$I$316</f>
        <v>0.62124248496994039</v>
      </c>
      <c r="J317">
        <f>SMALL(SimDataScen!$C$9:$C$508,311)</f>
        <v>228.50673849959122</v>
      </c>
      <c r="K317">
        <f>1/(COUNT(SimDataScen!$C$9:$C$508)-1)+$K$316</f>
        <v>0.62124248496994039</v>
      </c>
      <c r="L317">
        <f>SMALL(SimDataScen!$D$9:$D$508,311)</f>
        <v>147.95208708892551</v>
      </c>
      <c r="M317">
        <f>1/(COUNT(SimDataScen!$D$9:$D$508)-1)+$M$316</f>
        <v>0.62124248496994039</v>
      </c>
      <c r="N317">
        <f>SMALL(SimDataScen!$E$9:$E$508,311)</f>
        <v>65.961295777952358</v>
      </c>
      <c r="O317">
        <f>1/(COUNT(SimDataScen!$E$9:$E$508)-1)+$O$316</f>
        <v>0.62124248496994039</v>
      </c>
    </row>
    <row r="318" spans="1:15">
      <c r="A318">
        <v>310</v>
      </c>
      <c r="B318">
        <v>483.37921968257058</v>
      </c>
      <c r="C318">
        <v>391.44811098029663</v>
      </c>
      <c r="D318">
        <v>299.51700227802257</v>
      </c>
      <c r="E318">
        <v>207.5858935757486</v>
      </c>
      <c r="H318">
        <f>SMALL(SimDataScen!$B$9:$B$508,312)</f>
        <v>310.20086138536692</v>
      </c>
      <c r="I318">
        <f>1/(COUNT(SimDataScen!$B$9:$B$508)-1)+$I$317</f>
        <v>0.62324649298597246</v>
      </c>
      <c r="J318">
        <f>SMALL(SimDataScen!$C$9:$C$508,312)</f>
        <v>228.67448388230292</v>
      </c>
      <c r="K318">
        <f>1/(COUNT(SimDataScen!$C$9:$C$508)-1)+$K$317</f>
        <v>0.62324649298597246</v>
      </c>
      <c r="L318">
        <f>SMALL(SimDataScen!$D$9:$D$508,312)</f>
        <v>148.02876231755454</v>
      </c>
      <c r="M318">
        <f>1/(COUNT(SimDataScen!$D$9:$D$508)-1)+$M$317</f>
        <v>0.62324649298597246</v>
      </c>
      <c r="N318">
        <f>SMALL(SimDataScen!$E$9:$E$508,312)</f>
        <v>66.138877837303284</v>
      </c>
      <c r="O318">
        <f>1/(COUNT(SimDataScen!$E$9:$E$508)-1)+$O$317</f>
        <v>0.62324649298597246</v>
      </c>
    </row>
    <row r="319" spans="1:15">
      <c r="A319">
        <v>311</v>
      </c>
      <c r="B319">
        <v>128.5185534982777</v>
      </c>
      <c r="C319">
        <v>57.165666100538459</v>
      </c>
      <c r="D319">
        <v>-14.187221297200779</v>
      </c>
      <c r="E319">
        <v>-85.540108694940017</v>
      </c>
      <c r="H319">
        <f>SMALL(SimDataScen!$B$9:$B$508,313)</f>
        <v>311.10734584251759</v>
      </c>
      <c r="I319">
        <f>1/(COUNT(SimDataScen!$B$9:$B$508)-1)+$I$318</f>
        <v>0.62525050100200452</v>
      </c>
      <c r="J319">
        <f>SMALL(SimDataScen!$C$9:$C$508,313)</f>
        <v>229.34935044393035</v>
      </c>
      <c r="K319">
        <f>1/(COUNT(SimDataScen!$C$9:$C$508)-1)+$K$318</f>
        <v>0.62525050100200452</v>
      </c>
      <c r="L319">
        <f>SMALL(SimDataScen!$D$9:$D$508,313)</f>
        <v>148.19808399157324</v>
      </c>
      <c r="M319">
        <f>1/(COUNT(SimDataScen!$D$9:$D$508)-1)+$M$318</f>
        <v>0.62525050100200452</v>
      </c>
      <c r="N319">
        <f>SMALL(SimDataScen!$E$9:$E$508,313)</f>
        <v>66.675849430492775</v>
      </c>
      <c r="O319">
        <f>1/(COUNT(SimDataScen!$E$9:$E$508)-1)+$O$318</f>
        <v>0.62525050100200452</v>
      </c>
    </row>
    <row r="320" spans="1:15">
      <c r="A320">
        <v>312</v>
      </c>
      <c r="B320">
        <v>222.64384154851962</v>
      </c>
      <c r="C320">
        <v>141.82263133070455</v>
      </c>
      <c r="D320">
        <v>61.001421112889517</v>
      </c>
      <c r="E320">
        <v>-19.819789104925519</v>
      </c>
      <c r="H320">
        <f>SMALL(SimDataScen!$B$9:$B$508,314)</f>
        <v>311.23943997335817</v>
      </c>
      <c r="I320">
        <f>1/(COUNT(SimDataScen!$B$9:$B$508)-1)+$I$319</f>
        <v>0.62725450901803659</v>
      </c>
      <c r="J320">
        <f>SMALL(SimDataScen!$C$9:$C$508,314)</f>
        <v>229.54019725094435</v>
      </c>
      <c r="K320">
        <f>1/(COUNT(SimDataScen!$C$9:$C$508)-1)+$K$319</f>
        <v>0.62725450901803659</v>
      </c>
      <c r="L320">
        <f>SMALL(SimDataScen!$D$9:$D$508,314)</f>
        <v>148.29320015985169</v>
      </c>
      <c r="M320">
        <f>1/(COUNT(SimDataScen!$D$9:$D$508)-1)+$M$319</f>
        <v>0.62725450901803659</v>
      </c>
      <c r="N320">
        <f>SMALL(SimDataScen!$E$9:$E$508,314)</f>
        <v>67.122269056624418</v>
      </c>
      <c r="O320">
        <f>1/(COUNT(SimDataScen!$E$9:$E$508)-1)+$O$319</f>
        <v>0.62725450901803659</v>
      </c>
    </row>
    <row r="321" spans="1:15">
      <c r="A321">
        <v>313</v>
      </c>
      <c r="B321">
        <v>361.75621004463375</v>
      </c>
      <c r="C321">
        <v>282.38990315669287</v>
      </c>
      <c r="D321">
        <v>203.02359626875202</v>
      </c>
      <c r="E321">
        <v>123.65728938081116</v>
      </c>
      <c r="H321">
        <f>SMALL(SimDataScen!$B$9:$B$508,315)</f>
        <v>311.75004563637242</v>
      </c>
      <c r="I321">
        <f>1/(COUNT(SimDataScen!$B$9:$B$508)-1)+$I$320</f>
        <v>0.62925851703406865</v>
      </c>
      <c r="J321">
        <f>SMALL(SimDataScen!$C$9:$C$508,315)</f>
        <v>230.37177195922834</v>
      </c>
      <c r="K321">
        <f>1/(COUNT(SimDataScen!$C$9:$C$508)-1)+$K$320</f>
        <v>0.62925851703406865</v>
      </c>
      <c r="L321">
        <f>SMALL(SimDataScen!$D$9:$D$508,315)</f>
        <v>148.42515698275491</v>
      </c>
      <c r="M321">
        <f>1/(COUNT(SimDataScen!$D$9:$D$508)-1)+$M$320</f>
        <v>0.62925851703406865</v>
      </c>
      <c r="N321">
        <f>SMALL(SimDataScen!$E$9:$E$508,315)</f>
        <v>68.06936541838229</v>
      </c>
      <c r="O321">
        <f>1/(COUNT(SimDataScen!$E$9:$E$508)-1)+$O$320</f>
        <v>0.62925851703406865</v>
      </c>
    </row>
    <row r="322" spans="1:15">
      <c r="A322">
        <v>314</v>
      </c>
      <c r="B322">
        <v>320.62761254664952</v>
      </c>
      <c r="C322">
        <v>241.21347111353469</v>
      </c>
      <c r="D322">
        <v>161.7993296804199</v>
      </c>
      <c r="E322">
        <v>82.385188247305109</v>
      </c>
      <c r="H322">
        <f>SMALL(SimDataScen!$B$9:$B$508,316)</f>
        <v>311.9464572497269</v>
      </c>
      <c r="I322">
        <f>1/(COUNT(SimDataScen!$B$9:$B$508)-1)+$I$321</f>
        <v>0.63126252505010072</v>
      </c>
      <c r="J322">
        <f>SMALL(SimDataScen!$C$9:$C$508,316)</f>
        <v>230.85352148977037</v>
      </c>
      <c r="K322">
        <f>1/(COUNT(SimDataScen!$C$9:$C$508)-1)+$K$321</f>
        <v>0.63126252505010072</v>
      </c>
      <c r="L322">
        <f>SMALL(SimDataScen!$D$9:$D$508,316)</f>
        <v>149.62599859104083</v>
      </c>
      <c r="M322">
        <f>1/(COUNT(SimDataScen!$D$9:$D$508)-1)+$M$321</f>
        <v>0.63126252505010072</v>
      </c>
      <c r="N322">
        <f>SMALL(SimDataScen!$E$9:$E$508,316)</f>
        <v>68.557508998183238</v>
      </c>
      <c r="O322">
        <f>1/(COUNT(SimDataScen!$E$9:$E$508)-1)+$O$321</f>
        <v>0.63126252505010072</v>
      </c>
    </row>
    <row r="323" spans="1:15">
      <c r="A323">
        <v>315</v>
      </c>
      <c r="B323">
        <v>212.66259940989676</v>
      </c>
      <c r="C323">
        <v>132.09095143147687</v>
      </c>
      <c r="D323">
        <v>51.519303453056992</v>
      </c>
      <c r="E323">
        <v>-29.052344525362884</v>
      </c>
      <c r="H323">
        <f>SMALL(SimDataScen!$B$9:$B$508,317)</f>
        <v>312.61507984851039</v>
      </c>
      <c r="I323">
        <f>1/(COUNT(SimDataScen!$B$9:$B$508)-1)+$I$322</f>
        <v>0.63326653306613279</v>
      </c>
      <c r="J323">
        <f>SMALL(SimDataScen!$C$9:$C$508,317)</f>
        <v>231.00212182036142</v>
      </c>
      <c r="K323">
        <f>1/(COUNT(SimDataScen!$C$9:$C$508)-1)+$K$322</f>
        <v>0.63326653306613279</v>
      </c>
      <c r="L323">
        <f>SMALL(SimDataScen!$D$9:$D$508,317)</f>
        <v>149.76058572981384</v>
      </c>
      <c r="M323">
        <f>1/(COUNT(SimDataScen!$D$9:$D$508)-1)+$M$322</f>
        <v>0.63326653306613279</v>
      </c>
      <c r="N323">
        <f>SMALL(SimDataScen!$E$9:$E$508,317)</f>
        <v>68.667649969857308</v>
      </c>
      <c r="O323">
        <f>1/(COUNT(SimDataScen!$E$9:$E$508)-1)+$O$322</f>
        <v>0.63326653306613279</v>
      </c>
    </row>
    <row r="324" spans="1:15">
      <c r="A324">
        <v>316</v>
      </c>
      <c r="B324">
        <v>260.27543535580617</v>
      </c>
      <c r="C324">
        <v>177.9012242923437</v>
      </c>
      <c r="D324">
        <v>95.527013228881231</v>
      </c>
      <c r="E324">
        <v>13.152802165418763</v>
      </c>
      <c r="H324">
        <f>SMALL(SimDataScen!$B$9:$B$508,318)</f>
        <v>312.73926493635793</v>
      </c>
      <c r="I324">
        <f>1/(COUNT(SimDataScen!$B$9:$B$508)-1)+$I$323</f>
        <v>0.63527054108216485</v>
      </c>
      <c r="J324">
        <f>SMALL(SimDataScen!$C$9:$C$508,318)</f>
        <v>231.18263176369936</v>
      </c>
      <c r="K324">
        <f>1/(COUNT(SimDataScen!$C$9:$C$508)-1)+$K$323</f>
        <v>0.63527054108216485</v>
      </c>
      <c r="L324">
        <f>SMALL(SimDataScen!$D$9:$D$508,318)</f>
        <v>150.41813264048017</v>
      </c>
      <c r="M324">
        <f>1/(COUNT(SimDataScen!$D$9:$D$508)-1)+$M$323</f>
        <v>0.63527054108216485</v>
      </c>
      <c r="N324">
        <f>SMALL(SimDataScen!$E$9:$E$508,318)</f>
        <v>68.750926868817629</v>
      </c>
      <c r="O324">
        <f>1/(COUNT(SimDataScen!$E$9:$E$508)-1)+$O$323</f>
        <v>0.63527054108216485</v>
      </c>
    </row>
    <row r="325" spans="1:15">
      <c r="A325">
        <v>317</v>
      </c>
      <c r="B325">
        <v>192.60259154965988</v>
      </c>
      <c r="C325">
        <v>117.2361122223183</v>
      </c>
      <c r="D325">
        <v>41.869632894976689</v>
      </c>
      <c r="E325">
        <v>-33.49684643236489</v>
      </c>
      <c r="H325">
        <f>SMALL(SimDataScen!$B$9:$B$508,319)</f>
        <v>312.75359302219488</v>
      </c>
      <c r="I325">
        <f>1/(COUNT(SimDataScen!$B$9:$B$508)-1)+$I$324</f>
        <v>0.63727454909819692</v>
      </c>
      <c r="J325">
        <f>SMALL(SimDataScen!$C$9:$C$508,319)</f>
        <v>231.97771776481591</v>
      </c>
      <c r="K325">
        <f>1/(COUNT(SimDataScen!$C$9:$C$508)-1)+$K$324</f>
        <v>0.63727454909819692</v>
      </c>
      <c r="L325">
        <f>SMALL(SimDataScen!$D$9:$D$508,319)</f>
        <v>150.6138813404333</v>
      </c>
      <c r="M325">
        <f>1/(COUNT(SimDataScen!$D$9:$D$508)-1)+$M$324</f>
        <v>0.63727454909819692</v>
      </c>
      <c r="N325">
        <f>SMALL(SimDataScen!$E$9:$E$508,319)</f>
        <v>69.477629675276376</v>
      </c>
      <c r="O325">
        <f>1/(COUNT(SimDataScen!$E$9:$E$508)-1)+$O$324</f>
        <v>0.63727454909819692</v>
      </c>
    </row>
    <row r="326" spans="1:15">
      <c r="A326">
        <v>318</v>
      </c>
      <c r="B326">
        <v>214.33501459042986</v>
      </c>
      <c r="C326">
        <v>137.10218624849523</v>
      </c>
      <c r="D326">
        <v>59.869357906560609</v>
      </c>
      <c r="E326">
        <v>-17.363470435374012</v>
      </c>
      <c r="H326">
        <f>SMALL(SimDataScen!$B$9:$B$508,320)</f>
        <v>313.03838272980488</v>
      </c>
      <c r="I326">
        <f>1/(COUNT(SimDataScen!$B$9:$B$508)-1)+$I$325</f>
        <v>0.63927855711422898</v>
      </c>
      <c r="J326">
        <f>SMALL(SimDataScen!$C$9:$C$508,320)</f>
        <v>232.050986008481</v>
      </c>
      <c r="K326">
        <f>1/(COUNT(SimDataScen!$C$9:$C$508)-1)+$K$325</f>
        <v>0.63927855711422898</v>
      </c>
      <c r="L326">
        <f>SMALL(SimDataScen!$D$9:$D$508,320)</f>
        <v>150.69066968096806</v>
      </c>
      <c r="M326">
        <f>1/(COUNT(SimDataScen!$D$9:$D$508)-1)+$M$325</f>
        <v>0.63927855711422898</v>
      </c>
      <c r="N326">
        <f>SMALL(SimDataScen!$E$9:$E$508,320)</f>
        <v>69.508590676151044</v>
      </c>
      <c r="O326">
        <f>1/(COUNT(SimDataScen!$E$9:$E$508)-1)+$O$325</f>
        <v>0.63927855711422898</v>
      </c>
    </row>
    <row r="327" spans="1:15">
      <c r="A327">
        <v>319</v>
      </c>
      <c r="B327">
        <v>379.16936014938051</v>
      </c>
      <c r="C327">
        <v>291.45583371603891</v>
      </c>
      <c r="D327">
        <v>203.74230728269728</v>
      </c>
      <c r="E327">
        <v>116.02878084935568</v>
      </c>
      <c r="H327">
        <f>SMALL(SimDataScen!$B$9:$B$508,321)</f>
        <v>313.19022332438908</v>
      </c>
      <c r="I327">
        <f>1/(COUNT(SimDataScen!$B$9:$B$508)-1)+$I$326</f>
        <v>0.64128256513026105</v>
      </c>
      <c r="J327">
        <f>SMALL(SimDataScen!$C$9:$C$508,321)</f>
        <v>232.0853384121427</v>
      </c>
      <c r="K327">
        <f>1/(COUNT(SimDataScen!$C$9:$C$508)-1)+$K$326</f>
        <v>0.64128256513026105</v>
      </c>
      <c r="L327">
        <f>SMALL(SimDataScen!$D$9:$D$508,321)</f>
        <v>150.91174869257293</v>
      </c>
      <c r="M327">
        <f>1/(COUNT(SimDataScen!$D$9:$D$508)-1)+$M$326</f>
        <v>0.64128256513026105</v>
      </c>
      <c r="N327">
        <f>SMALL(SimDataScen!$E$9:$E$508,321)</f>
        <v>69.77251137666488</v>
      </c>
      <c r="O327">
        <f>1/(COUNT(SimDataScen!$E$9:$E$508)-1)+$O$326</f>
        <v>0.64128256513026105</v>
      </c>
    </row>
    <row r="328" spans="1:15">
      <c r="A328">
        <v>320</v>
      </c>
      <c r="B328">
        <v>396.45408690695194</v>
      </c>
      <c r="C328">
        <v>310.03727860429547</v>
      </c>
      <c r="D328">
        <v>223.62047030163896</v>
      </c>
      <c r="E328">
        <v>137.20366199898248</v>
      </c>
      <c r="H328">
        <f>SMALL(SimDataScen!$B$9:$B$508,322)</f>
        <v>313.75254418380524</v>
      </c>
      <c r="I328">
        <f>1/(COUNT(SimDataScen!$B$9:$B$508)-1)+$I$327</f>
        <v>0.64328657314629312</v>
      </c>
      <c r="J328">
        <f>SMALL(SimDataScen!$C$9:$C$508,322)</f>
        <v>232.38188057052321</v>
      </c>
      <c r="K328">
        <f>1/(COUNT(SimDataScen!$C$9:$C$508)-1)+$K$327</f>
        <v>0.64328657314629312</v>
      </c>
      <c r="L328">
        <f>SMALL(SimDataScen!$D$9:$D$508,322)</f>
        <v>151.15739391038244</v>
      </c>
      <c r="M328">
        <f>1/(COUNT(SimDataScen!$D$9:$D$508)-1)+$M$327</f>
        <v>0.64328657314629312</v>
      </c>
      <c r="N328">
        <f>SMALL(SimDataScen!$E$9:$E$508,322)</f>
        <v>69.816504714056066</v>
      </c>
      <c r="O328">
        <f>1/(COUNT(SimDataScen!$E$9:$E$508)-1)+$O$327</f>
        <v>0.64328657314629312</v>
      </c>
    </row>
    <row r="329" spans="1:15">
      <c r="A329">
        <v>321</v>
      </c>
      <c r="B329">
        <v>237.93811685827404</v>
      </c>
      <c r="C329">
        <v>160.08678283033868</v>
      </c>
      <c r="D329">
        <v>82.235448802403326</v>
      </c>
      <c r="E329">
        <v>4.3841147744679745</v>
      </c>
      <c r="H329">
        <f>SMALL(SimDataScen!$B$9:$B$508,323)</f>
        <v>314.03376719522021</v>
      </c>
      <c r="I329">
        <f>1/(COUNT(SimDataScen!$B$9:$B$508)-1)+$I$328</f>
        <v>0.64529058116232518</v>
      </c>
      <c r="J329">
        <f>SMALL(SimDataScen!$C$9:$C$508,323)</f>
        <v>232.60534271559675</v>
      </c>
      <c r="K329">
        <f>1/(COUNT(SimDataScen!$C$9:$C$508)-1)+$K$328</f>
        <v>0.64529058116232518</v>
      </c>
      <c r="L329">
        <f>SMALL(SimDataScen!$D$9:$D$508,323)</f>
        <v>151.72537841124154</v>
      </c>
      <c r="M329">
        <f>1/(COUNT(SimDataScen!$D$9:$D$508)-1)+$M$328</f>
        <v>0.64529058116232518</v>
      </c>
      <c r="N329">
        <f>SMALL(SimDataScen!$E$9:$E$508,323)</f>
        <v>71.068876251959892</v>
      </c>
      <c r="O329">
        <f>1/(COUNT(SimDataScen!$E$9:$E$508)-1)+$O$328</f>
        <v>0.64529058116232518</v>
      </c>
    </row>
    <row r="330" spans="1:15">
      <c r="A330">
        <v>322</v>
      </c>
      <c r="B330">
        <v>174.56911310448947</v>
      </c>
      <c r="C330">
        <v>103.10152322090225</v>
      </c>
      <c r="D330">
        <v>31.633933337315028</v>
      </c>
      <c r="E330">
        <v>-39.833656546272181</v>
      </c>
      <c r="H330">
        <f>SMALL(SimDataScen!$B$9:$B$508,324)</f>
        <v>314.28245031641154</v>
      </c>
      <c r="I330">
        <f>1/(COUNT(SimDataScen!$B$9:$B$508)-1)+$I$329</f>
        <v>0.64729458917835725</v>
      </c>
      <c r="J330">
        <f>SMALL(SimDataScen!$C$9:$C$508,324)</f>
        <v>233.36141178911163</v>
      </c>
      <c r="K330">
        <f>1/(COUNT(SimDataScen!$C$9:$C$508)-1)+$K$329</f>
        <v>0.64729458917835725</v>
      </c>
      <c r="L330">
        <f>SMALL(SimDataScen!$D$9:$D$508,324)</f>
        <v>152.03831652905257</v>
      </c>
      <c r="M330">
        <f>1/(COUNT(SimDataScen!$D$9:$D$508)-1)+$M$329</f>
        <v>0.64729458917835725</v>
      </c>
      <c r="N330">
        <f>SMALL(SimDataScen!$E$9:$E$508,324)</f>
        <v>71.085256157891024</v>
      </c>
      <c r="O330">
        <f>1/(COUNT(SimDataScen!$E$9:$E$508)-1)+$O$329</f>
        <v>0.64729458917835725</v>
      </c>
    </row>
    <row r="331" spans="1:15">
      <c r="A331">
        <v>323</v>
      </c>
      <c r="B331">
        <v>355.88150561674553</v>
      </c>
      <c r="C331">
        <v>271.45191970746203</v>
      </c>
      <c r="D331">
        <v>187.02233379817849</v>
      </c>
      <c r="E331">
        <v>102.59274788889496</v>
      </c>
      <c r="H331">
        <f>SMALL(SimDataScen!$B$9:$B$508,325)</f>
        <v>314.71812455581454</v>
      </c>
      <c r="I331">
        <f>1/(COUNT(SimDataScen!$B$9:$B$508)-1)+$I$330</f>
        <v>0.64929859719438932</v>
      </c>
      <c r="J331">
        <f>SMALL(SimDataScen!$C$9:$C$508,325)</f>
        <v>233.50716842317337</v>
      </c>
      <c r="K331">
        <f>1/(COUNT(SimDataScen!$C$9:$C$508)-1)+$K$330</f>
        <v>0.64929859719438932</v>
      </c>
      <c r="L331">
        <f>SMALL(SimDataScen!$D$9:$D$508,325)</f>
        <v>152.2962122905322</v>
      </c>
      <c r="M331">
        <f>1/(COUNT(SimDataScen!$D$9:$D$508)-1)+$M$330</f>
        <v>0.64929859719438932</v>
      </c>
      <c r="N331">
        <f>SMALL(SimDataScen!$E$9:$E$508,325)</f>
        <v>71.339193328080825</v>
      </c>
      <c r="O331">
        <f>1/(COUNT(SimDataScen!$E$9:$E$508)-1)+$O$330</f>
        <v>0.64929859719438932</v>
      </c>
    </row>
    <row r="332" spans="1:15">
      <c r="A332">
        <v>324</v>
      </c>
      <c r="B332">
        <v>168.88679858294404</v>
      </c>
      <c r="C332">
        <v>88.517840644663195</v>
      </c>
      <c r="D332">
        <v>8.1488827063823521</v>
      </c>
      <c r="E332">
        <v>-72.220075231898477</v>
      </c>
      <c r="H332">
        <f>SMALL(SimDataScen!$B$9:$B$508,326)</f>
        <v>314.81811680849023</v>
      </c>
      <c r="I332">
        <f>1/(COUNT(SimDataScen!$B$9:$B$508)-1)+$I$331</f>
        <v>0.65130260521042138</v>
      </c>
      <c r="J332">
        <f>SMALL(SimDataScen!$C$9:$C$508,326)</f>
        <v>233.71563117687521</v>
      </c>
      <c r="K332">
        <f>1/(COUNT(SimDataScen!$C$9:$C$508)-1)+$K$331</f>
        <v>0.65130260521042138</v>
      </c>
      <c r="L332">
        <f>SMALL(SimDataScen!$D$9:$D$508,326)</f>
        <v>153.17867878993411</v>
      </c>
      <c r="M332">
        <f>1/(COUNT(SimDataScen!$D$9:$D$508)-1)+$M$331</f>
        <v>0.65130260521042138</v>
      </c>
      <c r="N332">
        <f>SMALL(SimDataScen!$E$9:$E$508,326)</f>
        <v>72.687028763246389</v>
      </c>
      <c r="O332">
        <f>1/(COUNT(SimDataScen!$E$9:$E$508)-1)+$O$331</f>
        <v>0.65130260521042138</v>
      </c>
    </row>
    <row r="333" spans="1:15">
      <c r="A333">
        <v>325</v>
      </c>
      <c r="B333">
        <v>178.20615650744611</v>
      </c>
      <c r="C333">
        <v>102.88719714551534</v>
      </c>
      <c r="D333">
        <v>27.568237783584578</v>
      </c>
      <c r="E333">
        <v>-47.750721578346173</v>
      </c>
      <c r="H333">
        <f>SMALL(SimDataScen!$B$9:$B$508,327)</f>
        <v>315.72958078405458</v>
      </c>
      <c r="I333">
        <f>1/(COUNT(SimDataScen!$B$9:$B$508)-1)+$I$332</f>
        <v>0.65330661322645345</v>
      </c>
      <c r="J333">
        <f>SMALL(SimDataScen!$C$9:$C$508,327)</f>
        <v>233.75064313202316</v>
      </c>
      <c r="K333">
        <f>1/(COUNT(SimDataScen!$C$9:$C$508)-1)+$K$332</f>
        <v>0.65330661322645345</v>
      </c>
      <c r="L333">
        <f>SMALL(SimDataScen!$D$9:$D$508,327)</f>
        <v>153.21883594763477</v>
      </c>
      <c r="M333">
        <f>1/(COUNT(SimDataScen!$D$9:$D$508)-1)+$M$332</f>
        <v>0.65330661322645345</v>
      </c>
      <c r="N333">
        <f>SMALL(SimDataScen!$E$9:$E$508,327)</f>
        <v>73.472009867702184</v>
      </c>
      <c r="O333">
        <f>1/(COUNT(SimDataScen!$E$9:$E$508)-1)+$O$332</f>
        <v>0.65330661322645345</v>
      </c>
    </row>
    <row r="334" spans="1:15">
      <c r="A334">
        <v>326</v>
      </c>
      <c r="B334">
        <v>271.62004062946352</v>
      </c>
      <c r="C334">
        <v>195.51236519305763</v>
      </c>
      <c r="D334">
        <v>119.40468975665173</v>
      </c>
      <c r="E334">
        <v>43.297014320245836</v>
      </c>
      <c r="H334">
        <f>SMALL(SimDataScen!$B$9:$B$508,328)</f>
        <v>315.89009953797802</v>
      </c>
      <c r="I334">
        <f>1/(COUNT(SimDataScen!$B$9:$B$508)-1)+$I$333</f>
        <v>0.65531062124248551</v>
      </c>
      <c r="J334">
        <f>SMALL(SimDataScen!$C$9:$C$508,328)</f>
        <v>234.55847032397207</v>
      </c>
      <c r="K334">
        <f>1/(COUNT(SimDataScen!$C$9:$C$508)-1)+$K$333</f>
        <v>0.65531062124248551</v>
      </c>
      <c r="L334">
        <f>SMALL(SimDataScen!$D$9:$D$508,328)</f>
        <v>153.29637774818622</v>
      </c>
      <c r="M334">
        <f>1/(COUNT(SimDataScen!$D$9:$D$508)-1)+$M$333</f>
        <v>0.65531062124248551</v>
      </c>
      <c r="N334">
        <f>SMALL(SimDataScen!$E$9:$E$508,328)</f>
        <v>73.599633005855537</v>
      </c>
      <c r="O334">
        <f>1/(COUNT(SimDataScen!$E$9:$E$508)-1)+$O$333</f>
        <v>0.65531062124248551</v>
      </c>
    </row>
    <row r="335" spans="1:15">
      <c r="A335">
        <v>327</v>
      </c>
      <c r="B335">
        <v>185.67255760366436</v>
      </c>
      <c r="C335">
        <v>111.89562413712282</v>
      </c>
      <c r="D335">
        <v>38.118690670581273</v>
      </c>
      <c r="E335">
        <v>-35.658242795960263</v>
      </c>
      <c r="H335">
        <f>SMALL(SimDataScen!$B$9:$B$508,329)</f>
        <v>316.40921715549473</v>
      </c>
      <c r="I335">
        <f>1/(COUNT(SimDataScen!$B$9:$B$508)-1)+$I$334</f>
        <v>0.65731462925851758</v>
      </c>
      <c r="J335">
        <f>SMALL(SimDataScen!$C$9:$C$508,329)</f>
        <v>234.59900338282876</v>
      </c>
      <c r="K335">
        <f>1/(COUNT(SimDataScen!$C$9:$C$508)-1)+$K$334</f>
        <v>0.65731462925851758</v>
      </c>
      <c r="L335">
        <f>SMALL(SimDataScen!$D$9:$D$508,329)</f>
        <v>153.46063979482105</v>
      </c>
      <c r="M335">
        <f>1/(COUNT(SimDataScen!$D$9:$D$508)-1)+$M$334</f>
        <v>0.65731462925851758</v>
      </c>
      <c r="N335">
        <f>SMALL(SimDataScen!$E$9:$E$508,329)</f>
        <v>74.1389869666979</v>
      </c>
      <c r="O335">
        <f>1/(COUNT(SimDataScen!$E$9:$E$508)-1)+$O$334</f>
        <v>0.65731462925851758</v>
      </c>
    </row>
    <row r="336" spans="1:15">
      <c r="A336">
        <v>328</v>
      </c>
      <c r="B336">
        <v>278.82664964692469</v>
      </c>
      <c r="C336">
        <v>198.2116987622905</v>
      </c>
      <c r="D336">
        <v>117.5967478776563</v>
      </c>
      <c r="E336">
        <v>36.981796993022101</v>
      </c>
      <c r="H336">
        <f>SMALL(SimDataScen!$B$9:$B$508,330)</f>
        <v>317.15969023660494</v>
      </c>
      <c r="I336">
        <f>1/(COUNT(SimDataScen!$B$9:$B$508)-1)+$I$335</f>
        <v>0.65931863727454965</v>
      </c>
      <c r="J336">
        <f>SMALL(SimDataScen!$C$9:$C$508,330)</f>
        <v>235.26646690291426</v>
      </c>
      <c r="K336">
        <f>1/(COUNT(SimDataScen!$C$9:$C$508)-1)+$K$335</f>
        <v>0.65931863727454965</v>
      </c>
      <c r="L336">
        <f>SMALL(SimDataScen!$D$9:$D$508,330)</f>
        <v>153.75457414426492</v>
      </c>
      <c r="M336">
        <f>1/(COUNT(SimDataScen!$D$9:$D$508)-1)+$M$335</f>
        <v>0.65931863727454965</v>
      </c>
      <c r="N336">
        <f>SMALL(SimDataScen!$E$9:$E$508,330)</f>
        <v>74.163544691913074</v>
      </c>
      <c r="O336">
        <f>1/(COUNT(SimDataScen!$E$9:$E$508)-1)+$O$335</f>
        <v>0.65931863727454965</v>
      </c>
    </row>
    <row r="337" spans="1:15">
      <c r="A337">
        <v>329</v>
      </c>
      <c r="B337">
        <v>258.67202895248096</v>
      </c>
      <c r="C337">
        <v>178.28818457241178</v>
      </c>
      <c r="D337">
        <v>97.904340192342602</v>
      </c>
      <c r="E337">
        <v>17.520495812273424</v>
      </c>
      <c r="H337">
        <f>SMALL(SimDataScen!$B$9:$B$508,331)</f>
        <v>317.82522094746497</v>
      </c>
      <c r="I337">
        <f>1/(COUNT(SimDataScen!$B$9:$B$508)-1)+$I$336</f>
        <v>0.66132264529058171</v>
      </c>
      <c r="J337">
        <f>SMALL(SimDataScen!$C$9:$C$508,331)</f>
        <v>235.66065966763421</v>
      </c>
      <c r="K337">
        <f>1/(COUNT(SimDataScen!$C$9:$C$508)-1)+$K$336</f>
        <v>0.66132264529058171</v>
      </c>
      <c r="L337">
        <f>SMALL(SimDataScen!$D$9:$D$508,331)</f>
        <v>154.10774372971281</v>
      </c>
      <c r="M337">
        <f>1/(COUNT(SimDataScen!$D$9:$D$508)-1)+$M$336</f>
        <v>0.66132264529058171</v>
      </c>
      <c r="N337">
        <f>SMALL(SimDataScen!$E$9:$E$508,331)</f>
        <v>74.315936874045377</v>
      </c>
      <c r="O337">
        <f>1/(COUNT(SimDataScen!$E$9:$E$508)-1)+$O$336</f>
        <v>0.66132264529058171</v>
      </c>
    </row>
    <row r="338" spans="1:15">
      <c r="A338">
        <v>330</v>
      </c>
      <c r="B338">
        <v>312.73926493635793</v>
      </c>
      <c r="C338">
        <v>231.18263176369936</v>
      </c>
      <c r="D338">
        <v>149.62599859104083</v>
      </c>
      <c r="E338">
        <v>68.06936541838229</v>
      </c>
      <c r="H338">
        <f>SMALL(SimDataScen!$B$9:$B$508,332)</f>
        <v>318.0375155132254</v>
      </c>
      <c r="I338">
        <f>1/(COUNT(SimDataScen!$B$9:$B$508)-1)+$I$337</f>
        <v>0.66332665330661378</v>
      </c>
      <c r="J338">
        <f>SMALL(SimDataScen!$C$9:$C$508,332)</f>
        <v>236.17590998346159</v>
      </c>
      <c r="K338">
        <f>1/(COUNT(SimDataScen!$C$9:$C$508)-1)+$K$337</f>
        <v>0.66332665330661378</v>
      </c>
      <c r="L338">
        <f>SMALL(SimDataScen!$D$9:$D$508,332)</f>
        <v>154.91210217977363</v>
      </c>
      <c r="M338">
        <f>1/(COUNT(SimDataScen!$D$9:$D$508)-1)+$M$337</f>
        <v>0.66332665330661378</v>
      </c>
      <c r="N338">
        <f>SMALL(SimDataScen!$E$9:$E$508,332)</f>
        <v>74.321270549875976</v>
      </c>
      <c r="O338">
        <f>1/(COUNT(SimDataScen!$E$9:$E$508)-1)+$O$337</f>
        <v>0.66332665330661378</v>
      </c>
    </row>
    <row r="339" spans="1:15">
      <c r="A339">
        <v>331</v>
      </c>
      <c r="B339">
        <v>392.6909554635717</v>
      </c>
      <c r="C339">
        <v>313.63991973214598</v>
      </c>
      <c r="D339">
        <v>234.58888400072021</v>
      </c>
      <c r="E339">
        <v>155.5378482692945</v>
      </c>
      <c r="H339">
        <f>SMALL(SimDataScen!$B$9:$B$508,333)</f>
        <v>318.80676100616881</v>
      </c>
      <c r="I339">
        <f>1/(COUNT(SimDataScen!$B$9:$B$508)-1)+$I$338</f>
        <v>0.66533066132264584</v>
      </c>
      <c r="J339">
        <f>SMALL(SimDataScen!$C$9:$C$508,333)</f>
        <v>237.31159752073791</v>
      </c>
      <c r="K339">
        <f>1/(COUNT(SimDataScen!$C$9:$C$508)-1)+$K$338</f>
        <v>0.66533066132264584</v>
      </c>
      <c r="L339">
        <f>SMALL(SimDataScen!$D$9:$D$508,333)</f>
        <v>155.81643403530694</v>
      </c>
      <c r="M339">
        <f>1/(COUNT(SimDataScen!$D$9:$D$508)-1)+$M$338</f>
        <v>0.66533066132264584</v>
      </c>
      <c r="N339">
        <f>SMALL(SimDataScen!$E$9:$E$508,333)</f>
        <v>74.727779324851383</v>
      </c>
      <c r="O339">
        <f>1/(COUNT(SimDataScen!$E$9:$E$508)-1)+$O$338</f>
        <v>0.66533066132264584</v>
      </c>
    </row>
    <row r="340" spans="1:15">
      <c r="A340">
        <v>332</v>
      </c>
      <c r="B340">
        <v>491.48662557886638</v>
      </c>
      <c r="C340">
        <v>400.17631488516162</v>
      </c>
      <c r="D340">
        <v>308.8660041914568</v>
      </c>
      <c r="E340">
        <v>217.55569349775203</v>
      </c>
      <c r="H340">
        <f>SMALL(SimDataScen!$B$9:$B$508,334)</f>
        <v>319.81057730873135</v>
      </c>
      <c r="I340">
        <f>1/(COUNT(SimDataScen!$B$9:$B$508)-1)+$I$339</f>
        <v>0.66733466933867791</v>
      </c>
      <c r="J340">
        <f>SMALL(SimDataScen!$C$9:$C$508,334)</f>
        <v>237.41651324568727</v>
      </c>
      <c r="K340">
        <f>1/(COUNT(SimDataScen!$C$9:$C$508)-1)+$K$339</f>
        <v>0.66733466933867791</v>
      </c>
      <c r="L340">
        <f>SMALL(SimDataScen!$D$9:$D$508,334)</f>
        <v>155.90471246106549</v>
      </c>
      <c r="M340">
        <f>1/(COUNT(SimDataScen!$D$9:$D$508)-1)+$M$339</f>
        <v>0.66733466933867791</v>
      </c>
      <c r="N340">
        <f>SMALL(SimDataScen!$E$9:$E$508,334)</f>
        <v>74.854075670314018</v>
      </c>
      <c r="O340">
        <f>1/(COUNT(SimDataScen!$E$9:$E$508)-1)+$O$339</f>
        <v>0.66733466933867791</v>
      </c>
    </row>
    <row r="341" spans="1:15">
      <c r="A341">
        <v>333</v>
      </c>
      <c r="B341">
        <v>460.7957935863634</v>
      </c>
      <c r="C341">
        <v>372.29706115014153</v>
      </c>
      <c r="D341">
        <v>283.79832871391972</v>
      </c>
      <c r="E341">
        <v>195.2995962776979</v>
      </c>
      <c r="H341">
        <f>SMALL(SimDataScen!$B$9:$B$508,335)</f>
        <v>319.87509194847394</v>
      </c>
      <c r="I341">
        <f>1/(COUNT(SimDataScen!$B$9:$B$508)-1)+$I$340</f>
        <v>0.66933867735470998</v>
      </c>
      <c r="J341">
        <f>SMALL(SimDataScen!$C$9:$C$508,335)</f>
        <v>237.78631593616473</v>
      </c>
      <c r="K341">
        <f>1/(COUNT(SimDataScen!$C$9:$C$508)-1)+$K$340</f>
        <v>0.66933867735470998</v>
      </c>
      <c r="L341">
        <f>SMALL(SimDataScen!$D$9:$D$508,335)</f>
        <v>156.25153842360857</v>
      </c>
      <c r="M341">
        <f>1/(COUNT(SimDataScen!$D$9:$D$508)-1)+$M$340</f>
        <v>0.66933867735470998</v>
      </c>
      <c r="N341">
        <f>SMALL(SimDataScen!$E$9:$E$508,335)</f>
        <v>75.531430523713937</v>
      </c>
      <c r="O341">
        <f>1/(COUNT(SimDataScen!$E$9:$E$508)-1)+$O$340</f>
        <v>0.66933867735470998</v>
      </c>
    </row>
    <row r="342" spans="1:15">
      <c r="A342">
        <v>334</v>
      </c>
      <c r="B342">
        <v>169.49708021755916</v>
      </c>
      <c r="C342">
        <v>90.221846059410026</v>
      </c>
      <c r="D342">
        <v>10.94661190126088</v>
      </c>
      <c r="E342">
        <v>-68.328622256888252</v>
      </c>
      <c r="H342">
        <f>SMALL(SimDataScen!$B$9:$B$508,336)</f>
        <v>319.91905246539523</v>
      </c>
      <c r="I342">
        <f>1/(COUNT(SimDataScen!$B$9:$B$508)-1)+$I$341</f>
        <v>0.67134268537074204</v>
      </c>
      <c r="J342">
        <f>SMALL(SimDataScen!$C$9:$C$508,336)</f>
        <v>238.67598103925155</v>
      </c>
      <c r="K342">
        <f>1/(COUNT(SimDataScen!$C$9:$C$508)-1)+$K$341</f>
        <v>0.67134268537074204</v>
      </c>
      <c r="L342">
        <f>SMALL(SimDataScen!$D$9:$D$508,336)</f>
        <v>156.37101816692126</v>
      </c>
      <c r="M342">
        <f>1/(COUNT(SimDataScen!$D$9:$D$508)-1)+$M$341</f>
        <v>0.67134268537074204</v>
      </c>
      <c r="N342">
        <f>SMALL(SimDataScen!$E$9:$E$508,336)</f>
        <v>76.22098353714415</v>
      </c>
      <c r="O342">
        <f>1/(COUNT(SimDataScen!$E$9:$E$508)-1)+$O$341</f>
        <v>0.67134268537074204</v>
      </c>
    </row>
    <row r="343" spans="1:15">
      <c r="A343">
        <v>335</v>
      </c>
      <c r="B343">
        <v>103.06396741280439</v>
      </c>
      <c r="C343">
        <v>34.478554827182322</v>
      </c>
      <c r="D343">
        <v>-34.106857758439759</v>
      </c>
      <c r="E343">
        <v>-102.69227034406182</v>
      </c>
      <c r="H343">
        <f>SMALL(SimDataScen!$B$9:$B$508,337)</f>
        <v>320.28995849668581</v>
      </c>
      <c r="I343">
        <f>1/(COUNT(SimDataScen!$B$9:$B$508)-1)+$I$342</f>
        <v>0.67334669338677411</v>
      </c>
      <c r="J343">
        <f>SMALL(SimDataScen!$C$9:$C$508,337)</f>
        <v>239.27002646614034</v>
      </c>
      <c r="K343">
        <f>1/(COUNT(SimDataScen!$C$9:$C$508)-1)+$K$342</f>
        <v>0.67334669338677411</v>
      </c>
      <c r="L343">
        <f>SMALL(SimDataScen!$D$9:$D$508,337)</f>
        <v>157.27395937354444</v>
      </c>
      <c r="M343">
        <f>1/(COUNT(SimDataScen!$D$9:$D$508)-1)+$M$342</f>
        <v>0.67334669338677411</v>
      </c>
      <c r="N343">
        <f>SMALL(SimDataScen!$E$9:$E$508,337)</f>
        <v>79.105807824620371</v>
      </c>
      <c r="O343">
        <f>1/(COUNT(SimDataScen!$E$9:$E$508)-1)+$O$342</f>
        <v>0.67334669338677411</v>
      </c>
    </row>
    <row r="344" spans="1:15">
      <c r="A344">
        <v>336</v>
      </c>
      <c r="B344">
        <v>408.24926917943901</v>
      </c>
      <c r="C344">
        <v>319.45374449143816</v>
      </c>
      <c r="D344">
        <v>230.65821980343722</v>
      </c>
      <c r="E344">
        <v>141.86269511543634</v>
      </c>
      <c r="H344">
        <f>SMALL(SimDataScen!$B$9:$B$508,338)</f>
        <v>320.62761254664952</v>
      </c>
      <c r="I344">
        <f>1/(COUNT(SimDataScen!$B$9:$B$508)-1)+$I$343</f>
        <v>0.67535070140280618</v>
      </c>
      <c r="J344">
        <f>SMALL(SimDataScen!$C$9:$C$508,338)</f>
        <v>239.58416141566221</v>
      </c>
      <c r="K344">
        <f>1/(COUNT(SimDataScen!$C$9:$C$508)-1)+$K$343</f>
        <v>0.67535070140280618</v>
      </c>
      <c r="L344">
        <f>SMALL(SimDataScen!$D$9:$D$508,338)</f>
        <v>158.94292695339655</v>
      </c>
      <c r="M344">
        <f>1/(COUNT(SimDataScen!$D$9:$D$508)-1)+$M$343</f>
        <v>0.67535070140280618</v>
      </c>
      <c r="N344">
        <f>SMALL(SimDataScen!$E$9:$E$508,338)</f>
        <v>79.187234954064024</v>
      </c>
      <c r="O344">
        <f>1/(COUNT(SimDataScen!$E$9:$E$508)-1)+$O$343</f>
        <v>0.67535070140280618</v>
      </c>
    </row>
    <row r="345" spans="1:15">
      <c r="A345">
        <v>337</v>
      </c>
      <c r="B345">
        <v>310.20086138536692</v>
      </c>
      <c r="C345">
        <v>231.97771776481591</v>
      </c>
      <c r="D345">
        <v>153.75457414426492</v>
      </c>
      <c r="E345">
        <v>75.531430523713937</v>
      </c>
      <c r="H345">
        <f>SMALL(SimDataScen!$B$9:$B$508,339)</f>
        <v>320.64178025508238</v>
      </c>
      <c r="I345">
        <f>1/(COUNT(SimDataScen!$B$9:$B$508)-1)+$I$344</f>
        <v>0.67735470941883824</v>
      </c>
      <c r="J345">
        <f>SMALL(SimDataScen!$C$9:$C$508,339)</f>
        <v>240.16656923021623</v>
      </c>
      <c r="K345">
        <f>1/(COUNT(SimDataScen!$C$9:$C$508)-1)+$K$344</f>
        <v>0.67735470941883824</v>
      </c>
      <c r="L345">
        <f>SMALL(SimDataScen!$D$9:$D$508,339)</f>
        <v>161.34310188385945</v>
      </c>
      <c r="M345">
        <f>1/(COUNT(SimDataScen!$D$9:$D$508)-1)+$M$344</f>
        <v>0.67735470941883824</v>
      </c>
      <c r="N345">
        <f>SMALL(SimDataScen!$E$9:$E$508,339)</f>
        <v>79.692215176726677</v>
      </c>
      <c r="O345">
        <f>1/(COUNT(SimDataScen!$E$9:$E$508)-1)+$O$344</f>
        <v>0.67735470941883824</v>
      </c>
    </row>
    <row r="346" spans="1:15">
      <c r="A346">
        <v>338</v>
      </c>
      <c r="B346">
        <v>330.15332671057848</v>
      </c>
      <c r="C346">
        <v>249.21242519782032</v>
      </c>
      <c r="D346">
        <v>168.27152368506216</v>
      </c>
      <c r="E346">
        <v>87.330622172304004</v>
      </c>
      <c r="H346">
        <f>SMALL(SimDataScen!$B$9:$B$508,340)</f>
        <v>320.82374048809243</v>
      </c>
      <c r="I346">
        <f>1/(COUNT(SimDataScen!$B$9:$B$508)-1)+$I$345</f>
        <v>0.67935871743487031</v>
      </c>
      <c r="J346">
        <f>SMALL(SimDataScen!$C$9:$C$508,340)</f>
        <v>240.40893178039101</v>
      </c>
      <c r="K346">
        <f>1/(COUNT(SimDataScen!$C$9:$C$508)-1)+$K$345</f>
        <v>0.67935871743487031</v>
      </c>
      <c r="L346">
        <f>SMALL(SimDataScen!$D$9:$D$508,340)</f>
        <v>161.62238129444853</v>
      </c>
      <c r="M346">
        <f>1/(COUNT(SimDataScen!$D$9:$D$508)-1)+$M$345</f>
        <v>0.67935871743487031</v>
      </c>
      <c r="N346">
        <f>SMALL(SimDataScen!$E$9:$E$508,340)</f>
        <v>80.469340661105832</v>
      </c>
      <c r="O346">
        <f>1/(COUNT(SimDataScen!$E$9:$E$508)-1)+$O$345</f>
        <v>0.67935871743487031</v>
      </c>
    </row>
    <row r="347" spans="1:15">
      <c r="A347">
        <v>339</v>
      </c>
      <c r="B347">
        <v>427.5783070833092</v>
      </c>
      <c r="C347">
        <v>338.850423225432</v>
      </c>
      <c r="D347">
        <v>250.12253936755482</v>
      </c>
      <c r="E347">
        <v>161.39465550967765</v>
      </c>
      <c r="H347">
        <f>SMALL(SimDataScen!$B$9:$B$508,341)</f>
        <v>321.19442605654075</v>
      </c>
      <c r="I347">
        <f>1/(COUNT(SimDataScen!$B$9:$B$508)-1)+$I$346</f>
        <v>0.68136272545090237</v>
      </c>
      <c r="J347">
        <f>SMALL(SimDataScen!$C$9:$C$508,341)</f>
        <v>241.01900457893743</v>
      </c>
      <c r="K347">
        <f>1/(COUNT(SimDataScen!$C$9:$C$508)-1)+$K$346</f>
        <v>0.68136272545090237</v>
      </c>
      <c r="L347">
        <f>SMALL(SimDataScen!$D$9:$D$508,341)</f>
        <v>161.7993296804199</v>
      </c>
      <c r="M347">
        <f>1/(COUNT(SimDataScen!$D$9:$D$508)-1)+$M$346</f>
        <v>0.68136272545090237</v>
      </c>
      <c r="N347">
        <f>SMALL(SimDataScen!$E$9:$E$508,341)</f>
        <v>80.807303101769548</v>
      </c>
      <c r="O347">
        <f>1/(COUNT(SimDataScen!$E$9:$E$508)-1)+$O$346</f>
        <v>0.68136272545090237</v>
      </c>
    </row>
    <row r="348" spans="1:15">
      <c r="A348">
        <v>340</v>
      </c>
      <c r="B348">
        <v>176.85907028233274</v>
      </c>
      <c r="C348">
        <v>103.189102552395</v>
      </c>
      <c r="D348">
        <v>29.519134822457247</v>
      </c>
      <c r="E348">
        <v>-44.150832907480492</v>
      </c>
      <c r="H348">
        <f>SMALL(SimDataScen!$B$9:$B$508,342)</f>
        <v>321.51003024590273</v>
      </c>
      <c r="I348">
        <f>1/(COUNT(SimDataScen!$B$9:$B$508)-1)+$I$347</f>
        <v>0.68336673346693444</v>
      </c>
      <c r="J348">
        <f>SMALL(SimDataScen!$C$9:$C$508,342)</f>
        <v>241.21347111353469</v>
      </c>
      <c r="K348">
        <f>1/(COUNT(SimDataScen!$C$9:$C$508)-1)+$K$347</f>
        <v>0.68336673346693444</v>
      </c>
      <c r="L348">
        <f>SMALL(SimDataScen!$D$9:$D$508,342)</f>
        <v>162.22743184914344</v>
      </c>
      <c r="M348">
        <f>1/(COUNT(SimDataScen!$D$9:$D$508)-1)+$M$347</f>
        <v>0.68336673346693444</v>
      </c>
      <c r="N348">
        <f>SMALL(SimDataScen!$E$9:$E$508,342)</f>
        <v>81.375300129745057</v>
      </c>
      <c r="O348">
        <f>1/(COUNT(SimDataScen!$E$9:$E$508)-1)+$O$347</f>
        <v>0.68336673346693444</v>
      </c>
    </row>
    <row r="349" spans="1:15">
      <c r="A349">
        <v>341</v>
      </c>
      <c r="B349">
        <v>266.87827959551981</v>
      </c>
      <c r="C349">
        <v>193.9269879684087</v>
      </c>
      <c r="D349">
        <v>120.97569634129759</v>
      </c>
      <c r="E349">
        <v>48.024404714186488</v>
      </c>
      <c r="H349">
        <f>SMALL(SimDataScen!$B$9:$B$508,343)</f>
        <v>321.77576939228902</v>
      </c>
      <c r="I349">
        <f>1/(COUNT(SimDataScen!$B$9:$B$508)-1)+$I$348</f>
        <v>0.68537074148296651</v>
      </c>
      <c r="J349">
        <f>SMALL(SimDataScen!$C$9:$C$508,343)</f>
        <v>241.23161234629842</v>
      </c>
      <c r="K349">
        <f>1/(COUNT(SimDataScen!$C$9:$C$508)-1)+$K$348</f>
        <v>0.68537074148296651</v>
      </c>
      <c r="L349">
        <f>SMALL(SimDataScen!$D$9:$D$508,343)</f>
        <v>162.23520305756196</v>
      </c>
      <c r="M349">
        <f>1/(COUNT(SimDataScen!$D$9:$D$508)-1)+$M$348</f>
        <v>0.68537074148296651</v>
      </c>
      <c r="N349">
        <f>SMALL(SimDataScen!$E$9:$E$508,343)</f>
        <v>81.840272735776523</v>
      </c>
      <c r="O349">
        <f>1/(COUNT(SimDataScen!$E$9:$E$508)-1)+$O$348</f>
        <v>0.68537074148296651</v>
      </c>
    </row>
    <row r="350" spans="1:15">
      <c r="A350">
        <v>342</v>
      </c>
      <c r="B350">
        <v>233.18795515457774</v>
      </c>
      <c r="C350">
        <v>157.50323486397286</v>
      </c>
      <c r="D350">
        <v>81.818514573367963</v>
      </c>
      <c r="E350">
        <v>6.1337942827630911</v>
      </c>
      <c r="H350">
        <f>SMALL(SimDataScen!$B$9:$B$508,344)</f>
        <v>322.16903476535941</v>
      </c>
      <c r="I350">
        <f>1/(COUNT(SimDataScen!$B$9:$B$508)-1)+$I$349</f>
        <v>0.68737474949899857</v>
      </c>
      <c r="J350">
        <f>SMALL(SimDataScen!$C$9:$C$508,344)</f>
        <v>242.46374163498513</v>
      </c>
      <c r="K350">
        <f>1/(COUNT(SimDataScen!$C$9:$C$508)-1)+$K$349</f>
        <v>0.68737474949899857</v>
      </c>
      <c r="L350">
        <f>SMALL(SimDataScen!$D$9:$D$508,344)</f>
        <v>162.29562294720705</v>
      </c>
      <c r="M350">
        <f>1/(COUNT(SimDataScen!$D$9:$D$508)-1)+$M$349</f>
        <v>0.68737474949899857</v>
      </c>
      <c r="N350">
        <f>SMALL(SimDataScen!$E$9:$E$508,344)</f>
        <v>81.850116629330842</v>
      </c>
      <c r="O350">
        <f>1/(COUNT(SimDataScen!$E$9:$E$508)-1)+$O$349</f>
        <v>0.68737474949899857</v>
      </c>
    </row>
    <row r="351" spans="1:15">
      <c r="A351">
        <v>343</v>
      </c>
      <c r="B351">
        <v>197.1588747858238</v>
      </c>
      <c r="C351">
        <v>118.07095756528804</v>
      </c>
      <c r="D351">
        <v>38.983040344752283</v>
      </c>
      <c r="E351">
        <v>-40.104876875783475</v>
      </c>
      <c r="H351">
        <f>SMALL(SimDataScen!$B$9:$B$508,345)</f>
        <v>323.54390418723756</v>
      </c>
      <c r="I351">
        <f>1/(COUNT(SimDataScen!$B$9:$B$508)-1)+$I$350</f>
        <v>0.68937875751503064</v>
      </c>
      <c r="J351">
        <f>SMALL(SimDataScen!$C$9:$C$508,345)</f>
        <v>242.85313111095866</v>
      </c>
      <c r="K351">
        <f>1/(COUNT(SimDataScen!$C$9:$C$508)-1)+$K$350</f>
        <v>0.68937875751503064</v>
      </c>
      <c r="L351">
        <f>SMALL(SimDataScen!$D$9:$D$508,345)</f>
        <v>162.47487406028441</v>
      </c>
      <c r="M351">
        <f>1/(COUNT(SimDataScen!$D$9:$D$508)-1)+$M$350</f>
        <v>0.68937875751503064</v>
      </c>
      <c r="N351">
        <f>SMALL(SimDataScen!$E$9:$E$508,345)</f>
        <v>82.055251660968253</v>
      </c>
      <c r="O351">
        <f>1/(COUNT(SimDataScen!$E$9:$E$508)-1)+$O$350</f>
        <v>0.68937875751503064</v>
      </c>
    </row>
    <row r="352" spans="1:15">
      <c r="A352">
        <v>344</v>
      </c>
      <c r="B352">
        <v>236.19305783291114</v>
      </c>
      <c r="C352">
        <v>157.54914968717961</v>
      </c>
      <c r="D352">
        <v>78.905241541448049</v>
      </c>
      <c r="E352">
        <v>0.26133339571651959</v>
      </c>
      <c r="H352">
        <f>SMALL(SimDataScen!$B$9:$B$508,346)</f>
        <v>324.64431402403079</v>
      </c>
      <c r="I352">
        <f>1/(COUNT(SimDataScen!$B$9:$B$508)-1)+$I$351</f>
        <v>0.6913827655310627</v>
      </c>
      <c r="J352">
        <f>SMALL(SimDataScen!$C$9:$C$508,346)</f>
        <v>243.45068715987068</v>
      </c>
      <c r="K352">
        <f>1/(COUNT(SimDataScen!$C$9:$C$508)-1)+$K$351</f>
        <v>0.6913827655310627</v>
      </c>
      <c r="L352">
        <f>SMALL(SimDataScen!$D$9:$D$508,346)</f>
        <v>162.50815116045743</v>
      </c>
      <c r="M352">
        <f>1/(COUNT(SimDataScen!$D$9:$D$508)-1)+$M$351</f>
        <v>0.6913827655310627</v>
      </c>
      <c r="N352">
        <f>SMALL(SimDataScen!$E$9:$E$508,346)</f>
        <v>82.385188247305109</v>
      </c>
      <c r="O352">
        <f>1/(COUNT(SimDataScen!$E$9:$E$508)-1)+$O$351</f>
        <v>0.6913827655310627</v>
      </c>
    </row>
    <row r="353" spans="1:15">
      <c r="A353">
        <v>345</v>
      </c>
      <c r="B353">
        <v>466.26021677997556</v>
      </c>
      <c r="C353">
        <v>380.61817036693026</v>
      </c>
      <c r="D353">
        <v>294.97612395388489</v>
      </c>
      <c r="E353">
        <v>209.33407754083962</v>
      </c>
      <c r="H353">
        <f>SMALL(SimDataScen!$B$9:$B$508,347)</f>
        <v>324.88196219136137</v>
      </c>
      <c r="I353">
        <f>1/(COUNT(SimDataScen!$B$9:$B$508)-1)+$I$352</f>
        <v>0.69338677354709477</v>
      </c>
      <c r="J353">
        <f>SMALL(SimDataScen!$C$9:$C$508,347)</f>
        <v>243.98516950893463</v>
      </c>
      <c r="K353">
        <f>1/(COUNT(SimDataScen!$C$9:$C$508)-1)+$K$352</f>
        <v>0.69338677354709477</v>
      </c>
      <c r="L353">
        <f>SMALL(SimDataScen!$D$9:$D$508,347)</f>
        <v>162.68023481933983</v>
      </c>
      <c r="M353">
        <f>1/(COUNT(SimDataScen!$D$9:$D$508)-1)+$M$352</f>
        <v>0.69338677354709477</v>
      </c>
      <c r="N353">
        <f>SMALL(SimDataScen!$E$9:$E$508,347)</f>
        <v>83.102042352056685</v>
      </c>
      <c r="O353">
        <f>1/(COUNT(SimDataScen!$E$9:$E$508)-1)+$O$352</f>
        <v>0.69338677354709477</v>
      </c>
    </row>
    <row r="354" spans="1:15">
      <c r="A354">
        <v>346</v>
      </c>
      <c r="B354">
        <v>265.66253456928467</v>
      </c>
      <c r="C354">
        <v>183.38912690272605</v>
      </c>
      <c r="D354">
        <v>101.11571923616745</v>
      </c>
      <c r="E354">
        <v>18.842311569608853</v>
      </c>
      <c r="H354">
        <f>SMALL(SimDataScen!$B$9:$B$508,348)</f>
        <v>325.03998914066597</v>
      </c>
      <c r="I354">
        <f>1/(COUNT(SimDataScen!$B$9:$B$508)-1)+$I$353</f>
        <v>0.69539078156312684</v>
      </c>
      <c r="J354">
        <f>SMALL(SimDataScen!$C$9:$C$508,348)</f>
        <v>245.10855807669964</v>
      </c>
      <c r="K354">
        <f>1/(COUNT(SimDataScen!$C$9:$C$508)-1)+$K$353</f>
        <v>0.69539078156312684</v>
      </c>
      <c r="L354">
        <f>SMALL(SimDataScen!$D$9:$D$508,348)</f>
        <v>163.15854673402512</v>
      </c>
      <c r="M354">
        <f>1/(COUNT(SimDataScen!$D$9:$D$508)-1)+$M$353</f>
        <v>0.69539078156312684</v>
      </c>
      <c r="N354">
        <f>SMALL(SimDataScen!$E$9:$E$508,348)</f>
        <v>83.112132856110577</v>
      </c>
      <c r="O354">
        <f>1/(COUNT(SimDataScen!$E$9:$E$508)-1)+$O$353</f>
        <v>0.69539078156312684</v>
      </c>
    </row>
    <row r="355" spans="1:15">
      <c r="A355">
        <v>347</v>
      </c>
      <c r="B355">
        <v>228.01311434301789</v>
      </c>
      <c r="C355">
        <v>150.81408832497715</v>
      </c>
      <c r="D355">
        <v>73.61506230693638</v>
      </c>
      <c r="E355">
        <v>-3.5839637111043601</v>
      </c>
      <c r="H355">
        <f>SMALL(SimDataScen!$B$9:$B$508,349)</f>
        <v>325.29010419852943</v>
      </c>
      <c r="I355">
        <f>1/(COUNT(SimDataScen!$B$9:$B$508)-1)+$I$354</f>
        <v>0.6973947895791589</v>
      </c>
      <c r="J355">
        <f>SMALL(SimDataScen!$C$9:$C$508,349)</f>
        <v>245.16552668669408</v>
      </c>
      <c r="K355">
        <f>1/(COUNT(SimDataScen!$C$9:$C$508)-1)+$K$354</f>
        <v>0.6973947895791589</v>
      </c>
      <c r="L355">
        <f>SMALL(SimDataScen!$D$9:$D$508,349)</f>
        <v>163.7757300700261</v>
      </c>
      <c r="M355">
        <f>1/(COUNT(SimDataScen!$D$9:$D$508)-1)+$M$354</f>
        <v>0.6973947895791589</v>
      </c>
      <c r="N355">
        <f>SMALL(SimDataScen!$E$9:$E$508,349)</f>
        <v>83.435859119349487</v>
      </c>
      <c r="O355">
        <f>1/(COUNT(SimDataScen!$E$9:$E$508)-1)+$O$354</f>
        <v>0.6973947895791589</v>
      </c>
    </row>
    <row r="356" spans="1:15">
      <c r="A356">
        <v>348</v>
      </c>
      <c r="B356">
        <v>298.62819189400739</v>
      </c>
      <c r="C356">
        <v>217.73145141377051</v>
      </c>
      <c r="D356">
        <v>136.83471093353361</v>
      </c>
      <c r="E356">
        <v>55.937970453296742</v>
      </c>
      <c r="H356">
        <f>SMALL(SimDataScen!$B$9:$B$508,350)</f>
        <v>326.1922236019858</v>
      </c>
      <c r="I356">
        <f>1/(COUNT(SimDataScen!$B$9:$B$508)-1)+$I$355</f>
        <v>0.69939879759519097</v>
      </c>
      <c r="J356">
        <f>SMALL(SimDataScen!$C$9:$C$508,350)</f>
        <v>245.70134351072136</v>
      </c>
      <c r="K356">
        <f>1/(COUNT(SimDataScen!$C$9:$C$508)-1)+$K$355</f>
        <v>0.69939879759519097</v>
      </c>
      <c r="L356">
        <f>SMALL(SimDataScen!$D$9:$D$508,350)</f>
        <v>164.1388297714023</v>
      </c>
      <c r="M356">
        <f>1/(COUNT(SimDataScen!$D$9:$D$508)-1)+$M$355</f>
        <v>0.69939879759519097</v>
      </c>
      <c r="N356">
        <f>SMALL(SimDataScen!$E$9:$E$508,350)</f>
        <v>83.828592964914236</v>
      </c>
      <c r="O356">
        <f>1/(COUNT(SimDataScen!$E$9:$E$508)-1)+$O$355</f>
        <v>0.69939879759519097</v>
      </c>
    </row>
    <row r="357" spans="1:15">
      <c r="A357">
        <v>349</v>
      </c>
      <c r="B357">
        <v>482.09605504415242</v>
      </c>
      <c r="C357">
        <v>394.41583151244669</v>
      </c>
      <c r="D357">
        <v>306.73560798074089</v>
      </c>
      <c r="E357">
        <v>219.05538444903513</v>
      </c>
      <c r="H357">
        <f>SMALL(SimDataScen!$B$9:$B$508,351)</f>
        <v>327.62695695141656</v>
      </c>
      <c r="I357">
        <f>1/(COUNT(SimDataScen!$B$9:$B$508)-1)+$I$356</f>
        <v>0.70140280561122303</v>
      </c>
      <c r="J357">
        <f>SMALL(SimDataScen!$C$9:$C$508,351)</f>
        <v>245.74785247679011</v>
      </c>
      <c r="K357">
        <f>1/(COUNT(SimDataScen!$C$9:$C$508)-1)+$K$356</f>
        <v>0.70140280561122303</v>
      </c>
      <c r="L357">
        <f>SMALL(SimDataScen!$D$9:$D$508,351)</f>
        <v>164.19623197601453</v>
      </c>
      <c r="M357">
        <f>1/(COUNT(SimDataScen!$D$9:$D$508)-1)+$M$356</f>
        <v>0.70140280561122303</v>
      </c>
      <c r="N357">
        <f>SMALL(SimDataScen!$E$9:$E$508,351)</f>
        <v>84.424676664197904</v>
      </c>
      <c r="O357">
        <f>1/(COUNT(SimDataScen!$E$9:$E$508)-1)+$O$356</f>
        <v>0.70140280561122303</v>
      </c>
    </row>
    <row r="358" spans="1:15">
      <c r="A358">
        <v>350</v>
      </c>
      <c r="B358">
        <v>381.27370576706147</v>
      </c>
      <c r="C358">
        <v>296.21269699358561</v>
      </c>
      <c r="D358">
        <v>211.1516882201098</v>
      </c>
      <c r="E358">
        <v>126.09067944663397</v>
      </c>
      <c r="H358">
        <f>SMALL(SimDataScen!$B$9:$B$508,352)</f>
        <v>329.10441286832554</v>
      </c>
      <c r="I358">
        <f>1/(COUNT(SimDataScen!$B$9:$B$508)-1)+$I$357</f>
        <v>0.7034068136272551</v>
      </c>
      <c r="J358">
        <f>SMALL(SimDataScen!$C$9:$C$508,352)</f>
        <v>245.82906736685086</v>
      </c>
      <c r="K358">
        <f>1/(COUNT(SimDataScen!$C$9:$C$508)-1)+$K$357</f>
        <v>0.7034068136272551</v>
      </c>
      <c r="L358">
        <f>SMALL(SimDataScen!$D$9:$D$508,352)</f>
        <v>164.74598728884334</v>
      </c>
      <c r="M358">
        <f>1/(COUNT(SimDataScen!$D$9:$D$508)-1)+$M$357</f>
        <v>0.7034068136272551</v>
      </c>
      <c r="N358">
        <f>SMALL(SimDataScen!$E$9:$E$508,352)</f>
        <v>84.568781549645479</v>
      </c>
      <c r="O358">
        <f>1/(COUNT(SimDataScen!$E$9:$E$508)-1)+$O$357</f>
        <v>0.7034068136272551</v>
      </c>
    </row>
    <row r="359" spans="1:15">
      <c r="A359">
        <v>351</v>
      </c>
      <c r="B359">
        <v>231.17806649767101</v>
      </c>
      <c r="C359">
        <v>148.25799589518158</v>
      </c>
      <c r="D359">
        <v>65.33792529269212</v>
      </c>
      <c r="E359">
        <v>-17.58214530979734</v>
      </c>
      <c r="H359">
        <f>SMALL(SimDataScen!$B$9:$B$508,353)</f>
        <v>329.1499835732443</v>
      </c>
      <c r="I359">
        <f>1/(COUNT(SimDataScen!$B$9:$B$508)-1)+$I$358</f>
        <v>0.70541082164328717</v>
      </c>
      <c r="J359">
        <f>SMALL(SimDataScen!$C$9:$C$508,353)</f>
        <v>245.84394029594841</v>
      </c>
      <c r="K359">
        <f>1/(COUNT(SimDataScen!$C$9:$C$508)-1)+$K$358</f>
        <v>0.70541082164328717</v>
      </c>
      <c r="L359">
        <f>SMALL(SimDataScen!$D$9:$D$508,353)</f>
        <v>165.05239132149632</v>
      </c>
      <c r="M359">
        <f>1/(COUNT(SimDataScen!$D$9:$D$508)-1)+$M$358</f>
        <v>0.70541082164328717</v>
      </c>
      <c r="N359">
        <f>SMALL(SimDataScen!$E$9:$E$508,353)</f>
        <v>84.616012921481513</v>
      </c>
      <c r="O359">
        <f>1/(COUNT(SimDataScen!$E$9:$E$508)-1)+$O$358</f>
        <v>0.70541082164328717</v>
      </c>
    </row>
    <row r="360" spans="1:15">
      <c r="A360">
        <v>352</v>
      </c>
      <c r="B360">
        <v>228.62721822614793</v>
      </c>
      <c r="C360">
        <v>152.83613274003795</v>
      </c>
      <c r="D360">
        <v>77.045047253927933</v>
      </c>
      <c r="E360">
        <v>1.2539617678179411</v>
      </c>
      <c r="H360">
        <f>SMALL(SimDataScen!$B$9:$B$508,354)</f>
        <v>329.21300653161245</v>
      </c>
      <c r="I360">
        <f>1/(COUNT(SimDataScen!$B$9:$B$508)-1)+$I$359</f>
        <v>0.70741482965931923</v>
      </c>
      <c r="J360">
        <f>SMALL(SimDataScen!$C$9:$C$508,354)</f>
        <v>246.62487829132357</v>
      </c>
      <c r="K360">
        <f>1/(COUNT(SimDataScen!$C$9:$C$508)-1)+$K$359</f>
        <v>0.70741482965931923</v>
      </c>
      <c r="L360">
        <f>SMALL(SimDataScen!$D$9:$D$508,354)</f>
        <v>165.70798475197441</v>
      </c>
      <c r="M360">
        <f>1/(COUNT(SimDataScen!$D$9:$D$508)-1)+$M$359</f>
        <v>0.70741482965931923</v>
      </c>
      <c r="N360">
        <f>SMALL(SimDataScen!$E$9:$E$508,354)</f>
        <v>85.539332841070433</v>
      </c>
      <c r="O360">
        <f>1/(COUNT(SimDataScen!$E$9:$E$508)-1)+$O$359</f>
        <v>0.70741482965931923</v>
      </c>
    </row>
    <row r="361" spans="1:15">
      <c r="A361">
        <v>353</v>
      </c>
      <c r="B361">
        <v>473.7937150749583</v>
      </c>
      <c r="C361">
        <v>383.06348260518041</v>
      </c>
      <c r="D361">
        <v>292.33325013540252</v>
      </c>
      <c r="E361">
        <v>201.60301766562461</v>
      </c>
      <c r="H361">
        <f>SMALL(SimDataScen!$B$9:$B$508,355)</f>
        <v>329.28454590266273</v>
      </c>
      <c r="I361">
        <f>1/(COUNT(SimDataScen!$B$9:$B$508)-1)+$I$360</f>
        <v>0.7094188376753513</v>
      </c>
      <c r="J361">
        <f>SMALL(SimDataScen!$C$9:$C$508,355)</f>
        <v>247.4367229167184</v>
      </c>
      <c r="K361">
        <f>1/(COUNT(SimDataScen!$C$9:$C$508)-1)+$K$360</f>
        <v>0.7094188376753513</v>
      </c>
      <c r="L361">
        <f>SMALL(SimDataScen!$D$9:$D$508,355)</f>
        <v>166.61141582305555</v>
      </c>
      <c r="M361">
        <f>1/(COUNT(SimDataScen!$D$9:$D$508)-1)+$M$360</f>
        <v>0.7094188376753513</v>
      </c>
      <c r="N361">
        <f>SMALL(SimDataScen!$E$9:$E$508,355)</f>
        <v>86.360374452073046</v>
      </c>
      <c r="O361">
        <f>1/(COUNT(SimDataScen!$E$9:$E$508)-1)+$O$360</f>
        <v>0.7094188376753513</v>
      </c>
    </row>
    <row r="362" spans="1:15">
      <c r="A362">
        <v>354</v>
      </c>
      <c r="B362">
        <v>266.91885815630019</v>
      </c>
      <c r="C362">
        <v>188.51734788145615</v>
      </c>
      <c r="D362">
        <v>110.11583760661213</v>
      </c>
      <c r="E362">
        <v>31.714327331768118</v>
      </c>
      <c r="H362">
        <f>SMALL(SimDataScen!$B$9:$B$508,356)</f>
        <v>330.09120984862199</v>
      </c>
      <c r="I362">
        <f>1/(COUNT(SimDataScen!$B$9:$B$508)-1)+$I$361</f>
        <v>0.71142284569138337</v>
      </c>
      <c r="J362">
        <f>SMALL(SimDataScen!$C$9:$C$508,356)</f>
        <v>248.47384499304917</v>
      </c>
      <c r="K362">
        <f>1/(COUNT(SimDataScen!$C$9:$C$508)-1)+$K$361</f>
        <v>0.71142284569138337</v>
      </c>
      <c r="L362">
        <f>SMALL(SimDataScen!$D$9:$D$508,356)</f>
        <v>166.85139092954944</v>
      </c>
      <c r="M362">
        <f>1/(COUNT(SimDataScen!$D$9:$D$508)-1)+$M$361</f>
        <v>0.71142284569138337</v>
      </c>
      <c r="N362">
        <f>SMALL(SimDataScen!$E$9:$E$508,356)</f>
        <v>86.411948094873736</v>
      </c>
      <c r="O362">
        <f>1/(COUNT(SimDataScen!$E$9:$E$508)-1)+$O$361</f>
        <v>0.71142284569138337</v>
      </c>
    </row>
    <row r="363" spans="1:15">
      <c r="A363">
        <v>355</v>
      </c>
      <c r="B363">
        <v>180.44899757573569</v>
      </c>
      <c r="C363">
        <v>97.417255516519845</v>
      </c>
      <c r="D363">
        <v>14.385513457304</v>
      </c>
      <c r="E363">
        <v>-68.646228601911844</v>
      </c>
      <c r="H363">
        <f>SMALL(SimDataScen!$B$9:$B$508,357)</f>
        <v>330.12745854459348</v>
      </c>
      <c r="I363">
        <f>1/(COUNT(SimDataScen!$B$9:$B$508)-1)+$I$362</f>
        <v>0.71342685370741543</v>
      </c>
      <c r="J363">
        <f>SMALL(SimDataScen!$C$9:$C$508,357)</f>
        <v>249.21242519782032</v>
      </c>
      <c r="K363">
        <f>1/(COUNT(SimDataScen!$C$9:$C$508)-1)+$K$362</f>
        <v>0.71342685370741543</v>
      </c>
      <c r="L363">
        <f>SMALL(SimDataScen!$D$9:$D$508,357)</f>
        <v>168.27152368506216</v>
      </c>
      <c r="M363">
        <f>1/(COUNT(SimDataScen!$D$9:$D$508)-1)+$M$362</f>
        <v>0.71342685370741543</v>
      </c>
      <c r="N363">
        <f>SMALL(SimDataScen!$E$9:$E$508,357)</f>
        <v>87.322567865334491</v>
      </c>
      <c r="O363">
        <f>1/(COUNT(SimDataScen!$E$9:$E$508)-1)+$O$362</f>
        <v>0.71342685370741543</v>
      </c>
    </row>
    <row r="364" spans="1:15">
      <c r="A364">
        <v>356</v>
      </c>
      <c r="B364">
        <v>201.73785772483583</v>
      </c>
      <c r="C364">
        <v>119.37160724585024</v>
      </c>
      <c r="D364">
        <v>37.005356766864622</v>
      </c>
      <c r="E364">
        <v>-45.360893712120969</v>
      </c>
      <c r="H364">
        <f>SMALL(SimDataScen!$B$9:$B$508,358)</f>
        <v>330.15332671057848</v>
      </c>
      <c r="I364">
        <f>1/(COUNT(SimDataScen!$B$9:$B$508)-1)+$I$363</f>
        <v>0.7154308617234475</v>
      </c>
      <c r="J364">
        <f>SMALL(SimDataScen!$C$9:$C$508,358)</f>
        <v>249.57569676817229</v>
      </c>
      <c r="K364">
        <f>1/(COUNT(SimDataScen!$C$9:$C$508)-1)+$K$363</f>
        <v>0.7154308617234475</v>
      </c>
      <c r="L364">
        <f>SMALL(SimDataScen!$D$9:$D$508,358)</f>
        <v>168.44134676111022</v>
      </c>
      <c r="M364">
        <f>1/(COUNT(SimDataScen!$D$9:$D$508)-1)+$M$363</f>
        <v>0.7154308617234475</v>
      </c>
      <c r="N364">
        <f>SMALL(SimDataScen!$E$9:$E$508,358)</f>
        <v>87.330622172304004</v>
      </c>
      <c r="O364">
        <f>1/(COUNT(SimDataScen!$E$9:$E$508)-1)+$O$363</f>
        <v>0.7154308617234475</v>
      </c>
    </row>
    <row r="365" spans="1:15">
      <c r="A365">
        <v>357</v>
      </c>
      <c r="B365">
        <v>312.75359302219488</v>
      </c>
      <c r="C365">
        <v>228.00385892093686</v>
      </c>
      <c r="D365">
        <v>143.25412481967882</v>
      </c>
      <c r="E365">
        <v>58.504390718420808</v>
      </c>
      <c r="H365">
        <f>SMALL(SimDataScen!$B$9:$B$508,359)</f>
        <v>331.64232754002717</v>
      </c>
      <c r="I365">
        <f>1/(COUNT(SimDataScen!$B$9:$B$508)-1)+$I$364</f>
        <v>0.71743486973947956</v>
      </c>
      <c r="J365">
        <f>SMALL(SimDataScen!$C$9:$C$508,359)</f>
        <v>249.74262679027254</v>
      </c>
      <c r="K365">
        <f>1/(COUNT(SimDataScen!$C$9:$C$508)-1)+$K$364</f>
        <v>0.71743486973947956</v>
      </c>
      <c r="L365">
        <f>SMALL(SimDataScen!$D$9:$D$508,359)</f>
        <v>169.23919039118792</v>
      </c>
      <c r="M365">
        <f>1/(COUNT(SimDataScen!$D$9:$D$508)-1)+$M$364</f>
        <v>0.71743486973947956</v>
      </c>
      <c r="N365">
        <f>SMALL(SimDataScen!$E$9:$E$508,359)</f>
        <v>87.438240257014286</v>
      </c>
      <c r="O365">
        <f>1/(COUNT(SimDataScen!$E$9:$E$508)-1)+$O$364</f>
        <v>0.71743486973947956</v>
      </c>
    </row>
    <row r="366" spans="1:15">
      <c r="A366">
        <v>358</v>
      </c>
      <c r="B366">
        <v>423.84113484303543</v>
      </c>
      <c r="C366">
        <v>340.84391863602428</v>
      </c>
      <c r="D366">
        <v>257.84670242901313</v>
      </c>
      <c r="E366">
        <v>174.84948622200196</v>
      </c>
      <c r="H366">
        <f>SMALL(SimDataScen!$B$9:$B$508,360)</f>
        <v>332.02756307491376</v>
      </c>
      <c r="I366">
        <f>1/(COUNT(SimDataScen!$B$9:$B$508)-1)+$I$365</f>
        <v>0.71943887775551163</v>
      </c>
      <c r="J366">
        <f>SMALL(SimDataScen!$C$9:$C$508,360)</f>
        <v>251.58913054806817</v>
      </c>
      <c r="K366">
        <f>1/(COUNT(SimDataScen!$C$9:$C$508)-1)+$K$365</f>
        <v>0.71943887775551163</v>
      </c>
      <c r="L366">
        <f>SMALL(SimDataScen!$D$9:$D$508,360)</f>
        <v>169.51368540254123</v>
      </c>
      <c r="M366">
        <f>1/(COUNT(SimDataScen!$D$9:$D$508)-1)+$M$365</f>
        <v>0.71943887775551163</v>
      </c>
      <c r="N366">
        <f>SMALL(SimDataScen!$E$9:$E$508,360)</f>
        <v>87.641041008007534</v>
      </c>
      <c r="O366">
        <f>1/(COUNT(SimDataScen!$E$9:$E$508)-1)+$O$365</f>
        <v>0.71943887775551163</v>
      </c>
    </row>
    <row r="367" spans="1:15">
      <c r="A367">
        <v>359</v>
      </c>
      <c r="B367">
        <v>119.88751397428052</v>
      </c>
      <c r="C367">
        <v>51.911665343744907</v>
      </c>
      <c r="D367">
        <v>-16.064183286790708</v>
      </c>
      <c r="E367">
        <v>-84.040031917326331</v>
      </c>
      <c r="H367">
        <f>SMALL(SimDataScen!$B$9:$B$508,361)</f>
        <v>333.44340878437015</v>
      </c>
      <c r="I367">
        <f>1/(COUNT(SimDataScen!$B$9:$B$508)-1)+$I$366</f>
        <v>0.7214428857715437</v>
      </c>
      <c r="J367">
        <f>SMALL(SimDataScen!$C$9:$C$508,361)</f>
        <v>252.11800633030282</v>
      </c>
      <c r="K367">
        <f>1/(COUNT(SimDataScen!$C$9:$C$508)-1)+$K$366</f>
        <v>0.7214428857715437</v>
      </c>
      <c r="L367">
        <f>SMALL(SimDataScen!$D$9:$D$508,361)</f>
        <v>169.91321486069342</v>
      </c>
      <c r="M367">
        <f>1/(COUNT(SimDataScen!$D$9:$D$508)-1)+$M$366</f>
        <v>0.7214428857715437</v>
      </c>
      <c r="N367">
        <f>SMALL(SimDataScen!$E$9:$E$508,361)</f>
        <v>87.954929382308791</v>
      </c>
      <c r="O367">
        <f>1/(COUNT(SimDataScen!$E$9:$E$508)-1)+$O$366</f>
        <v>0.7214428857715437</v>
      </c>
    </row>
    <row r="368" spans="1:15">
      <c r="A368">
        <v>360</v>
      </c>
      <c r="B368">
        <v>250.47580539078896</v>
      </c>
      <c r="C368">
        <v>170.59182866852279</v>
      </c>
      <c r="D368">
        <v>90.707851946256639</v>
      </c>
      <c r="E368">
        <v>10.823875223990484</v>
      </c>
      <c r="H368">
        <f>SMALL(SimDataScen!$B$9:$B$508,362)</f>
        <v>333.66457569359511</v>
      </c>
      <c r="I368">
        <f>1/(COUNT(SimDataScen!$B$9:$B$508)-1)+$I$367</f>
        <v>0.72344689378757576</v>
      </c>
      <c r="J368">
        <f>SMALL(SimDataScen!$C$9:$C$508,362)</f>
        <v>252.148315185841</v>
      </c>
      <c r="K368">
        <f>1/(COUNT(SimDataScen!$C$9:$C$508)-1)+$K$367</f>
        <v>0.72344689378757576</v>
      </c>
      <c r="L368">
        <f>SMALL(SimDataScen!$D$9:$D$508,362)</f>
        <v>171.42405056544342</v>
      </c>
      <c r="M368">
        <f>1/(COUNT(SimDataScen!$D$9:$D$508)-1)+$M$367</f>
        <v>0.72344689378757576</v>
      </c>
      <c r="N368">
        <f>SMALL(SimDataScen!$E$9:$E$508,362)</f>
        <v>89.518078803753326</v>
      </c>
      <c r="O368">
        <f>1/(COUNT(SimDataScen!$E$9:$E$508)-1)+$O$367</f>
        <v>0.72344689378757576</v>
      </c>
    </row>
    <row r="369" spans="1:15">
      <c r="A369">
        <v>361</v>
      </c>
      <c r="B369">
        <v>352.98378000241689</v>
      </c>
      <c r="C369">
        <v>267.06030585307894</v>
      </c>
      <c r="D369">
        <v>181.13683170374105</v>
      </c>
      <c r="E369">
        <v>95.21335755440316</v>
      </c>
      <c r="H369">
        <f>SMALL(SimDataScen!$B$9:$B$508,363)</f>
        <v>333.98493517406757</v>
      </c>
      <c r="I369">
        <f>1/(COUNT(SimDataScen!$B$9:$B$508)-1)+$I$368</f>
        <v>0.72545090180360783</v>
      </c>
      <c r="J369">
        <f>SMALL(SimDataScen!$C$9:$C$508,363)</f>
        <v>252.69944072081893</v>
      </c>
      <c r="K369">
        <f>1/(COUNT(SimDataScen!$C$9:$C$508)-1)+$K$368</f>
        <v>0.72545090180360783</v>
      </c>
      <c r="L369">
        <f>SMALL(SimDataScen!$D$9:$D$508,363)</f>
        <v>171.90770084543237</v>
      </c>
      <c r="M369">
        <f>1/(COUNT(SimDataScen!$D$9:$D$508)-1)+$M$368</f>
        <v>0.72545090180360783</v>
      </c>
      <c r="N369">
        <f>SMALL(SimDataScen!$E$9:$E$508,363)</f>
        <v>89.77214448624045</v>
      </c>
      <c r="O369">
        <f>1/(COUNT(SimDataScen!$E$9:$E$508)-1)+$O$368</f>
        <v>0.72545090180360783</v>
      </c>
    </row>
    <row r="370" spans="1:15">
      <c r="A370">
        <v>362</v>
      </c>
      <c r="B370">
        <v>427.25952583243799</v>
      </c>
      <c r="C370">
        <v>345.74007230539576</v>
      </c>
      <c r="D370">
        <v>264.22061877835353</v>
      </c>
      <c r="E370">
        <v>182.70116525131127</v>
      </c>
      <c r="H370">
        <f>SMALL(SimDataScen!$B$9:$B$508,364)</f>
        <v>334.4284567374973</v>
      </c>
      <c r="I370">
        <f>1/(COUNT(SimDataScen!$B$9:$B$508)-1)+$I$369</f>
        <v>0.72745490981963989</v>
      </c>
      <c r="J370">
        <f>SMALL(SimDataScen!$C$9:$C$508,364)</f>
        <v>253.20242077035789</v>
      </c>
      <c r="K370">
        <f>1/(COUNT(SimDataScen!$C$9:$C$508)-1)+$K$369</f>
        <v>0.72745490981963989</v>
      </c>
      <c r="L370">
        <f>SMALL(SimDataScen!$D$9:$D$508,364)</f>
        <v>172.23244467706564</v>
      </c>
      <c r="M370">
        <f>1/(COUNT(SimDataScen!$D$9:$D$508)-1)+$M$369</f>
        <v>0.72745490981963989</v>
      </c>
      <c r="N370">
        <f>SMALL(SimDataScen!$E$9:$E$508,364)</f>
        <v>90.385996405680004</v>
      </c>
      <c r="O370">
        <f>1/(COUNT(SimDataScen!$E$9:$E$508)-1)+$O$369</f>
        <v>0.72745490981963989</v>
      </c>
    </row>
    <row r="371" spans="1:15">
      <c r="A371">
        <v>363</v>
      </c>
      <c r="B371">
        <v>339.9048732334839</v>
      </c>
      <c r="C371">
        <v>257.49736945469112</v>
      </c>
      <c r="D371">
        <v>175.08986567589827</v>
      </c>
      <c r="E371">
        <v>92.682361897105466</v>
      </c>
      <c r="H371">
        <f>SMALL(SimDataScen!$B$9:$B$508,365)</f>
        <v>334.82662150311751</v>
      </c>
      <c r="I371">
        <f>1/(COUNT(SimDataScen!$B$9:$B$508)-1)+$I$370</f>
        <v>0.72945891783567196</v>
      </c>
      <c r="J371">
        <f>SMALL(SimDataScen!$C$9:$C$508,365)</f>
        <v>253.41448162651312</v>
      </c>
      <c r="K371">
        <f>1/(COUNT(SimDataScen!$C$9:$C$508)-1)+$K$370</f>
        <v>0.72945891783567196</v>
      </c>
      <c r="L371">
        <f>SMALL(SimDataScen!$D$9:$D$508,365)</f>
        <v>173.75655390161063</v>
      </c>
      <c r="M371">
        <f>1/(COUNT(SimDataScen!$D$9:$D$508)-1)+$M$370</f>
        <v>0.72945891783567196</v>
      </c>
      <c r="N371">
        <f>SMALL(SimDataScen!$E$9:$E$508,365)</f>
        <v>91.739170360119886</v>
      </c>
      <c r="O371">
        <f>1/(COUNT(SimDataScen!$E$9:$E$508)-1)+$O$370</f>
        <v>0.72945891783567196</v>
      </c>
    </row>
    <row r="372" spans="1:15">
      <c r="A372">
        <v>364</v>
      </c>
      <c r="B372">
        <v>280.70123856098115</v>
      </c>
      <c r="C372">
        <v>191.56787179037292</v>
      </c>
      <c r="D372">
        <v>102.43450501976469</v>
      </c>
      <c r="E372">
        <v>13.301138249156452</v>
      </c>
      <c r="H372">
        <f>SMALL(SimDataScen!$B$9:$B$508,366)</f>
        <v>334.99682226941769</v>
      </c>
      <c r="I372">
        <f>1/(COUNT(SimDataScen!$B$9:$B$508)-1)+$I$371</f>
        <v>0.73146292585170403</v>
      </c>
      <c r="J372">
        <f>SMALL(SimDataScen!$C$9:$C$508,366)</f>
        <v>254.07889294845131</v>
      </c>
      <c r="K372">
        <f>1/(COUNT(SimDataScen!$C$9:$C$508)-1)+$K$371</f>
        <v>0.73146292585170403</v>
      </c>
      <c r="L372">
        <f>SMALL(SimDataScen!$D$9:$D$508,366)</f>
        <v>174.31411492745667</v>
      </c>
      <c r="M372">
        <f>1/(COUNT(SimDataScen!$D$9:$D$508)-1)+$M$371</f>
        <v>0.73146292585170403</v>
      </c>
      <c r="N372">
        <f>SMALL(SimDataScen!$E$9:$E$508,366)</f>
        <v>91.774135445520841</v>
      </c>
      <c r="O372">
        <f>1/(COUNT(SimDataScen!$E$9:$E$508)-1)+$O$371</f>
        <v>0.73146292585170403</v>
      </c>
    </row>
    <row r="373" spans="1:15">
      <c r="A373">
        <v>365</v>
      </c>
      <c r="B373">
        <v>253.71203466886544</v>
      </c>
      <c r="C373">
        <v>174.59425146353163</v>
      </c>
      <c r="D373">
        <v>95.476468258197784</v>
      </c>
      <c r="E373">
        <v>16.358685052863962</v>
      </c>
      <c r="H373">
        <f>SMALL(SimDataScen!$B$9:$B$508,367)</f>
        <v>335.38927085938604</v>
      </c>
      <c r="I373">
        <f>1/(COUNT(SimDataScen!$B$9:$B$508)-1)+$I$372</f>
        <v>0.73346693386773609</v>
      </c>
      <c r="J373">
        <f>SMALL(SimDataScen!$C$9:$C$508,367)</f>
        <v>254.44205037819614</v>
      </c>
      <c r="K373">
        <f>1/(COUNT(SimDataScen!$C$9:$C$508)-1)+$K$372</f>
        <v>0.73346693386773609</v>
      </c>
      <c r="L373">
        <f>SMALL(SimDataScen!$D$9:$D$508,367)</f>
        <v>174.37727846580202</v>
      </c>
      <c r="M373">
        <f>1/(COUNT(SimDataScen!$D$9:$D$508)-1)+$M$372</f>
        <v>0.73346693386773609</v>
      </c>
      <c r="N373">
        <f>SMALL(SimDataScen!$E$9:$E$508,367)</f>
        <v>92.682361897105466</v>
      </c>
      <c r="O373">
        <f>1/(COUNT(SimDataScen!$E$9:$E$508)-1)+$O$372</f>
        <v>0.73346693386773609</v>
      </c>
    </row>
    <row r="374" spans="1:15">
      <c r="A374">
        <v>366</v>
      </c>
      <c r="B374">
        <v>302.1366196217906</v>
      </c>
      <c r="C374">
        <v>222.13089092224425</v>
      </c>
      <c r="D374">
        <v>142.1251622226979</v>
      </c>
      <c r="E374">
        <v>62.119433523151542</v>
      </c>
      <c r="H374">
        <f>SMALL(SimDataScen!$B$9:$B$508,368)</f>
        <v>335.92534121983698</v>
      </c>
      <c r="I374">
        <f>1/(COUNT(SimDataScen!$B$9:$B$508)-1)+$I$373</f>
        <v>0.73547094188376816</v>
      </c>
      <c r="J374">
        <f>SMALL(SimDataScen!$C$9:$C$508,368)</f>
        <v>254.79137693974329</v>
      </c>
      <c r="K374">
        <f>1/(COUNT(SimDataScen!$C$9:$C$508)-1)+$K$373</f>
        <v>0.73547094188376816</v>
      </c>
      <c r="L374">
        <f>SMALL(SimDataScen!$D$9:$D$508,368)</f>
        <v>174.59344413244423</v>
      </c>
      <c r="M374">
        <f>1/(COUNT(SimDataScen!$D$9:$D$508)-1)+$M$373</f>
        <v>0.73547094188376816</v>
      </c>
      <c r="N374">
        <f>SMALL(SimDataScen!$E$9:$E$508,368)</f>
        <v>94.440649573070829</v>
      </c>
      <c r="O374">
        <f>1/(COUNT(SimDataScen!$E$9:$E$508)-1)+$O$373</f>
        <v>0.73547094188376816</v>
      </c>
    </row>
    <row r="375" spans="1:15">
      <c r="A375">
        <v>367</v>
      </c>
      <c r="B375">
        <v>155.20330567660986</v>
      </c>
      <c r="C375">
        <v>82.335424658716519</v>
      </c>
      <c r="D375">
        <v>9.4675436408231803</v>
      </c>
      <c r="E375">
        <v>-63.400337377070159</v>
      </c>
      <c r="H375">
        <f>SMALL(SimDataScen!$B$9:$B$508,369)</f>
        <v>336.91574839233283</v>
      </c>
      <c r="I375">
        <f>1/(COUNT(SimDataScen!$B$9:$B$508)-1)+$I$374</f>
        <v>0.73747494989980023</v>
      </c>
      <c r="J375">
        <f>SMALL(SimDataScen!$C$9:$C$508,369)</f>
        <v>255.07306376394763</v>
      </c>
      <c r="K375">
        <f>1/(COUNT(SimDataScen!$C$9:$C$508)-1)+$K$374</f>
        <v>0.73747494989980023</v>
      </c>
      <c r="L375">
        <f>SMALL(SimDataScen!$D$9:$D$508,369)</f>
        <v>174.75685666850922</v>
      </c>
      <c r="M375">
        <f>1/(COUNT(SimDataScen!$D$9:$D$508)-1)+$M$374</f>
        <v>0.73747494989980023</v>
      </c>
      <c r="N375">
        <f>SMALL(SimDataScen!$E$9:$E$508,369)</f>
        <v>94.813667082402333</v>
      </c>
      <c r="O375">
        <f>1/(COUNT(SimDataScen!$E$9:$E$508)-1)+$O$374</f>
        <v>0.73747494989980023</v>
      </c>
    </row>
    <row r="376" spans="1:15">
      <c r="A376">
        <v>368</v>
      </c>
      <c r="B376">
        <v>208.7192531556671</v>
      </c>
      <c r="C376">
        <v>136.71063128172176</v>
      </c>
      <c r="D376">
        <v>64.70200940777643</v>
      </c>
      <c r="E376">
        <v>-7.3066124661689003</v>
      </c>
      <c r="H376">
        <f>SMALL(SimDataScen!$B$9:$B$508,370)</f>
        <v>337.25005052298314</v>
      </c>
      <c r="I376">
        <f>1/(COUNT(SimDataScen!$B$9:$B$508)-1)+$I$375</f>
        <v>0.73947895791583229</v>
      </c>
      <c r="J376">
        <f>SMALL(SimDataScen!$C$9:$C$508,370)</f>
        <v>255.69889133409623</v>
      </c>
      <c r="K376">
        <f>1/(COUNT(SimDataScen!$C$9:$C$508)-1)+$K$375</f>
        <v>0.73947895791583229</v>
      </c>
      <c r="L376">
        <f>SMALL(SimDataScen!$D$9:$D$508,370)</f>
        <v>174.89916558232471</v>
      </c>
      <c r="M376">
        <f>1/(COUNT(SimDataScen!$D$9:$D$508)-1)+$M$375</f>
        <v>0.73947895791583229</v>
      </c>
      <c r="N376">
        <f>SMALL(SimDataScen!$E$9:$E$508,370)</f>
        <v>95.21335755440316</v>
      </c>
      <c r="O376">
        <f>1/(COUNT(SimDataScen!$E$9:$E$508)-1)+$O$375</f>
        <v>0.73947895791583229</v>
      </c>
    </row>
    <row r="377" spans="1:15">
      <c r="A377">
        <v>369</v>
      </c>
      <c r="B377">
        <v>482.1427629879189</v>
      </c>
      <c r="C377">
        <v>394.74610185384387</v>
      </c>
      <c r="D377">
        <v>307.34944071976884</v>
      </c>
      <c r="E377">
        <v>219.95277958569383</v>
      </c>
      <c r="H377">
        <f>SMALL(SimDataScen!$B$9:$B$508,371)</f>
        <v>337.35073480467423</v>
      </c>
      <c r="I377">
        <f>1/(COUNT(SimDataScen!$B$9:$B$508)-1)+$I$376</f>
        <v>0.74148296593186436</v>
      </c>
      <c r="J377">
        <f>SMALL(SimDataScen!$C$9:$C$508,371)</f>
        <v>256.88905949479346</v>
      </c>
      <c r="K377">
        <f>1/(COUNT(SimDataScen!$C$9:$C$508)-1)+$K$376</f>
        <v>0.74148296593186436</v>
      </c>
      <c r="L377">
        <f>SMALL(SimDataScen!$D$9:$D$508,371)</f>
        <v>174.91306758579708</v>
      </c>
      <c r="M377">
        <f>1/(COUNT(SimDataScen!$D$9:$D$508)-1)+$M$376</f>
        <v>0.74148296593186436</v>
      </c>
      <c r="N377">
        <f>SMALL(SimDataScen!$E$9:$E$508,371)</f>
        <v>95.341556697815548</v>
      </c>
      <c r="O377">
        <f>1/(COUNT(SimDataScen!$E$9:$E$508)-1)+$O$376</f>
        <v>0.74148296593186436</v>
      </c>
    </row>
    <row r="378" spans="1:15">
      <c r="A378">
        <v>370</v>
      </c>
      <c r="B378">
        <v>249.45814754666026</v>
      </c>
      <c r="C378">
        <v>166.36830188396209</v>
      </c>
      <c r="D378">
        <v>83.278456221263923</v>
      </c>
      <c r="E378">
        <v>0.18861055856575604</v>
      </c>
      <c r="H378">
        <f>SMALL(SimDataScen!$B$9:$B$508,372)</f>
        <v>339.46400406213024</v>
      </c>
      <c r="I378">
        <f>1/(COUNT(SimDataScen!$B$9:$B$508)-1)+$I$377</f>
        <v>0.74348697394789642</v>
      </c>
      <c r="J378">
        <f>SMALL(SimDataScen!$C$9:$C$508,372)</f>
        <v>257.49736945469112</v>
      </c>
      <c r="K378">
        <f>1/(COUNT(SimDataScen!$C$9:$C$508)-1)+$K$377</f>
        <v>0.74348697394789642</v>
      </c>
      <c r="L378">
        <f>SMALL(SimDataScen!$D$9:$D$508,372)</f>
        <v>175.08986567589827</v>
      </c>
      <c r="M378">
        <f>1/(COUNT(SimDataScen!$D$9:$D$508)-1)+$M$377</f>
        <v>0.74348697394789642</v>
      </c>
      <c r="N378">
        <f>SMALL(SimDataScen!$E$9:$E$508,372)</f>
        <v>95.356280786453311</v>
      </c>
      <c r="O378">
        <f>1/(COUNT(SimDataScen!$E$9:$E$508)-1)+$O$377</f>
        <v>0.74348697394789642</v>
      </c>
    </row>
    <row r="379" spans="1:15">
      <c r="A379">
        <v>371</v>
      </c>
      <c r="B379">
        <v>433.66594299253325</v>
      </c>
      <c r="C379">
        <v>349.30423885084889</v>
      </c>
      <c r="D379">
        <v>264.94253470916448</v>
      </c>
      <c r="E379">
        <v>180.58083056748009</v>
      </c>
      <c r="H379">
        <f>SMALL(SimDataScen!$B$9:$B$508,373)</f>
        <v>339.9048732334839</v>
      </c>
      <c r="I379">
        <f>1/(COUNT(SimDataScen!$B$9:$B$508)-1)+$I$378</f>
        <v>0.74549098196392849</v>
      </c>
      <c r="J379">
        <f>SMALL(SimDataScen!$C$9:$C$508,373)</f>
        <v>258.23208820940539</v>
      </c>
      <c r="K379">
        <f>1/(COUNT(SimDataScen!$C$9:$C$508)-1)+$K$378</f>
        <v>0.74549098196392849</v>
      </c>
      <c r="L379">
        <f>SMALL(SimDataScen!$D$9:$D$508,373)</f>
        <v>175.15429714198928</v>
      </c>
      <c r="M379">
        <f>1/(COUNT(SimDataScen!$D$9:$D$508)-1)+$M$378</f>
        <v>0.74549098196392849</v>
      </c>
      <c r="N379">
        <f>SMALL(SimDataScen!$E$9:$E$508,373)</f>
        <v>95.517217344235263</v>
      </c>
      <c r="O379">
        <f>1/(COUNT(SimDataScen!$E$9:$E$508)-1)+$O$378</f>
        <v>0.74549098196392849</v>
      </c>
    </row>
    <row r="380" spans="1:15">
      <c r="A380">
        <v>372</v>
      </c>
      <c r="B380">
        <v>420.51225561041093</v>
      </c>
      <c r="C380">
        <v>341.12105057485837</v>
      </c>
      <c r="D380">
        <v>261.72984553930576</v>
      </c>
      <c r="E380">
        <v>182.33864050375317</v>
      </c>
      <c r="H380">
        <f>SMALL(SimDataScen!$B$9:$B$508,374)</f>
        <v>345.04012585336727</v>
      </c>
      <c r="I380">
        <f>1/(COUNT(SimDataScen!$B$9:$B$508)-1)+$I$379</f>
        <v>0.74749498997996056</v>
      </c>
      <c r="J380">
        <f>SMALL(SimDataScen!$C$9:$C$508,374)</f>
        <v>260.30805636784083</v>
      </c>
      <c r="K380">
        <f>1/(COUNT(SimDataScen!$C$9:$C$508)-1)+$K$379</f>
        <v>0.74749498997996056</v>
      </c>
      <c r="L380">
        <f>SMALL(SimDataScen!$D$9:$D$508,374)</f>
        <v>175.1922175033564</v>
      </c>
      <c r="M380">
        <f>1/(COUNT(SimDataScen!$D$9:$D$508)-1)+$M$379</f>
        <v>0.74749498997996056</v>
      </c>
      <c r="N380">
        <f>SMALL(SimDataScen!$E$9:$E$508,374)</f>
        <v>95.552136161246125</v>
      </c>
      <c r="O380">
        <f>1/(COUNT(SimDataScen!$E$9:$E$508)-1)+$O$379</f>
        <v>0.74749498997996056</v>
      </c>
    </row>
    <row r="381" spans="1:15">
      <c r="A381">
        <v>373</v>
      </c>
      <c r="B381">
        <v>216.70693632970261</v>
      </c>
      <c r="C381">
        <v>130.49971702740407</v>
      </c>
      <c r="D381">
        <v>44.292497725105449</v>
      </c>
      <c r="E381">
        <v>-41.91472157719312</v>
      </c>
      <c r="H381">
        <f>SMALL(SimDataScen!$B$9:$B$508,375)</f>
        <v>345.70304514988459</v>
      </c>
      <c r="I381">
        <f>1/(COUNT(SimDataScen!$B$9:$B$508)-1)+$I$380</f>
        <v>0.74949899799599262</v>
      </c>
      <c r="J381">
        <f>SMALL(SimDataScen!$C$9:$C$508,375)</f>
        <v>261.864320399554</v>
      </c>
      <c r="K381">
        <f>1/(COUNT(SimDataScen!$C$9:$C$508)-1)+$K$380</f>
        <v>0.74949899799599262</v>
      </c>
      <c r="L381">
        <f>SMALL(SimDataScen!$D$9:$D$508,375)</f>
        <v>176.57116116507495</v>
      </c>
      <c r="M381">
        <f>1/(COUNT(SimDataScen!$D$9:$D$508)-1)+$M$380</f>
        <v>0.74949899799599262</v>
      </c>
      <c r="N381">
        <f>SMALL(SimDataScen!$E$9:$E$508,375)</f>
        <v>97.443430996053706</v>
      </c>
      <c r="O381">
        <f>1/(COUNT(SimDataScen!$E$9:$E$508)-1)+$O$380</f>
        <v>0.74949899799599262</v>
      </c>
    </row>
    <row r="382" spans="1:15">
      <c r="A382">
        <v>374</v>
      </c>
      <c r="B382">
        <v>228.2465780821241</v>
      </c>
      <c r="C382">
        <v>150.69597597061295</v>
      </c>
      <c r="D382">
        <v>73.145373859101753</v>
      </c>
      <c r="E382">
        <v>-4.4052282524094153</v>
      </c>
      <c r="H382">
        <f>SMALL(SimDataScen!$B$9:$B$508,376)</f>
        <v>346.7456949606663</v>
      </c>
      <c r="I382">
        <f>1/(COUNT(SimDataScen!$B$9:$B$508)-1)+$I$381</f>
        <v>0.75150300601202469</v>
      </c>
      <c r="J382">
        <f>SMALL(SimDataScen!$C$9:$C$508,376)</f>
        <v>263.13356316939365</v>
      </c>
      <c r="K382">
        <f>1/(COUNT(SimDataScen!$C$9:$C$508)-1)+$K$381</f>
        <v>0.75150300601202469</v>
      </c>
      <c r="L382">
        <f>SMALL(SimDataScen!$D$9:$D$508,376)</f>
        <v>181.13683170374105</v>
      </c>
      <c r="M382">
        <f>1/(COUNT(SimDataScen!$D$9:$D$508)-1)+$M$381</f>
        <v>0.75150300601202469</v>
      </c>
      <c r="N382">
        <f>SMALL(SimDataScen!$E$9:$E$508,376)</f>
        <v>98.236119820871863</v>
      </c>
      <c r="O382">
        <f>1/(COUNT(SimDataScen!$E$9:$E$508)-1)+$O$381</f>
        <v>0.75150300601202469</v>
      </c>
    </row>
    <row r="383" spans="1:15">
      <c r="A383">
        <v>375</v>
      </c>
      <c r="B383">
        <v>185.30562211710395</v>
      </c>
      <c r="C383">
        <v>106.38191084128688</v>
      </c>
      <c r="D383">
        <v>27.458199565469798</v>
      </c>
      <c r="E383">
        <v>-51.465511710347272</v>
      </c>
      <c r="H383">
        <f>SMALL(SimDataScen!$B$9:$B$508,377)</f>
        <v>349.13519666666372</v>
      </c>
      <c r="I383">
        <f>1/(COUNT(SimDataScen!$B$9:$B$508)-1)+$I$382</f>
        <v>0.75350701402805675</v>
      </c>
      <c r="J383">
        <f>SMALL(SimDataScen!$C$9:$C$508,377)</f>
        <v>267.06030585307894</v>
      </c>
      <c r="K383">
        <f>1/(COUNT(SimDataScen!$C$9:$C$508)-1)+$K$382</f>
        <v>0.75350701402805675</v>
      </c>
      <c r="L383">
        <f>SMALL(SimDataScen!$D$9:$D$508,377)</f>
        <v>184.89731892855505</v>
      </c>
      <c r="M383">
        <f>1/(COUNT(SimDataScen!$D$9:$D$508)-1)+$M$382</f>
        <v>0.75350701402805675</v>
      </c>
      <c r="N383">
        <f>SMALL(SimDataScen!$E$9:$E$508,377)</f>
        <v>99.368503665647353</v>
      </c>
      <c r="O383">
        <f>1/(COUNT(SimDataScen!$E$9:$E$508)-1)+$O$382</f>
        <v>0.75350701402805675</v>
      </c>
    </row>
    <row r="384" spans="1:15">
      <c r="A384">
        <v>376</v>
      </c>
      <c r="B384">
        <v>198.6679780621773</v>
      </c>
      <c r="C384">
        <v>122.37572742080179</v>
      </c>
      <c r="D384">
        <v>46.083476779426277</v>
      </c>
      <c r="E384">
        <v>-30.208773861949226</v>
      </c>
      <c r="H384">
        <f>SMALL(SimDataScen!$B$9:$B$508,378)</f>
        <v>349.76040785781464</v>
      </c>
      <c r="I384">
        <f>1/(COUNT(SimDataScen!$B$9:$B$508)-1)+$I$383</f>
        <v>0.75551102204408882</v>
      </c>
      <c r="J384">
        <f>SMALL(SimDataScen!$C$9:$C$508,378)</f>
        <v>267.32886339318486</v>
      </c>
      <c r="K384">
        <f>1/(COUNT(SimDataScen!$C$9:$C$508)-1)+$K$383</f>
        <v>0.75551102204408882</v>
      </c>
      <c r="L384">
        <f>SMALL(SimDataScen!$D$9:$D$508,378)</f>
        <v>186.44126573797422</v>
      </c>
      <c r="M384">
        <f>1/(COUNT(SimDataScen!$D$9:$D$508)-1)+$M$383</f>
        <v>0.75551102204408882</v>
      </c>
      <c r="N384">
        <f>SMALL(SimDataScen!$E$9:$E$508,378)</f>
        <v>99.456198144694696</v>
      </c>
      <c r="O384">
        <f>1/(COUNT(SimDataScen!$E$9:$E$508)-1)+$O$383</f>
        <v>0.75551102204408882</v>
      </c>
    </row>
    <row r="385" spans="1:15">
      <c r="A385">
        <v>377</v>
      </c>
      <c r="B385">
        <v>264.15065838037873</v>
      </c>
      <c r="C385">
        <v>188.52440645692428</v>
      </c>
      <c r="D385">
        <v>112.89815453346985</v>
      </c>
      <c r="E385">
        <v>37.271902610015417</v>
      </c>
      <c r="H385">
        <f>SMALL(SimDataScen!$B$9:$B$508,379)</f>
        <v>350.0628187046043</v>
      </c>
      <c r="I385">
        <f>1/(COUNT(SimDataScen!$B$9:$B$508)-1)+$I$384</f>
        <v>0.75751503006012089</v>
      </c>
      <c r="J385">
        <f>SMALL(SimDataScen!$C$9:$C$508,379)</f>
        <v>267.90478220171451</v>
      </c>
      <c r="K385">
        <f>1/(COUNT(SimDataScen!$C$9:$C$508)-1)+$K$384</f>
        <v>0.75751503006012089</v>
      </c>
      <c r="L385">
        <f>SMALL(SimDataScen!$D$9:$D$508,379)</f>
        <v>187.02233379817849</v>
      </c>
      <c r="M385">
        <f>1/(COUNT(SimDataScen!$D$9:$D$508)-1)+$M$384</f>
        <v>0.75751503006012089</v>
      </c>
      <c r="N385">
        <f>SMALL(SimDataScen!$E$9:$E$508,379)</f>
        <v>102.46577446392527</v>
      </c>
      <c r="O385">
        <f>1/(COUNT(SimDataScen!$E$9:$E$508)-1)+$O$384</f>
        <v>0.75751503006012089</v>
      </c>
    </row>
    <row r="386" spans="1:15">
      <c r="A386">
        <v>378</v>
      </c>
      <c r="B386">
        <v>468.12437348857986</v>
      </c>
      <c r="C386">
        <v>384.92356092652847</v>
      </c>
      <c r="D386">
        <v>301.72274836447696</v>
      </c>
      <c r="E386">
        <v>218.52193580242556</v>
      </c>
      <c r="H386">
        <f>SMALL(SimDataScen!$B$9:$B$508,380)</f>
        <v>350.80454263822071</v>
      </c>
      <c r="I386">
        <f>1/(COUNT(SimDataScen!$B$9:$B$508)-1)+$I$385</f>
        <v>0.75951903807615295</v>
      </c>
      <c r="J386">
        <f>SMALL(SimDataScen!$C$9:$C$508,380)</f>
        <v>268.98824548487261</v>
      </c>
      <c r="K386">
        <f>1/(COUNT(SimDataScen!$C$9:$C$508)-1)+$K$385</f>
        <v>0.75951903807615295</v>
      </c>
      <c r="L386">
        <f>SMALL(SimDataScen!$D$9:$D$508,380)</f>
        <v>187.77211124766077</v>
      </c>
      <c r="M386">
        <f>1/(COUNT(SimDataScen!$D$9:$D$508)-1)+$M$385</f>
        <v>0.75951903807615295</v>
      </c>
      <c r="N386">
        <f>SMALL(SimDataScen!$E$9:$E$508,380)</f>
        <v>102.59274788889496</v>
      </c>
      <c r="O386">
        <f>1/(COUNT(SimDataScen!$E$9:$E$508)-1)+$O$385</f>
        <v>0.75951903807615295</v>
      </c>
    </row>
    <row r="387" spans="1:15">
      <c r="A387">
        <v>379</v>
      </c>
      <c r="B387">
        <v>197.28928119186901</v>
      </c>
      <c r="C387">
        <v>122.08120602591993</v>
      </c>
      <c r="D387">
        <v>46.873130859970843</v>
      </c>
      <c r="E387">
        <v>-28.33494430597824</v>
      </c>
      <c r="H387">
        <f>SMALL(SimDataScen!$B$9:$B$508,381)</f>
        <v>351.37420856912445</v>
      </c>
      <c r="I387">
        <f>1/(COUNT(SimDataScen!$B$9:$B$508)-1)+$I$386</f>
        <v>0.76152304609218502</v>
      </c>
      <c r="J387">
        <f>SMALL(SimDataScen!$C$9:$C$508,381)</f>
        <v>271.21395916383523</v>
      </c>
      <c r="K387">
        <f>1/(COUNT(SimDataScen!$C$9:$C$508)-1)+$K$386</f>
        <v>0.76152304609218502</v>
      </c>
      <c r="L387">
        <f>SMALL(SimDataScen!$D$9:$D$508,381)</f>
        <v>187.81605648954573</v>
      </c>
      <c r="M387">
        <f>1/(COUNT(SimDataScen!$D$9:$D$508)-1)+$M$386</f>
        <v>0.76152304609218502</v>
      </c>
      <c r="N387">
        <f>SMALL(SimDataScen!$E$9:$E$508,381)</f>
        <v>102.9597492250486</v>
      </c>
      <c r="O387">
        <f>1/(COUNT(SimDataScen!$E$9:$E$508)-1)+$O$386</f>
        <v>0.76152304609218502</v>
      </c>
    </row>
    <row r="388" spans="1:15">
      <c r="A388">
        <v>380</v>
      </c>
      <c r="B388">
        <v>174.17829158286767</v>
      </c>
      <c r="C388">
        <v>105.10403023480777</v>
      </c>
      <c r="D388">
        <v>36.029768886747846</v>
      </c>
      <c r="E388">
        <v>-33.044492461312075</v>
      </c>
      <c r="H388">
        <f>SMALL(SimDataScen!$B$9:$B$508,382)</f>
        <v>352.98378000241689</v>
      </c>
      <c r="I388">
        <f>1/(COUNT(SimDataScen!$B$9:$B$508)-1)+$I$387</f>
        <v>0.76352705410821708</v>
      </c>
      <c r="J388">
        <f>SMALL(SimDataScen!$C$9:$C$508,382)</f>
        <v>271.45191970746203</v>
      </c>
      <c r="K388">
        <f>1/(COUNT(SimDataScen!$C$9:$C$508)-1)+$K$387</f>
        <v>0.76352705410821708</v>
      </c>
      <c r="L388">
        <f>SMALL(SimDataScen!$D$9:$D$508,382)</f>
        <v>187.91367226514092</v>
      </c>
      <c r="M388">
        <f>1/(COUNT(SimDataScen!$D$9:$D$508)-1)+$M$387</f>
        <v>0.76352705410821708</v>
      </c>
      <c r="N388">
        <f>SMALL(SimDataScen!$E$9:$E$508,382)</f>
        <v>103.69325355170002</v>
      </c>
      <c r="O388">
        <f>1/(COUNT(SimDataScen!$E$9:$E$508)-1)+$O$387</f>
        <v>0.76352705410821708</v>
      </c>
    </row>
    <row r="389" spans="1:15">
      <c r="A389">
        <v>381</v>
      </c>
      <c r="B389">
        <v>400.03175068354494</v>
      </c>
      <c r="C389">
        <v>318.25633250506331</v>
      </c>
      <c r="D389">
        <v>236.48091432658168</v>
      </c>
      <c r="E389">
        <v>154.70549614810005</v>
      </c>
      <c r="H389">
        <f>SMALL(SimDataScen!$B$9:$B$508,383)</f>
        <v>353.23862493391306</v>
      </c>
      <c r="I389">
        <f>1/(COUNT(SimDataScen!$B$9:$B$508)-1)+$I$388</f>
        <v>0.76553106212424915</v>
      </c>
      <c r="J389">
        <f>SMALL(SimDataScen!$C$9:$C$508,383)</f>
        <v>271.85096894362158</v>
      </c>
      <c r="K389">
        <f>1/(COUNT(SimDataScen!$C$9:$C$508)-1)+$K$388</f>
        <v>0.76553106212424915</v>
      </c>
      <c r="L389">
        <f>SMALL(SimDataScen!$D$9:$D$508,383)</f>
        <v>188.91639153411307</v>
      </c>
      <c r="M389">
        <f>1/(COUNT(SimDataScen!$D$9:$D$508)-1)+$M$388</f>
        <v>0.76553106212424915</v>
      </c>
      <c r="N389">
        <f>SMALL(SimDataScen!$E$9:$E$508,383)</f>
        <v>104.41815381525623</v>
      </c>
      <c r="O389">
        <f>1/(COUNT(SimDataScen!$E$9:$E$508)-1)+$O$388</f>
        <v>0.76553106212424915</v>
      </c>
    </row>
    <row r="390" spans="1:15">
      <c r="A390">
        <v>382</v>
      </c>
      <c r="B390">
        <v>283.87690900838896</v>
      </c>
      <c r="C390">
        <v>204.83858181070008</v>
      </c>
      <c r="D390">
        <v>125.80025461301122</v>
      </c>
      <c r="E390">
        <v>46.761927415322361</v>
      </c>
      <c r="H390">
        <f>SMALL(SimDataScen!$B$9:$B$508,384)</f>
        <v>354.61186183812475</v>
      </c>
      <c r="I390">
        <f>1/(COUNT(SimDataScen!$B$9:$B$508)-1)+$I$389</f>
        <v>0.76753507014028122</v>
      </c>
      <c r="J390">
        <f>SMALL(SimDataScen!$C$9:$C$508,384)</f>
        <v>273.42633333125377</v>
      </c>
      <c r="K390">
        <f>1/(COUNT(SimDataScen!$C$9:$C$508)-1)+$K$389</f>
        <v>0.76753507014028122</v>
      </c>
      <c r="L390">
        <f>SMALL(SimDataScen!$D$9:$D$508,384)</f>
        <v>189.06386944276272</v>
      </c>
      <c r="M390">
        <f>1/(COUNT(SimDataScen!$D$9:$D$508)-1)+$M$389</f>
        <v>0.76753507014028122</v>
      </c>
      <c r="N390">
        <f>SMALL(SimDataScen!$E$9:$E$508,384)</f>
        <v>105.67619626224732</v>
      </c>
      <c r="O390">
        <f>1/(COUNT(SimDataScen!$E$9:$E$508)-1)+$O$389</f>
        <v>0.76753507014028122</v>
      </c>
    </row>
    <row r="391" spans="1:15">
      <c r="A391">
        <v>383</v>
      </c>
      <c r="B391">
        <v>154.16740335514771</v>
      </c>
      <c r="C391">
        <v>80.229752734783077</v>
      </c>
      <c r="D391">
        <v>6.2921021144184266</v>
      </c>
      <c r="E391">
        <v>-67.645548505946209</v>
      </c>
      <c r="H391">
        <f>SMALL(SimDataScen!$B$9:$B$508,385)</f>
        <v>355.88150561674553</v>
      </c>
      <c r="I391">
        <f>1/(COUNT(SimDataScen!$B$9:$B$508)-1)+$I$390</f>
        <v>0.76953907815631328</v>
      </c>
      <c r="J391">
        <f>SMALL(SimDataScen!$C$9:$C$508,385)</f>
        <v>273.42766283971025</v>
      </c>
      <c r="K391">
        <f>1/(COUNT(SimDataScen!$C$9:$C$508)-1)+$K$390</f>
        <v>0.76953907815631328</v>
      </c>
      <c r="L391">
        <f>SMALL(SimDataScen!$D$9:$D$508,385)</f>
        <v>190.37764842128698</v>
      </c>
      <c r="M391">
        <f>1/(COUNT(SimDataScen!$D$9:$D$508)-1)+$M$390</f>
        <v>0.76953907815631328</v>
      </c>
      <c r="N391">
        <f>SMALL(SimDataScen!$E$9:$E$508,385)</f>
        <v>106.83909904540923</v>
      </c>
      <c r="O391">
        <f>1/(COUNT(SimDataScen!$E$9:$E$508)-1)+$O$390</f>
        <v>0.76953907815631328</v>
      </c>
    </row>
    <row r="392" spans="1:15">
      <c r="A392">
        <v>384</v>
      </c>
      <c r="B392">
        <v>186.12774139001525</v>
      </c>
      <c r="C392">
        <v>111.16946240724553</v>
      </c>
      <c r="D392">
        <v>36.211183424475792</v>
      </c>
      <c r="E392">
        <v>-38.747095558293921</v>
      </c>
      <c r="H392">
        <f>SMALL(SimDataScen!$B$9:$B$508,386)</f>
        <v>355.9298266395823</v>
      </c>
      <c r="I392">
        <f>1/(COUNT(SimDataScen!$B$9:$B$508)-1)+$I$391</f>
        <v>0.77154308617234535</v>
      </c>
      <c r="J392">
        <f>SMALL(SimDataScen!$C$9:$C$508,386)</f>
        <v>274.56260468937154</v>
      </c>
      <c r="K392">
        <f>1/(COUNT(SimDataScen!$C$9:$C$508)-1)+$K$391</f>
        <v>0.77154308617234535</v>
      </c>
      <c r="L392">
        <f>SMALL(SimDataScen!$D$9:$D$508,386)</f>
        <v>190.89716402874845</v>
      </c>
      <c r="M392">
        <f>1/(COUNT(SimDataScen!$D$9:$D$508)-1)+$M$391</f>
        <v>0.77154308617234535</v>
      </c>
      <c r="N392">
        <f>SMALL(SimDataScen!$E$9:$E$508,386)</f>
        <v>108.14003283209149</v>
      </c>
      <c r="O392">
        <f>1/(COUNT(SimDataScen!$E$9:$E$508)-1)+$O$391</f>
        <v>0.77154308617234535</v>
      </c>
    </row>
    <row r="393" spans="1:15">
      <c r="A393">
        <v>385</v>
      </c>
      <c r="B393">
        <v>513.65577447821056</v>
      </c>
      <c r="C393">
        <v>419.62005147930051</v>
      </c>
      <c r="D393">
        <v>325.58432848039047</v>
      </c>
      <c r="E393">
        <v>231.54860548148037</v>
      </c>
      <c r="H393">
        <f>SMALL(SimDataScen!$B$9:$B$508,387)</f>
        <v>359.30769925413267</v>
      </c>
      <c r="I393">
        <f>1/(COUNT(SimDataScen!$B$9:$B$508)-1)+$I$392</f>
        <v>0.77354709418837742</v>
      </c>
      <c r="J393">
        <f>SMALL(SimDataScen!$C$9:$C$508,387)</f>
        <v>276.46348814098064</v>
      </c>
      <c r="K393">
        <f>1/(COUNT(SimDataScen!$C$9:$C$508)-1)+$K$392</f>
        <v>0.77354709418837742</v>
      </c>
      <c r="L393">
        <f>SMALL(SimDataScen!$D$9:$D$508,387)</f>
        <v>192.38607271732602</v>
      </c>
      <c r="M393">
        <f>1/(COUNT(SimDataScen!$D$9:$D$508)-1)+$M$392</f>
        <v>0.77354709418837742</v>
      </c>
      <c r="N393">
        <f>SMALL(SimDataScen!$E$9:$E$508,387)</f>
        <v>110.22295668381093</v>
      </c>
      <c r="O393">
        <f>1/(COUNT(SimDataScen!$E$9:$E$508)-1)+$O$392</f>
        <v>0.77354709418837742</v>
      </c>
    </row>
    <row r="394" spans="1:15">
      <c r="A394">
        <v>386</v>
      </c>
      <c r="B394">
        <v>451.34756981638674</v>
      </c>
      <c r="C394">
        <v>364.81907103679356</v>
      </c>
      <c r="D394">
        <v>278.29057225720044</v>
      </c>
      <c r="E394">
        <v>191.76207347760726</v>
      </c>
      <c r="H394">
        <f>SMALL(SimDataScen!$B$9:$B$508,388)</f>
        <v>359.98360019758974</v>
      </c>
      <c r="I394">
        <f>1/(COUNT(SimDataScen!$B$9:$B$508)-1)+$I$393</f>
        <v>0.77555110220440948</v>
      </c>
      <c r="J394">
        <f>SMALL(SimDataScen!$C$9:$C$508,388)</f>
        <v>278.8345788324483</v>
      </c>
      <c r="K394">
        <f>1/(COUNT(SimDataScen!$C$9:$C$508)-1)+$K$393</f>
        <v>0.77555110220440948</v>
      </c>
      <c r="L394">
        <f>SMALL(SimDataScen!$D$9:$D$508,388)</f>
        <v>193.61670074550739</v>
      </c>
      <c r="M394">
        <f>1/(COUNT(SimDataScen!$D$9:$D$508)-1)+$M$393</f>
        <v>0.77555110220440948</v>
      </c>
      <c r="N394">
        <f>SMALL(SimDataScen!$E$9:$E$508,388)</f>
        <v>110.57842228117931</v>
      </c>
      <c r="O394">
        <f>1/(COUNT(SimDataScen!$E$9:$E$508)-1)+$O$393</f>
        <v>0.77555110220440948</v>
      </c>
    </row>
    <row r="395" spans="1:15">
      <c r="A395">
        <v>387</v>
      </c>
      <c r="B395">
        <v>289.50766094231494</v>
      </c>
      <c r="C395">
        <v>204.01270018235084</v>
      </c>
      <c r="D395">
        <v>118.51773942238671</v>
      </c>
      <c r="E395">
        <v>33.022778662422581</v>
      </c>
      <c r="H395">
        <f>SMALL(SimDataScen!$B$9:$B$508,389)</f>
        <v>360.05912810331949</v>
      </c>
      <c r="I395">
        <f>1/(COUNT(SimDataScen!$B$9:$B$508)-1)+$I$394</f>
        <v>0.77755511022044155</v>
      </c>
      <c r="J395">
        <f>SMALL(SimDataScen!$C$9:$C$508,389)</f>
        <v>278.88745059249578</v>
      </c>
      <c r="K395">
        <f>1/(COUNT(SimDataScen!$C$9:$C$508)-1)+$K$394</f>
        <v>0.77755511022044155</v>
      </c>
      <c r="L395">
        <f>SMALL(SimDataScen!$D$9:$D$508,389)</f>
        <v>193.61927702782856</v>
      </c>
      <c r="M395">
        <f>1/(COUNT(SimDataScen!$D$9:$D$508)-1)+$M$394</f>
        <v>0.77755511022044155</v>
      </c>
      <c r="N395">
        <f>SMALL(SimDataScen!$E$9:$E$508,389)</f>
        <v>110.77506591467653</v>
      </c>
      <c r="O395">
        <f>1/(COUNT(SimDataScen!$E$9:$E$508)-1)+$O$394</f>
        <v>0.77755511022044155</v>
      </c>
    </row>
    <row r="396" spans="1:15">
      <c r="A396">
        <v>388</v>
      </c>
      <c r="B396">
        <v>374.63095994070079</v>
      </c>
      <c r="C396">
        <v>291.41099552473503</v>
      </c>
      <c r="D396">
        <v>208.19103110876921</v>
      </c>
      <c r="E396">
        <v>124.97106669280342</v>
      </c>
      <c r="H396">
        <f>SMALL(SimDataScen!$B$9:$B$508,390)</f>
        <v>360.41140092453327</v>
      </c>
      <c r="I396">
        <f>1/(COUNT(SimDataScen!$B$9:$B$508)-1)+$I$395</f>
        <v>0.77955911823647361</v>
      </c>
      <c r="J396">
        <f>SMALL(SimDataScen!$C$9:$C$508,390)</f>
        <v>279.09594917240469</v>
      </c>
      <c r="K396">
        <f>1/(COUNT(SimDataScen!$C$9:$C$508)-1)+$K$395</f>
        <v>0.77955911823647361</v>
      </c>
      <c r="L396">
        <f>SMALL(SimDataScen!$D$9:$D$508,390)</f>
        <v>195.45213395799615</v>
      </c>
      <c r="M396">
        <f>1/(COUNT(SimDataScen!$D$9:$D$508)-1)+$M$395</f>
        <v>0.77955911823647361</v>
      </c>
      <c r="N396">
        <f>SMALL(SimDataScen!$E$9:$E$508,390)</f>
        <v>110.99658471754952</v>
      </c>
      <c r="O396">
        <f>1/(COUNT(SimDataScen!$E$9:$E$508)-1)+$O$395</f>
        <v>0.77955911823647361</v>
      </c>
    </row>
    <row r="397" spans="1:15">
      <c r="A397">
        <v>389</v>
      </c>
      <c r="B397">
        <v>270.52781584019601</v>
      </c>
      <c r="C397">
        <v>196.8878651204958</v>
      </c>
      <c r="D397">
        <v>123.24791440079559</v>
      </c>
      <c r="E397">
        <v>49.607963681095384</v>
      </c>
      <c r="H397">
        <f>SMALL(SimDataScen!$B$9:$B$508,391)</f>
        <v>361.75621004463375</v>
      </c>
      <c r="I397">
        <f>1/(COUNT(SimDataScen!$B$9:$B$508)-1)+$I$396</f>
        <v>0.78156312625250568</v>
      </c>
      <c r="J397">
        <f>SMALL(SimDataScen!$C$9:$C$508,391)</f>
        <v>279.96073077963911</v>
      </c>
      <c r="K397">
        <f>1/(COUNT(SimDataScen!$C$9:$C$508)-1)+$K$396</f>
        <v>0.78156312625250568</v>
      </c>
      <c r="L397">
        <f>SMALL(SimDataScen!$D$9:$D$508,391)</f>
        <v>196.30302064906226</v>
      </c>
      <c r="M397">
        <f>1/(COUNT(SimDataScen!$D$9:$D$508)-1)+$M$396</f>
        <v>0.78156312625250568</v>
      </c>
      <c r="N397">
        <f>SMALL(SimDataScen!$E$9:$E$508,391)</f>
        <v>112.36464644728957</v>
      </c>
      <c r="O397">
        <f>1/(COUNT(SimDataScen!$E$9:$E$508)-1)+$O$396</f>
        <v>0.78156312625250568</v>
      </c>
    </row>
    <row r="398" spans="1:15">
      <c r="A398">
        <v>390</v>
      </c>
      <c r="B398">
        <v>400.8759177796432</v>
      </c>
      <c r="C398">
        <v>317.25271083415845</v>
      </c>
      <c r="D398">
        <v>233.62950388867367</v>
      </c>
      <c r="E398">
        <v>150.00629694318889</v>
      </c>
      <c r="H398">
        <f>SMALL(SimDataScen!$B$9:$B$508,392)</f>
        <v>363.6184409102159</v>
      </c>
      <c r="I398">
        <f>1/(COUNT(SimDataScen!$B$9:$B$508)-1)+$I$397</f>
        <v>0.78356713426853775</v>
      </c>
      <c r="J398">
        <f>SMALL(SimDataScen!$C$9:$C$508,392)</f>
        <v>280.32584563481299</v>
      </c>
      <c r="K398">
        <f>1/(COUNT(SimDataScen!$C$9:$C$508)-1)+$K$397</f>
        <v>0.78356713426853775</v>
      </c>
      <c r="L398">
        <f>SMALL(SimDataScen!$D$9:$D$508,392)</f>
        <v>196.39354637871693</v>
      </c>
      <c r="M398">
        <f>1/(COUNT(SimDataScen!$D$9:$D$508)-1)+$M$397</f>
        <v>0.78356713426853775</v>
      </c>
      <c r="N398">
        <f>SMALL(SimDataScen!$E$9:$E$508,392)</f>
        <v>112.64531051848547</v>
      </c>
      <c r="O398">
        <f>1/(COUNT(SimDataScen!$E$9:$E$508)-1)+$O$397</f>
        <v>0.78356713426853775</v>
      </c>
    </row>
    <row r="399" spans="1:15">
      <c r="A399">
        <v>391</v>
      </c>
      <c r="B399">
        <v>298.48126402971491</v>
      </c>
      <c r="C399">
        <v>214.34171571691729</v>
      </c>
      <c r="D399">
        <v>130.20216740411965</v>
      </c>
      <c r="E399">
        <v>46.062619091322034</v>
      </c>
      <c r="H399">
        <f>SMALL(SimDataScen!$B$9:$B$508,393)</f>
        <v>364.16713771612882</v>
      </c>
      <c r="I399">
        <f>1/(COUNT(SimDataScen!$B$9:$B$508)-1)+$I$398</f>
        <v>0.78557114228456981</v>
      </c>
      <c r="J399">
        <f>SMALL(SimDataScen!$C$9:$C$508,393)</f>
        <v>280.33078416693621</v>
      </c>
      <c r="K399">
        <f>1/(COUNT(SimDataScen!$C$9:$C$508)-1)+$K$398</f>
        <v>0.78557114228456981</v>
      </c>
      <c r="L399">
        <f>SMALL(SimDataScen!$D$9:$D$508,393)</f>
        <v>198.32066674052231</v>
      </c>
      <c r="M399">
        <f>1/(COUNT(SimDataScen!$D$9:$D$508)-1)+$M$398</f>
        <v>0.78557114228456981</v>
      </c>
      <c r="N399">
        <f>SMALL(SimDataScen!$E$9:$E$508,393)</f>
        <v>113.80573865130458</v>
      </c>
      <c r="O399">
        <f>1/(COUNT(SimDataScen!$E$9:$E$508)-1)+$O$398</f>
        <v>0.78557114228456981</v>
      </c>
    </row>
    <row r="400" spans="1:15">
      <c r="A400">
        <v>392</v>
      </c>
      <c r="B400">
        <v>264.01735386200528</v>
      </c>
      <c r="C400">
        <v>185.39471992870818</v>
      </c>
      <c r="D400">
        <v>106.77208599541102</v>
      </c>
      <c r="E400">
        <v>28.14945206211388</v>
      </c>
      <c r="H400">
        <f>SMALL(SimDataScen!$B$9:$B$508,394)</f>
        <v>365.1995573116298</v>
      </c>
      <c r="I400">
        <f>1/(COUNT(SimDataScen!$B$9:$B$508)-1)+$I$399</f>
        <v>0.78757515030060188</v>
      </c>
      <c r="J400">
        <f>SMALL(SimDataScen!$C$9:$C$508,394)</f>
        <v>280.56653785187154</v>
      </c>
      <c r="K400">
        <f>1/(COUNT(SimDataScen!$C$9:$C$508)-1)+$K$399</f>
        <v>0.78757515030060188</v>
      </c>
      <c r="L400">
        <f>SMALL(SimDataScen!$D$9:$D$508,394)</f>
        <v>198.8776277268706</v>
      </c>
      <c r="M400">
        <f>1/(COUNT(SimDataScen!$D$9:$D$508)-1)+$M$399</f>
        <v>0.78757515030060188</v>
      </c>
      <c r="N400">
        <f>SMALL(SimDataScen!$E$9:$E$508,394)</f>
        <v>114.2160551765223</v>
      </c>
      <c r="O400">
        <f>1/(COUNT(SimDataScen!$E$9:$E$508)-1)+$O$399</f>
        <v>0.78757515030060188</v>
      </c>
    </row>
    <row r="401" spans="1:15">
      <c r="A401">
        <v>393</v>
      </c>
      <c r="B401">
        <v>253.99463623178764</v>
      </c>
      <c r="C401">
        <v>171.50463754277351</v>
      </c>
      <c r="D401">
        <v>89.014638853759379</v>
      </c>
      <c r="E401">
        <v>6.5246401647452501</v>
      </c>
      <c r="H401">
        <f>SMALL(SimDataScen!$B$9:$B$508,395)</f>
        <v>365.80582562748339</v>
      </c>
      <c r="I401">
        <f>1/(COUNT(SimDataScen!$B$9:$B$508)-1)+$I$400</f>
        <v>0.78957915831663394</v>
      </c>
      <c r="J401">
        <f>SMALL(SimDataScen!$C$9:$C$508,395)</f>
        <v>281.38679317692663</v>
      </c>
      <c r="K401">
        <f>1/(COUNT(SimDataScen!$C$9:$C$508)-1)+$K$400</f>
        <v>0.78957915831663394</v>
      </c>
      <c r="L401">
        <f>SMALL(SimDataScen!$D$9:$D$508,395)</f>
        <v>199.94704261919958</v>
      </c>
      <c r="M401">
        <f>1/(COUNT(SimDataScen!$D$9:$D$508)-1)+$M$400</f>
        <v>0.78957915831663394</v>
      </c>
      <c r="N401">
        <f>SMALL(SimDataScen!$E$9:$E$508,395)</f>
        <v>114.69921989883251</v>
      </c>
      <c r="O401">
        <f>1/(COUNT(SimDataScen!$E$9:$E$508)-1)+$O$400</f>
        <v>0.78957915831663394</v>
      </c>
    </row>
    <row r="402" spans="1:15">
      <c r="A402">
        <v>394</v>
      </c>
      <c r="B402">
        <v>395.28807873543462</v>
      </c>
      <c r="C402">
        <v>314.78783872892404</v>
      </c>
      <c r="D402">
        <v>234.28759872241341</v>
      </c>
      <c r="E402">
        <v>153.78735871590277</v>
      </c>
      <c r="H402">
        <f>SMALL(SimDataScen!$B$9:$B$508,396)</f>
        <v>366.77199363614812</v>
      </c>
      <c r="I402">
        <f>1/(COUNT(SimDataScen!$B$9:$B$508)-1)+$I$401</f>
        <v>0.79158316633266601</v>
      </c>
      <c r="J402">
        <f>SMALL(SimDataScen!$C$9:$C$508,396)</f>
        <v>282.05709016766423</v>
      </c>
      <c r="K402">
        <f>1/(COUNT(SimDataScen!$C$9:$C$508)-1)+$K$401</f>
        <v>0.79158316633266601</v>
      </c>
      <c r="L402">
        <f>SMALL(SimDataScen!$D$9:$D$508,396)</f>
        <v>200.67796813628271</v>
      </c>
      <c r="M402">
        <f>1/(COUNT(SimDataScen!$D$9:$D$508)-1)+$M$401</f>
        <v>0.79158316633266601</v>
      </c>
      <c r="N402">
        <f>SMALL(SimDataScen!$E$9:$E$508,396)</f>
        <v>116.02878084935568</v>
      </c>
      <c r="O402">
        <f>1/(COUNT(SimDataScen!$E$9:$E$508)-1)+$O$401</f>
        <v>0.79158316633266601</v>
      </c>
    </row>
    <row r="403" spans="1:15">
      <c r="A403">
        <v>395</v>
      </c>
      <c r="B403">
        <v>259.90571686812763</v>
      </c>
      <c r="C403">
        <v>180.90610630676588</v>
      </c>
      <c r="D403">
        <v>101.90649574540409</v>
      </c>
      <c r="E403">
        <v>22.906885184042324</v>
      </c>
      <c r="H403">
        <f>SMALL(SimDataScen!$B$9:$B$508,397)</f>
        <v>369.18916886231813</v>
      </c>
      <c r="I403">
        <f>1/(COUNT(SimDataScen!$B$9:$B$508)-1)+$I$402</f>
        <v>0.79358717434869808</v>
      </c>
      <c r="J403">
        <f>SMALL(SimDataScen!$C$9:$C$508,397)</f>
        <v>282.38990315669287</v>
      </c>
      <c r="K403">
        <f>1/(COUNT(SimDataScen!$C$9:$C$508)-1)+$K$402</f>
        <v>0.79358717434869808</v>
      </c>
      <c r="L403">
        <f>SMALL(SimDataScen!$D$9:$D$508,397)</f>
        <v>201.07394760042365</v>
      </c>
      <c r="M403">
        <f>1/(COUNT(SimDataScen!$D$9:$D$508)-1)+$M$402</f>
        <v>0.79358717434869808</v>
      </c>
      <c r="N403">
        <f>SMALL(SimDataScen!$E$9:$E$508,397)</f>
        <v>117.83699507073496</v>
      </c>
      <c r="O403">
        <f>1/(COUNT(SimDataScen!$E$9:$E$508)-1)+$O$402</f>
        <v>0.79358717434869808</v>
      </c>
    </row>
    <row r="404" spans="1:15">
      <c r="A404">
        <v>396</v>
      </c>
      <c r="B404">
        <v>167.03635844608363</v>
      </c>
      <c r="C404">
        <v>90.670195232611064</v>
      </c>
      <c r="D404">
        <v>14.304032019138504</v>
      </c>
      <c r="E404">
        <v>-62.062131194334057</v>
      </c>
      <c r="H404">
        <f>SMALL(SimDataScen!$B$9:$B$508,398)</f>
        <v>369.62888743140934</v>
      </c>
      <c r="I404">
        <f>1/(COUNT(SimDataScen!$B$9:$B$508)-1)+$I$403</f>
        <v>0.79559118236473014</v>
      </c>
      <c r="J404">
        <f>SMALL(SimDataScen!$C$9:$C$508,398)</f>
        <v>284.64705992534238</v>
      </c>
      <c r="K404">
        <f>1/(COUNT(SimDataScen!$C$9:$C$508)-1)+$K$403</f>
        <v>0.79559118236473014</v>
      </c>
      <c r="L404">
        <f>SMALL(SimDataScen!$D$9:$D$508,398)</f>
        <v>203.02359626875202</v>
      </c>
      <c r="M404">
        <f>1/(COUNT(SimDataScen!$D$9:$D$508)-1)+$M$403</f>
        <v>0.79559118236473014</v>
      </c>
      <c r="N404">
        <f>SMALL(SimDataScen!$E$9:$E$508,398)</f>
        <v>121.02515210562922</v>
      </c>
      <c r="O404">
        <f>1/(COUNT(SimDataScen!$E$9:$E$508)-1)+$O$403</f>
        <v>0.79559118236473014</v>
      </c>
    </row>
    <row r="405" spans="1:15">
      <c r="A405">
        <v>397</v>
      </c>
      <c r="B405">
        <v>263.5065014991859</v>
      </c>
      <c r="C405">
        <v>184.78425581974275</v>
      </c>
      <c r="D405">
        <v>106.06201014029961</v>
      </c>
      <c r="E405">
        <v>27.339764460856486</v>
      </c>
      <c r="H405">
        <f>SMALL(SimDataScen!$B$9:$B$508,399)</f>
        <v>370.44797585580176</v>
      </c>
      <c r="I405">
        <f>1/(COUNT(SimDataScen!$B$9:$B$508)-1)+$I$404</f>
        <v>0.79759519038076221</v>
      </c>
      <c r="J405">
        <f>SMALL(SimDataScen!$C$9:$C$508,399)</f>
        <v>285.39060900645165</v>
      </c>
      <c r="K405">
        <f>1/(COUNT(SimDataScen!$C$9:$C$508)-1)+$K$404</f>
        <v>0.79759519038076221</v>
      </c>
      <c r="L405">
        <f>SMALL(SimDataScen!$D$9:$D$508,399)</f>
        <v>203.74230728269728</v>
      </c>
      <c r="M405">
        <f>1/(COUNT(SimDataScen!$D$9:$D$508)-1)+$M$404</f>
        <v>0.79759519038076221</v>
      </c>
      <c r="N405">
        <f>SMALL(SimDataScen!$E$9:$E$508,399)</f>
        <v>121.58135734897576</v>
      </c>
      <c r="O405">
        <f>1/(COUNT(SimDataScen!$E$9:$E$508)-1)+$O$404</f>
        <v>0.79759519038076221</v>
      </c>
    </row>
    <row r="406" spans="1:15">
      <c r="A406">
        <v>398</v>
      </c>
      <c r="B406">
        <v>313.19022332438908</v>
      </c>
      <c r="C406">
        <v>232.050986008481</v>
      </c>
      <c r="D406">
        <v>150.91174869257293</v>
      </c>
      <c r="E406">
        <v>69.77251137666488</v>
      </c>
      <c r="H406">
        <f>SMALL(SimDataScen!$B$9:$B$508,400)</f>
        <v>371.04248225559058</v>
      </c>
      <c r="I406">
        <f>1/(COUNT(SimDataScen!$B$9:$B$508)-1)+$I$405</f>
        <v>0.79959919839679428</v>
      </c>
      <c r="J406">
        <f>SMALL(SimDataScen!$C$9:$C$508,400)</f>
        <v>288.79131026655517</v>
      </c>
      <c r="K406">
        <f>1/(COUNT(SimDataScen!$C$9:$C$508)-1)+$K$405</f>
        <v>0.79959919839679428</v>
      </c>
      <c r="L406">
        <f>SMALL(SimDataScen!$D$9:$D$508,400)</f>
        <v>205.60559371567936</v>
      </c>
      <c r="M406">
        <f>1/(COUNT(SimDataScen!$D$9:$D$508)-1)+$M$405</f>
        <v>0.79959919839679428</v>
      </c>
      <c r="N406">
        <f>SMALL(SimDataScen!$E$9:$E$508,400)</f>
        <v>122.07872879167309</v>
      </c>
      <c r="O406">
        <f>1/(COUNT(SimDataScen!$E$9:$E$508)-1)+$O$405</f>
        <v>0.79959919839679428</v>
      </c>
    </row>
    <row r="407" spans="1:15">
      <c r="A407">
        <v>399</v>
      </c>
      <c r="B407">
        <v>198.79850771814409</v>
      </c>
      <c r="C407">
        <v>128.31903422974042</v>
      </c>
      <c r="D407">
        <v>57.83956074133674</v>
      </c>
      <c r="E407">
        <v>-12.63991274706693</v>
      </c>
      <c r="H407">
        <f>SMALL(SimDataScen!$B$9:$B$508,401)</f>
        <v>371.90359028603268</v>
      </c>
      <c r="I407">
        <f>1/(COUNT(SimDataScen!$B$9:$B$508)-1)+$I$406</f>
        <v>0.80160320641282634</v>
      </c>
      <c r="J407">
        <f>SMALL(SimDataScen!$C$9:$C$508,401)</f>
        <v>289.01053113607981</v>
      </c>
      <c r="K407">
        <f>1/(COUNT(SimDataScen!$C$9:$C$508)-1)+$K$406</f>
        <v>0.80160320641282634</v>
      </c>
      <c r="L407">
        <f>SMALL(SimDataScen!$D$9:$D$508,401)</f>
        <v>206.40069261586711</v>
      </c>
      <c r="M407">
        <f>1/(COUNT(SimDataScen!$D$9:$D$508)-1)+$M$406</f>
        <v>0.80160320641282634</v>
      </c>
      <c r="N407">
        <f>SMALL(SimDataScen!$E$9:$E$508,401)</f>
        <v>123.65728938081116</v>
      </c>
      <c r="O407">
        <f>1/(COUNT(SimDataScen!$E$9:$E$508)-1)+$O$406</f>
        <v>0.80160320641282634</v>
      </c>
    </row>
    <row r="408" spans="1:15">
      <c r="A408">
        <v>400</v>
      </c>
      <c r="B408">
        <v>212.73994318730746</v>
      </c>
      <c r="C408">
        <v>128.90100610650862</v>
      </c>
      <c r="D408">
        <v>45.062069025709775</v>
      </c>
      <c r="E408">
        <v>-38.776868055089068</v>
      </c>
      <c r="H408">
        <f>SMALL(SimDataScen!$B$9:$B$508,402)</f>
        <v>372.39593793256626</v>
      </c>
      <c r="I408">
        <f>1/(COUNT(SimDataScen!$B$9:$B$508)-1)+$I$407</f>
        <v>0.80360721442885841</v>
      </c>
      <c r="J408">
        <f>SMALL(SimDataScen!$C$9:$C$508,402)</f>
        <v>289.32993381532447</v>
      </c>
      <c r="K408">
        <f>1/(COUNT(SimDataScen!$C$9:$C$508)-1)+$K$407</f>
        <v>0.80360721442885841</v>
      </c>
      <c r="L408">
        <f>SMALL(SimDataScen!$D$9:$D$508,402)</f>
        <v>207.05349972735283</v>
      </c>
      <c r="M408">
        <f>1/(COUNT(SimDataScen!$D$9:$D$508)-1)+$M$407</f>
        <v>0.80360721442885841</v>
      </c>
      <c r="N408">
        <f>SMALL(SimDataScen!$E$9:$E$508,402)</f>
        <v>124.57104361170076</v>
      </c>
      <c r="O408">
        <f>1/(COUNT(SimDataScen!$E$9:$E$508)-1)+$O$407</f>
        <v>0.80360721442885841</v>
      </c>
    </row>
    <row r="409" spans="1:15">
      <c r="A409">
        <v>401</v>
      </c>
      <c r="B409">
        <v>231.01204533695957</v>
      </c>
      <c r="C409">
        <v>154.62767167171882</v>
      </c>
      <c r="D409">
        <v>78.243298006478014</v>
      </c>
      <c r="E409">
        <v>1.8589243412372412</v>
      </c>
      <c r="H409">
        <f>SMALL(SimDataScen!$B$9:$B$508,403)</f>
        <v>372.90057347196779</v>
      </c>
      <c r="I409">
        <f>1/(COUNT(SimDataScen!$B$9:$B$508)-1)+$I$408</f>
        <v>0.80561122244489047</v>
      </c>
      <c r="J409">
        <f>SMALL(SimDataScen!$C$9:$C$508,403)</f>
        <v>289.42794685790636</v>
      </c>
      <c r="K409">
        <f>1/(COUNT(SimDataScen!$C$9:$C$508)-1)+$K$408</f>
        <v>0.80561122244489047</v>
      </c>
      <c r="L409">
        <f>SMALL(SimDataScen!$D$9:$D$508,403)</f>
        <v>207.5730864163578</v>
      </c>
      <c r="M409">
        <f>1/(COUNT(SimDataScen!$D$9:$D$508)-1)+$M$408</f>
        <v>0.80561122244489047</v>
      </c>
      <c r="N409">
        <f>SMALL(SimDataScen!$E$9:$E$508,403)</f>
        <v>124.97106669280342</v>
      </c>
      <c r="O409">
        <f>1/(COUNT(SimDataScen!$E$9:$E$508)-1)+$O$408</f>
        <v>0.80561122244489047</v>
      </c>
    </row>
    <row r="410" spans="1:15">
      <c r="A410">
        <v>402</v>
      </c>
      <c r="B410">
        <v>276.8677368202159</v>
      </c>
      <c r="C410">
        <v>199.47599155941271</v>
      </c>
      <c r="D410">
        <v>122.08424629860951</v>
      </c>
      <c r="E410">
        <v>44.692501037806352</v>
      </c>
      <c r="H410">
        <f>SMALL(SimDataScen!$B$9:$B$508,404)</f>
        <v>374.23170793080271</v>
      </c>
      <c r="I410">
        <f>1/(COUNT(SimDataScen!$B$9:$B$508)-1)+$I$409</f>
        <v>0.80761523046092254</v>
      </c>
      <c r="J410">
        <f>SMALL(SimDataScen!$C$9:$C$508,404)</f>
        <v>291.41099552473503</v>
      </c>
      <c r="K410">
        <f>1/(COUNT(SimDataScen!$C$9:$C$508)-1)+$K$409</f>
        <v>0.80761523046092254</v>
      </c>
      <c r="L410">
        <f>SMALL(SimDataScen!$D$9:$D$508,404)</f>
        <v>207.61738537505829</v>
      </c>
      <c r="M410">
        <f>1/(COUNT(SimDataScen!$D$9:$D$508)-1)+$M$409</f>
        <v>0.80761523046092254</v>
      </c>
      <c r="N410">
        <f>SMALL(SimDataScen!$E$9:$E$508,404)</f>
        <v>125.90483693479217</v>
      </c>
      <c r="O410">
        <f>1/(COUNT(SimDataScen!$E$9:$E$508)-1)+$O$409</f>
        <v>0.80761523046092254</v>
      </c>
    </row>
    <row r="411" spans="1:15">
      <c r="A411">
        <v>403</v>
      </c>
      <c r="B411">
        <v>302.79246243641944</v>
      </c>
      <c r="C411">
        <v>218.51606761068635</v>
      </c>
      <c r="D411">
        <v>134.2396727849532</v>
      </c>
      <c r="E411">
        <v>49.963277959220079</v>
      </c>
      <c r="H411">
        <f>SMALL(SimDataScen!$B$9:$B$508,405)</f>
        <v>374.40866759553836</v>
      </c>
      <c r="I411">
        <f>1/(COUNT(SimDataScen!$B$9:$B$508)-1)+$I$410</f>
        <v>0.80961923847695461</v>
      </c>
      <c r="J411">
        <f>SMALL(SimDataScen!$C$9:$C$508,405)</f>
        <v>291.45583371603891</v>
      </c>
      <c r="K411">
        <f>1/(COUNT(SimDataScen!$C$9:$C$508)-1)+$K$410</f>
        <v>0.80961923847695461</v>
      </c>
      <c r="L411">
        <f>SMALL(SimDataScen!$D$9:$D$508,405)</f>
        <v>207.953733101701</v>
      </c>
      <c r="M411">
        <f>1/(COUNT(SimDataScen!$D$9:$D$508)-1)+$M$410</f>
        <v>0.80961923847695461</v>
      </c>
      <c r="N411">
        <f>SMALL(SimDataScen!$E$9:$E$508,405)</f>
        <v>126.09067944663397</v>
      </c>
      <c r="O411">
        <f>1/(COUNT(SimDataScen!$E$9:$E$508)-1)+$O$410</f>
        <v>0.80961923847695461</v>
      </c>
    </row>
    <row r="412" spans="1:15">
      <c r="A412">
        <v>404</v>
      </c>
      <c r="B412">
        <v>423.7951645493041</v>
      </c>
      <c r="C412">
        <v>339.25823464147811</v>
      </c>
      <c r="D412">
        <v>254.72130473365203</v>
      </c>
      <c r="E412">
        <v>170.18437482582601</v>
      </c>
      <c r="H412">
        <f>SMALL(SimDataScen!$B$9:$B$508,406)</f>
        <v>374.63095994070079</v>
      </c>
      <c r="I412">
        <f>1/(COUNT(SimDataScen!$B$9:$B$508)-1)+$I$411</f>
        <v>0.81162324649298667</v>
      </c>
      <c r="J412">
        <f>SMALL(SimDataScen!$C$9:$C$508,406)</f>
        <v>292.52293946963965</v>
      </c>
      <c r="K412">
        <f>1/(COUNT(SimDataScen!$C$9:$C$508)-1)+$K$411</f>
        <v>0.81162324649298667</v>
      </c>
      <c r="L412">
        <f>SMALL(SimDataScen!$D$9:$D$508,406)</f>
        <v>208.19103110876921</v>
      </c>
      <c r="M412">
        <f>1/(COUNT(SimDataScen!$D$9:$D$508)-1)+$M$411</f>
        <v>0.81162324649298667</v>
      </c>
      <c r="N412">
        <f>SMALL(SimDataScen!$E$9:$E$508,406)</f>
        <v>126.13564169663584</v>
      </c>
      <c r="O412">
        <f>1/(COUNT(SimDataScen!$E$9:$E$508)-1)+$O$411</f>
        <v>0.81162324649298667</v>
      </c>
    </row>
    <row r="413" spans="1:15">
      <c r="A413">
        <v>405</v>
      </c>
      <c r="B413">
        <v>271.08413093828324</v>
      </c>
      <c r="C413">
        <v>192.52436830226429</v>
      </c>
      <c r="D413">
        <v>113.96460566624533</v>
      </c>
      <c r="E413">
        <v>35.404843030226374</v>
      </c>
      <c r="H413">
        <f>SMALL(SimDataScen!$B$9:$B$508,407)</f>
        <v>375.95863327520561</v>
      </c>
      <c r="I413">
        <f>1/(COUNT(SimDataScen!$B$9:$B$508)-1)+$I$412</f>
        <v>0.81362725450901874</v>
      </c>
      <c r="J413">
        <f>SMALL(SimDataScen!$C$9:$C$508,407)</f>
        <v>292.90259446212451</v>
      </c>
      <c r="K413">
        <f>1/(COUNT(SimDataScen!$C$9:$C$508)-1)+$K$412</f>
        <v>0.81362725450901874</v>
      </c>
      <c r="L413">
        <f>SMALL(SimDataScen!$D$9:$D$508,407)</f>
        <v>209.66672485349463</v>
      </c>
      <c r="M413">
        <f>1/(COUNT(SimDataScen!$D$9:$D$508)-1)+$M$412</f>
        <v>0.81362725450901874</v>
      </c>
      <c r="N413">
        <f>SMALL(SimDataScen!$E$9:$E$508,407)</f>
        <v>126.79051683596236</v>
      </c>
      <c r="O413">
        <f>1/(COUNT(SimDataScen!$E$9:$E$508)-1)+$O$412</f>
        <v>0.81362725450901874</v>
      </c>
    </row>
    <row r="414" spans="1:15">
      <c r="A414">
        <v>406</v>
      </c>
      <c r="B414">
        <v>215.58204327922658</v>
      </c>
      <c r="C414">
        <v>135.58646218946853</v>
      </c>
      <c r="D414">
        <v>55.590881099710458</v>
      </c>
      <c r="E414">
        <v>-24.40469999004759</v>
      </c>
      <c r="H414">
        <f>SMALL(SimDataScen!$B$9:$B$508,408)</f>
        <v>376.02219089070724</v>
      </c>
      <c r="I414">
        <f>1/(COUNT(SimDataScen!$B$9:$B$508)-1)+$I$413</f>
        <v>0.8156312625250508</v>
      </c>
      <c r="J414">
        <f>SMALL(SimDataScen!$C$9:$C$508,408)</f>
        <v>295.58258852347598</v>
      </c>
      <c r="K414">
        <f>1/(COUNT(SimDataScen!$C$9:$C$508)-1)+$K$413</f>
        <v>0.8156312625250508</v>
      </c>
      <c r="L414">
        <f>SMALL(SimDataScen!$D$9:$D$508,408)</f>
        <v>209.84655564904344</v>
      </c>
      <c r="M414">
        <f>1/(COUNT(SimDataScen!$D$9:$D$508)-1)+$M$413</f>
        <v>0.8156312625250508</v>
      </c>
      <c r="N414">
        <f>SMALL(SimDataScen!$E$9:$E$508,408)</f>
        <v>127.11615593684684</v>
      </c>
      <c r="O414">
        <f>1/(COUNT(SimDataScen!$E$9:$E$508)-1)+$O$413</f>
        <v>0.8156312625250508</v>
      </c>
    </row>
    <row r="415" spans="1:15">
      <c r="A415">
        <v>407</v>
      </c>
      <c r="B415">
        <v>199.57144552392597</v>
      </c>
      <c r="C415">
        <v>112.96078475040756</v>
      </c>
      <c r="D415">
        <v>26.350123976889108</v>
      </c>
      <c r="E415">
        <v>-60.26053679662931</v>
      </c>
      <c r="H415">
        <f>SMALL(SimDataScen!$B$9:$B$508,409)</f>
        <v>376.33436894115562</v>
      </c>
      <c r="I415">
        <f>1/(COUNT(SimDataScen!$B$9:$B$508)-1)+$I$414</f>
        <v>0.81763527054108287</v>
      </c>
      <c r="J415">
        <f>SMALL(SimDataScen!$C$9:$C$508,409)</f>
        <v>296.21269699358561</v>
      </c>
      <c r="K415">
        <f>1/(COUNT(SimDataScen!$C$9:$C$508)-1)+$K$414</f>
        <v>0.81763527054108287</v>
      </c>
      <c r="L415">
        <f>SMALL(SimDataScen!$D$9:$D$508,409)</f>
        <v>210.41690669217084</v>
      </c>
      <c r="M415">
        <f>1/(COUNT(SimDataScen!$D$9:$D$508)-1)+$M$414</f>
        <v>0.81763527054108287</v>
      </c>
      <c r="N415">
        <f>SMALL(SimDataScen!$E$9:$E$508,409)</f>
        <v>129.10540254731342</v>
      </c>
      <c r="O415">
        <f>1/(COUNT(SimDataScen!$E$9:$E$508)-1)+$O$414</f>
        <v>0.81763527054108287</v>
      </c>
    </row>
    <row r="416" spans="1:15">
      <c r="A416">
        <v>408</v>
      </c>
      <c r="B416">
        <v>314.71812455581454</v>
      </c>
      <c r="C416">
        <v>233.50716842317337</v>
      </c>
      <c r="D416">
        <v>152.2962122905322</v>
      </c>
      <c r="E416">
        <v>71.085256157891024</v>
      </c>
      <c r="H416">
        <f>SMALL(SimDataScen!$B$9:$B$508,410)</f>
        <v>378.23224650896293</v>
      </c>
      <c r="I416">
        <f>1/(COUNT(SimDataScen!$B$9:$B$508)-1)+$I$415</f>
        <v>0.81963927855711494</v>
      </c>
      <c r="J416">
        <f>SMALL(SimDataScen!$C$9:$C$508,410)</f>
        <v>296.26276977264092</v>
      </c>
      <c r="K416">
        <f>1/(COUNT(SimDataScen!$C$9:$C$508)-1)+$K$415</f>
        <v>0.81963927855711494</v>
      </c>
      <c r="L416">
        <f>SMALL(SimDataScen!$D$9:$D$508,410)</f>
        <v>210.81417100847654</v>
      </c>
      <c r="M416">
        <f>1/(COUNT(SimDataScen!$D$9:$D$508)-1)+$M$415</f>
        <v>0.81963927855711494</v>
      </c>
      <c r="N416">
        <f>SMALL(SimDataScen!$E$9:$E$508,410)</f>
        <v>129.90550284908289</v>
      </c>
      <c r="O416">
        <f>1/(COUNT(SimDataScen!$E$9:$E$508)-1)+$O$415</f>
        <v>0.81963927855711494</v>
      </c>
    </row>
    <row r="417" spans="1:15">
      <c r="A417">
        <v>409</v>
      </c>
      <c r="B417">
        <v>302.80109570501804</v>
      </c>
      <c r="C417">
        <v>219.063794592016</v>
      </c>
      <c r="D417">
        <v>135.32649347901392</v>
      </c>
      <c r="E417">
        <v>51.589192366011872</v>
      </c>
      <c r="H417">
        <f>SMALL(SimDataScen!$B$9:$B$508,411)</f>
        <v>379.16936014938051</v>
      </c>
      <c r="I417">
        <f>1/(COUNT(SimDataScen!$B$9:$B$508)-1)+$I$416</f>
        <v>0.821643286573147</v>
      </c>
      <c r="J417">
        <f>SMALL(SimDataScen!$C$9:$C$508,411)</f>
        <v>297.42798435620512</v>
      </c>
      <c r="K417">
        <f>1/(COUNT(SimDataScen!$C$9:$C$508)-1)+$K$416</f>
        <v>0.821643286573147</v>
      </c>
      <c r="L417">
        <f>SMALL(SimDataScen!$D$9:$D$508,411)</f>
        <v>211.1516882201098</v>
      </c>
      <c r="M417">
        <f>1/(COUNT(SimDataScen!$D$9:$D$508)-1)+$M$416</f>
        <v>0.821643286573147</v>
      </c>
      <c r="N417">
        <f>SMALL(SimDataScen!$E$9:$E$508,411)</f>
        <v>133.91393463923848</v>
      </c>
      <c r="O417">
        <f>1/(COUNT(SimDataScen!$E$9:$E$508)-1)+$O$416</f>
        <v>0.821643286573147</v>
      </c>
    </row>
    <row r="418" spans="1:15">
      <c r="A418">
        <v>410</v>
      </c>
      <c r="B418">
        <v>189.75201379432474</v>
      </c>
      <c r="C418">
        <v>122.77970684351207</v>
      </c>
      <c r="D418">
        <v>55.807399892699408</v>
      </c>
      <c r="E418">
        <v>-11.164907058113243</v>
      </c>
      <c r="H418">
        <f>SMALL(SimDataScen!$B$9:$B$508,412)</f>
        <v>381.13188372869229</v>
      </c>
      <c r="I418">
        <f>1/(COUNT(SimDataScen!$B$9:$B$508)-1)+$I$417</f>
        <v>0.82364729458917907</v>
      </c>
      <c r="J418">
        <f>SMALL(SimDataScen!$C$9:$C$508,412)</f>
        <v>297.46650266564558</v>
      </c>
      <c r="K418">
        <f>1/(COUNT(SimDataScen!$C$9:$C$508)-1)+$K$417</f>
        <v>0.82364729458917907</v>
      </c>
      <c r="L418">
        <f>SMALL(SimDataScen!$D$9:$D$508,412)</f>
        <v>215.14298615624466</v>
      </c>
      <c r="M418">
        <f>1/(COUNT(SimDataScen!$D$9:$D$508)-1)+$M$417</f>
        <v>0.82364729458917907</v>
      </c>
      <c r="N418">
        <f>SMALL(SimDataScen!$E$9:$E$508,412)</f>
        <v>134.15556853824583</v>
      </c>
      <c r="O418">
        <f>1/(COUNT(SimDataScen!$E$9:$E$508)-1)+$O$417</f>
        <v>0.82364729458917907</v>
      </c>
    </row>
    <row r="419" spans="1:15">
      <c r="A419">
        <v>411</v>
      </c>
      <c r="B419">
        <v>229.36484924874978</v>
      </c>
      <c r="C419">
        <v>154.34463692217304</v>
      </c>
      <c r="D419">
        <v>79.32442459559627</v>
      </c>
      <c r="E419">
        <v>4.3042122690195157</v>
      </c>
      <c r="H419">
        <f>SMALL(SimDataScen!$B$9:$B$508,413)</f>
        <v>381.27370576706147</v>
      </c>
      <c r="I419">
        <f>1/(COUNT(SimDataScen!$B$9:$B$508)-1)+$I$418</f>
        <v>0.82565130260521113</v>
      </c>
      <c r="J419">
        <f>SMALL(SimDataScen!$C$9:$C$508,413)</f>
        <v>299.89094427818338</v>
      </c>
      <c r="K419">
        <f>1/(COUNT(SimDataScen!$C$9:$C$508)-1)+$K$418</f>
        <v>0.82565130260521113</v>
      </c>
      <c r="L419">
        <f>SMALL(SimDataScen!$D$9:$D$508,413)</f>
        <v>218.41064548873274</v>
      </c>
      <c r="M419">
        <f>1/(COUNT(SimDataScen!$D$9:$D$508)-1)+$M$418</f>
        <v>0.82565130260521113</v>
      </c>
      <c r="N419">
        <f>SMALL(SimDataScen!$E$9:$E$508,413)</f>
        <v>134.27778596587973</v>
      </c>
      <c r="O419">
        <f>1/(COUNT(SimDataScen!$E$9:$E$508)-1)+$O$418</f>
        <v>0.82565130260521113</v>
      </c>
    </row>
    <row r="420" spans="1:15">
      <c r="A420">
        <v>412</v>
      </c>
      <c r="B420">
        <v>364.16713771612882</v>
      </c>
      <c r="C420">
        <v>282.05709016766423</v>
      </c>
      <c r="D420">
        <v>199.94704261919958</v>
      </c>
      <c r="E420">
        <v>117.83699507073496</v>
      </c>
      <c r="H420">
        <f>SMALL(SimDataScen!$B$9:$B$508,414)</f>
        <v>382.10291564809199</v>
      </c>
      <c r="I420">
        <f>1/(COUNT(SimDataScen!$B$9:$B$508)-1)+$I$419</f>
        <v>0.8276553106212432</v>
      </c>
      <c r="J420">
        <f>SMALL(SimDataScen!$C$9:$C$508,414)</f>
        <v>300.2146027138092</v>
      </c>
      <c r="K420">
        <f>1/(COUNT(SimDataScen!$C$9:$C$508)-1)+$K$419</f>
        <v>0.8276553106212432</v>
      </c>
      <c r="L420">
        <f>SMALL(SimDataScen!$D$9:$D$508,414)</f>
        <v>218.59863639013548</v>
      </c>
      <c r="M420">
        <f>1/(COUNT(SimDataScen!$D$9:$D$508)-1)+$M$419</f>
        <v>0.8276553106212432</v>
      </c>
      <c r="N420">
        <f>SMALL(SimDataScen!$E$9:$E$508,414)</f>
        <v>134.7033837890134</v>
      </c>
      <c r="O420">
        <f>1/(COUNT(SimDataScen!$E$9:$E$508)-1)+$O$419</f>
        <v>0.8276553106212432</v>
      </c>
    </row>
    <row r="421" spans="1:15">
      <c r="A421">
        <v>413</v>
      </c>
      <c r="B421">
        <v>269.43856343732762</v>
      </c>
      <c r="C421">
        <v>191.46197538432739</v>
      </c>
      <c r="D421">
        <v>113.48538733132715</v>
      </c>
      <c r="E421">
        <v>35.508799278326904</v>
      </c>
      <c r="H421">
        <f>SMALL(SimDataScen!$B$9:$B$508,415)</f>
        <v>382.10863285311103</v>
      </c>
      <c r="I421">
        <f>1/(COUNT(SimDataScen!$B$9:$B$508)-1)+$I$420</f>
        <v>0.82965931863727527</v>
      </c>
      <c r="J421">
        <f>SMALL(SimDataScen!$C$9:$C$508,415)</f>
        <v>300.48492389283393</v>
      </c>
      <c r="K421">
        <f>1/(COUNT(SimDataScen!$C$9:$C$508)-1)+$K$420</f>
        <v>0.82965931863727527</v>
      </c>
      <c r="L421">
        <f>SMALL(SimDataScen!$D$9:$D$508,415)</f>
        <v>218.86693213757587</v>
      </c>
      <c r="M421">
        <f>1/(COUNT(SimDataScen!$D$9:$D$508)-1)+$M$420</f>
        <v>0.82965931863727527</v>
      </c>
      <c r="N421">
        <f>SMALL(SimDataScen!$E$9:$E$508,415)</f>
        <v>136.9184476358364</v>
      </c>
      <c r="O421">
        <f>1/(COUNT(SimDataScen!$E$9:$E$508)-1)+$O$420</f>
        <v>0.82965931863727527</v>
      </c>
    </row>
    <row r="422" spans="1:15">
      <c r="A422">
        <v>414</v>
      </c>
      <c r="B422">
        <v>260.09153418865867</v>
      </c>
      <c r="C422">
        <v>182.50537211729977</v>
      </c>
      <c r="D422">
        <v>104.9192100459409</v>
      </c>
      <c r="E422">
        <v>27.33304797458203</v>
      </c>
      <c r="H422">
        <f>SMALL(SimDataScen!$B$9:$B$508,416)</f>
        <v>382.76555169798053</v>
      </c>
      <c r="I422">
        <f>1/(COUNT(SimDataScen!$B$9:$B$508)-1)+$I$421</f>
        <v>0.83166332665330733</v>
      </c>
      <c r="J422">
        <f>SMALL(SimDataScen!$C$9:$C$508,416)</f>
        <v>300.9756051248915</v>
      </c>
      <c r="K422">
        <f>1/(COUNT(SimDataScen!$C$9:$C$508)-1)+$K$421</f>
        <v>0.83166332665330733</v>
      </c>
      <c r="L422">
        <f>SMALL(SimDataScen!$D$9:$D$508,416)</f>
        <v>219.59333843782605</v>
      </c>
      <c r="M422">
        <f>1/(COUNT(SimDataScen!$D$9:$D$508)-1)+$M$421</f>
        <v>0.83166332665330733</v>
      </c>
      <c r="N422">
        <f>SMALL(SimDataScen!$E$9:$E$508,416)</f>
        <v>137.0671225946179</v>
      </c>
      <c r="O422">
        <f>1/(COUNT(SimDataScen!$E$9:$E$508)-1)+$O$421</f>
        <v>0.83166332665330733</v>
      </c>
    </row>
    <row r="423" spans="1:15">
      <c r="A423">
        <v>415</v>
      </c>
      <c r="B423">
        <v>307.33583062453056</v>
      </c>
      <c r="C423">
        <v>222.09877021450401</v>
      </c>
      <c r="D423">
        <v>136.86170980447747</v>
      </c>
      <c r="E423">
        <v>51.624649394450927</v>
      </c>
      <c r="H423">
        <f>SMALL(SimDataScen!$B$9:$B$508,417)</f>
        <v>384.9431200418054</v>
      </c>
      <c r="I423">
        <f>1/(COUNT(SimDataScen!$B$9:$B$508)-1)+$I$422</f>
        <v>0.8336673346693394</v>
      </c>
      <c r="J423">
        <f>SMALL(SimDataScen!$C$9:$C$508,417)</f>
        <v>302.2682292398157</v>
      </c>
      <c r="K423">
        <f>1/(COUNT(SimDataScen!$C$9:$C$508)-1)+$K$422</f>
        <v>0.8336673346693394</v>
      </c>
      <c r="L423">
        <f>SMALL(SimDataScen!$D$9:$D$508,417)</f>
        <v>220.44730111687181</v>
      </c>
      <c r="M423">
        <f>1/(COUNT(SimDataScen!$D$9:$D$508)-1)+$M$422</f>
        <v>0.8336673346693394</v>
      </c>
      <c r="N423">
        <f>SMALL(SimDataScen!$E$9:$E$508,417)</f>
        <v>137.20366199898248</v>
      </c>
      <c r="O423">
        <f>1/(COUNT(SimDataScen!$E$9:$E$508)-1)+$O$422</f>
        <v>0.8336673346693394</v>
      </c>
    </row>
    <row r="424" spans="1:15">
      <c r="A424">
        <v>416</v>
      </c>
      <c r="B424">
        <v>392.72838882901391</v>
      </c>
      <c r="C424">
        <v>299.89094427818338</v>
      </c>
      <c r="D424">
        <v>207.05349972735283</v>
      </c>
      <c r="E424">
        <v>114.2160551765223</v>
      </c>
      <c r="H424">
        <f>SMALL(SimDataScen!$B$9:$B$508,418)</f>
        <v>385.25502966622906</v>
      </c>
      <c r="I424">
        <f>1/(COUNT(SimDataScen!$B$9:$B$508)-1)+$I$423</f>
        <v>0.83567134268537147</v>
      </c>
      <c r="J424">
        <f>SMALL(SimDataScen!$C$9:$C$508,418)</f>
        <v>302.54350501158581</v>
      </c>
      <c r="K424">
        <f>1/(COUNT(SimDataScen!$C$9:$C$508)-1)+$K$423</f>
        <v>0.83567134268537147</v>
      </c>
      <c r="L424">
        <f>SMALL(SimDataScen!$D$9:$D$508,418)</f>
        <v>220.81932652109072</v>
      </c>
      <c r="M424">
        <f>1/(COUNT(SimDataScen!$D$9:$D$508)-1)+$M$423</f>
        <v>0.83567134268537147</v>
      </c>
      <c r="N424">
        <f>SMALL(SimDataScen!$E$9:$E$508,418)</f>
        <v>137.24894038231781</v>
      </c>
      <c r="O424">
        <f>1/(COUNT(SimDataScen!$E$9:$E$508)-1)+$O$423</f>
        <v>0.83567134268537147</v>
      </c>
    </row>
    <row r="425" spans="1:15">
      <c r="A425">
        <v>417</v>
      </c>
      <c r="B425">
        <v>167.00457289333241</v>
      </c>
      <c r="C425">
        <v>91.280614510707963</v>
      </c>
      <c r="D425">
        <v>15.556656128083503</v>
      </c>
      <c r="E425">
        <v>-60.167302254540942</v>
      </c>
      <c r="H425">
        <f>SMALL(SimDataScen!$B$9:$B$508,419)</f>
        <v>386.67636453443879</v>
      </c>
      <c r="I425">
        <f>1/(COUNT(SimDataScen!$B$9:$B$508)-1)+$I$424</f>
        <v>0.83767535070140353</v>
      </c>
      <c r="J425">
        <f>SMALL(SimDataScen!$C$9:$C$508,419)</f>
        <v>303.30888074593963</v>
      </c>
      <c r="K425">
        <f>1/(COUNT(SimDataScen!$C$9:$C$508)-1)+$K$424</f>
        <v>0.83767535070140353</v>
      </c>
      <c r="L425">
        <f>SMALL(SimDataScen!$D$9:$D$508,419)</f>
        <v>222.16774889629511</v>
      </c>
      <c r="M425">
        <f>1/(COUNT(SimDataScen!$D$9:$D$508)-1)+$M$424</f>
        <v>0.83767535070140353</v>
      </c>
      <c r="N425">
        <f>SMALL(SimDataScen!$E$9:$E$508,419)</f>
        <v>139.73077011462539</v>
      </c>
      <c r="O425">
        <f>1/(COUNT(SimDataScen!$E$9:$E$508)-1)+$O$424</f>
        <v>0.83767535070140353</v>
      </c>
    </row>
    <row r="426" spans="1:15">
      <c r="A426">
        <v>418</v>
      </c>
      <c r="B426">
        <v>285.51906255039637</v>
      </c>
      <c r="C426">
        <v>197.93688830798919</v>
      </c>
      <c r="D426">
        <v>110.35471406558202</v>
      </c>
      <c r="E426">
        <v>22.772539823174839</v>
      </c>
      <c r="H426">
        <f>SMALL(SimDataScen!$B$9:$B$508,420)</f>
        <v>387.52783283166832</v>
      </c>
      <c r="I426">
        <f>1/(COUNT(SimDataScen!$B$9:$B$508)-1)+$I$425</f>
        <v>0.8396793587174356</v>
      </c>
      <c r="J426">
        <f>SMALL(SimDataScen!$C$9:$C$508,420)</f>
        <v>303.79553955974973</v>
      </c>
      <c r="K426">
        <f>1/(COUNT(SimDataScen!$C$9:$C$508)-1)+$K$425</f>
        <v>0.8396793587174356</v>
      </c>
      <c r="L426">
        <f>SMALL(SimDataScen!$D$9:$D$508,420)</f>
        <v>222.52613296207312</v>
      </c>
      <c r="M426">
        <f>1/(COUNT(SimDataScen!$D$9:$D$508)-1)+$M$425</f>
        <v>0.8396793587174356</v>
      </c>
      <c r="N426">
        <f>SMALL(SimDataScen!$E$9:$E$508,420)</f>
        <v>140.66304791728996</v>
      </c>
      <c r="O426">
        <f>1/(COUNT(SimDataScen!$E$9:$E$508)-1)+$O$425</f>
        <v>0.8396793587174356</v>
      </c>
    </row>
    <row r="427" spans="1:15">
      <c r="A427">
        <v>419</v>
      </c>
      <c r="B427">
        <v>325.29010419852943</v>
      </c>
      <c r="C427">
        <v>243.98516950893463</v>
      </c>
      <c r="D427">
        <v>162.68023481933983</v>
      </c>
      <c r="E427">
        <v>81.375300129745057</v>
      </c>
      <c r="H427">
        <f>SMALL(SimDataScen!$B$9:$B$508,421)</f>
        <v>390.20539021063308</v>
      </c>
      <c r="I427">
        <f>1/(COUNT(SimDataScen!$B$9:$B$508)-1)+$I$426</f>
        <v>0.84168336673346766</v>
      </c>
      <c r="J427">
        <f>SMALL(SimDataScen!$C$9:$C$508,421)</f>
        <v>303.89058131415106</v>
      </c>
      <c r="K427">
        <f>1/(COUNT(SimDataScen!$C$9:$C$508)-1)+$K$426</f>
        <v>0.84168336673346766</v>
      </c>
      <c r="L427">
        <f>SMALL(SimDataScen!$D$9:$D$508,421)</f>
        <v>223.62047030163896</v>
      </c>
      <c r="M427">
        <f>1/(COUNT(SimDataScen!$D$9:$D$508)-1)+$M$426</f>
        <v>0.84168336673346766</v>
      </c>
      <c r="N427">
        <f>SMALL(SimDataScen!$E$9:$E$508,421)</f>
        <v>141.16168460999515</v>
      </c>
      <c r="O427">
        <f>1/(COUNT(SimDataScen!$E$9:$E$508)-1)+$O$426</f>
        <v>0.84168336673346766</v>
      </c>
    </row>
    <row r="428" spans="1:15">
      <c r="A428">
        <v>420</v>
      </c>
      <c r="B428">
        <v>449.64271680875692</v>
      </c>
      <c r="C428">
        <v>370.47065476019077</v>
      </c>
      <c r="D428">
        <v>291.29859271162456</v>
      </c>
      <c r="E428">
        <v>212.12653066305842</v>
      </c>
      <c r="H428">
        <f>SMALL(SimDataScen!$B$9:$B$508,422)</f>
        <v>392.6909554635717</v>
      </c>
      <c r="I428">
        <f>1/(COUNT(SimDataScen!$B$9:$B$508)-1)+$I$427</f>
        <v>0.84368737474949973</v>
      </c>
      <c r="J428">
        <f>SMALL(SimDataScen!$C$9:$C$508,422)</f>
        <v>306.7438409795692</v>
      </c>
      <c r="K428">
        <f>1/(COUNT(SimDataScen!$C$9:$C$508)-1)+$K$427</f>
        <v>0.84368737474949973</v>
      </c>
      <c r="L428">
        <f>SMALL(SimDataScen!$D$9:$D$508,422)</f>
        <v>224.13738137882706</v>
      </c>
      <c r="M428">
        <f>1/(COUNT(SimDataScen!$D$9:$D$508)-1)+$M$427</f>
        <v>0.84368737474949973</v>
      </c>
      <c r="N428">
        <f>SMALL(SimDataScen!$E$9:$E$508,422)</f>
        <v>141.40468021253028</v>
      </c>
      <c r="O428">
        <f>1/(COUNT(SimDataScen!$E$9:$E$508)-1)+$O$427</f>
        <v>0.84368737474949973</v>
      </c>
    </row>
    <row r="429" spans="1:15">
      <c r="A429">
        <v>421</v>
      </c>
      <c r="B429">
        <v>250.47846639077736</v>
      </c>
      <c r="C429">
        <v>172.28324483557952</v>
      </c>
      <c r="D429">
        <v>94.088023280381663</v>
      </c>
      <c r="E429">
        <v>15.89280172518383</v>
      </c>
      <c r="H429">
        <f>SMALL(SimDataScen!$B$9:$B$508,423)</f>
        <v>392.72838882901391</v>
      </c>
      <c r="I429">
        <f>1/(COUNT(SimDataScen!$B$9:$B$508)-1)+$I$428</f>
        <v>0.8456913827655318</v>
      </c>
      <c r="J429">
        <f>SMALL(SimDataScen!$C$9:$C$508,423)</f>
        <v>309.19706317229003</v>
      </c>
      <c r="K429">
        <f>1/(COUNT(SimDataScen!$C$9:$C$508)-1)+$K$428</f>
        <v>0.8456913827655318</v>
      </c>
      <c r="L429">
        <f>SMALL(SimDataScen!$D$9:$D$508,423)</f>
        <v>224.82552742151887</v>
      </c>
      <c r="M429">
        <f>1/(COUNT(SimDataScen!$D$9:$D$508)-1)+$M$428</f>
        <v>0.8456913827655318</v>
      </c>
      <c r="N429">
        <f>SMALL(SimDataScen!$E$9:$E$508,423)</f>
        <v>141.86269511543634</v>
      </c>
      <c r="O429">
        <f>1/(COUNT(SimDataScen!$E$9:$E$508)-1)+$O$428</f>
        <v>0.8456913827655318</v>
      </c>
    </row>
    <row r="430" spans="1:15">
      <c r="A430">
        <v>422</v>
      </c>
      <c r="B430">
        <v>145.84848089022017</v>
      </c>
      <c r="C430">
        <v>72.354698099244501</v>
      </c>
      <c r="D430">
        <v>-1.1390846917311706</v>
      </c>
      <c r="E430">
        <v>-74.632867482706843</v>
      </c>
      <c r="H430">
        <f>SMALL(SimDataScen!$B$9:$B$508,424)</f>
        <v>392.79103418549562</v>
      </c>
      <c r="I430">
        <f>1/(COUNT(SimDataScen!$B$9:$B$508)-1)+$I$429</f>
        <v>0.84769539078156386</v>
      </c>
      <c r="J430">
        <f>SMALL(SimDataScen!$C$9:$C$508,424)</f>
        <v>309.41706058782358</v>
      </c>
      <c r="K430">
        <f>1/(COUNT(SimDataScen!$C$9:$C$508)-1)+$K$429</f>
        <v>0.84769539078156386</v>
      </c>
      <c r="L430">
        <f>SMALL(SimDataScen!$D$9:$D$508,424)</f>
        <v>225.41087040017695</v>
      </c>
      <c r="M430">
        <f>1/(COUNT(SimDataScen!$D$9:$D$508)-1)+$M$429</f>
        <v>0.84769539078156386</v>
      </c>
      <c r="N430">
        <f>SMALL(SimDataScen!$E$9:$E$508,424)</f>
        <v>142.00912114587874</v>
      </c>
      <c r="O430">
        <f>1/(COUNT(SimDataScen!$E$9:$E$508)-1)+$O$429</f>
        <v>0.84769539078156386</v>
      </c>
    </row>
    <row r="431" spans="1:15">
      <c r="A431">
        <v>423</v>
      </c>
      <c r="B431">
        <v>256.8280313955658</v>
      </c>
      <c r="C431">
        <v>182.74253183106447</v>
      </c>
      <c r="D431">
        <v>108.65703226656309</v>
      </c>
      <c r="E431">
        <v>34.571532702061745</v>
      </c>
      <c r="H431">
        <f>SMALL(SimDataScen!$B$9:$B$508,425)</f>
        <v>393.42325077547025</v>
      </c>
      <c r="I431">
        <f>1/(COUNT(SimDataScen!$B$9:$B$508)-1)+$I$430</f>
        <v>0.84969939879759593</v>
      </c>
      <c r="J431">
        <f>SMALL(SimDataScen!$C$9:$C$508,425)</f>
        <v>310.03727860429547</v>
      </c>
      <c r="K431">
        <f>1/(COUNT(SimDataScen!$C$9:$C$508)-1)+$K$430</f>
        <v>0.84969939879759593</v>
      </c>
      <c r="L431">
        <f>SMALL(SimDataScen!$D$9:$D$508,425)</f>
        <v>225.60309215908435</v>
      </c>
      <c r="M431">
        <f>1/(COUNT(SimDataScen!$D$9:$D$508)-1)+$M$430</f>
        <v>0.84969939879759593</v>
      </c>
      <c r="N431">
        <f>SMALL(SimDataScen!$E$9:$E$508,425)</f>
        <v>143.46661787753857</v>
      </c>
      <c r="O431">
        <f>1/(COUNT(SimDataScen!$E$9:$E$508)-1)+$O$430</f>
        <v>0.84969939879759593</v>
      </c>
    </row>
    <row r="432" spans="1:15">
      <c r="A432">
        <v>424</v>
      </c>
      <c r="B432">
        <v>233.55703126226308</v>
      </c>
      <c r="C432">
        <v>153.32440949625834</v>
      </c>
      <c r="D432">
        <v>73.0917877302536</v>
      </c>
      <c r="E432">
        <v>-7.1408340357511406</v>
      </c>
      <c r="H432">
        <f>SMALL(SimDataScen!$B$9:$B$508,426)</f>
        <v>393.82433914604815</v>
      </c>
      <c r="I432">
        <f>1/(COUNT(SimDataScen!$B$9:$B$508)-1)+$I$431</f>
        <v>0.85170340681362799</v>
      </c>
      <c r="J432">
        <f>SMALL(SimDataScen!$C$9:$C$508,426)</f>
        <v>310.17992925434442</v>
      </c>
      <c r="K432">
        <f>1/(COUNT(SimDataScen!$C$9:$C$508)-1)+$K$431</f>
        <v>0.85170340681362799</v>
      </c>
      <c r="L432">
        <f>SMALL(SimDataScen!$D$9:$D$508,426)</f>
        <v>225.95984912747005</v>
      </c>
      <c r="M432">
        <f>1/(COUNT(SimDataScen!$D$9:$D$508)-1)+$M$431</f>
        <v>0.85170340681362799</v>
      </c>
      <c r="N432">
        <f>SMALL(SimDataScen!$E$9:$E$508,426)</f>
        <v>145.17585727537093</v>
      </c>
      <c r="O432">
        <f>1/(COUNT(SimDataScen!$E$9:$E$508)-1)+$O$431</f>
        <v>0.85170340681362799</v>
      </c>
    </row>
    <row r="433" spans="1:15">
      <c r="A433">
        <v>425</v>
      </c>
      <c r="B433">
        <v>298.07620493655361</v>
      </c>
      <c r="C433">
        <v>223.25068095965429</v>
      </c>
      <c r="D433">
        <v>148.42515698275491</v>
      </c>
      <c r="E433">
        <v>73.599633005855537</v>
      </c>
      <c r="H433">
        <f>SMALL(SimDataScen!$B$9:$B$508,427)</f>
        <v>394.82361171193907</v>
      </c>
      <c r="I433">
        <f>1/(COUNT(SimDataScen!$B$9:$B$508)-1)+$I$432</f>
        <v>0.85370741482966006</v>
      </c>
      <c r="J433">
        <f>SMALL(SimDataScen!$C$9:$C$508,427)</f>
        <v>310.42265513801868</v>
      </c>
      <c r="K433">
        <f>1/(COUNT(SimDataScen!$C$9:$C$508)-1)+$K$432</f>
        <v>0.85370741482966006</v>
      </c>
      <c r="L433">
        <f>SMALL(SimDataScen!$D$9:$D$508,427)</f>
        <v>228.38551498291628</v>
      </c>
      <c r="M433">
        <f>1/(COUNT(SimDataScen!$D$9:$D$508)-1)+$M$432</f>
        <v>0.85370741482966006</v>
      </c>
      <c r="N433">
        <f>SMALL(SimDataScen!$E$9:$E$508,427)</f>
        <v>145.79543399618689</v>
      </c>
      <c r="O433">
        <f>1/(COUNT(SimDataScen!$E$9:$E$508)-1)+$O$432</f>
        <v>0.85370741482966006</v>
      </c>
    </row>
    <row r="434" spans="1:15">
      <c r="A434">
        <v>426</v>
      </c>
      <c r="B434">
        <v>116.37642136721377</v>
      </c>
      <c r="C434">
        <v>42.520069623604215</v>
      </c>
      <c r="D434">
        <v>-31.33628212000535</v>
      </c>
      <c r="E434">
        <v>-105.1926338636149</v>
      </c>
      <c r="H434">
        <f>SMALL(SimDataScen!$B$9:$B$508,428)</f>
        <v>395.28807873543462</v>
      </c>
      <c r="I434">
        <f>1/(COUNT(SimDataScen!$B$9:$B$508)-1)+$I$433</f>
        <v>0.85571142284569213</v>
      </c>
      <c r="J434">
        <f>SMALL(SimDataScen!$C$9:$C$508,428)</f>
        <v>311.20764016303622</v>
      </c>
      <c r="K434">
        <f>1/(COUNT(SimDataScen!$C$9:$C$508)-1)+$K$433</f>
        <v>0.85571142284569213</v>
      </c>
      <c r="L434">
        <f>SMALL(SimDataScen!$D$9:$D$508,428)</f>
        <v>229.51191475093916</v>
      </c>
      <c r="M434">
        <f>1/(COUNT(SimDataScen!$D$9:$D$508)-1)+$M$433</f>
        <v>0.85571142284569213</v>
      </c>
      <c r="N434">
        <f>SMALL(SimDataScen!$E$9:$E$508,428)</f>
        <v>145.85551528328804</v>
      </c>
      <c r="O434">
        <f>1/(COUNT(SimDataScen!$E$9:$E$508)-1)+$O$433</f>
        <v>0.85571142284569213</v>
      </c>
    </row>
    <row r="435" spans="1:15">
      <c r="A435">
        <v>427</v>
      </c>
      <c r="B435">
        <v>359.30769925413267</v>
      </c>
      <c r="C435">
        <v>276.46348814098064</v>
      </c>
      <c r="D435">
        <v>193.61927702782856</v>
      </c>
      <c r="E435">
        <v>110.77506591467653</v>
      </c>
      <c r="H435">
        <f>SMALL(SimDataScen!$B$9:$B$508,429)</f>
        <v>395.63099429190231</v>
      </c>
      <c r="I435">
        <f>1/(COUNT(SimDataScen!$B$9:$B$508)-1)+$I$434</f>
        <v>0.85771543086172419</v>
      </c>
      <c r="J435">
        <f>SMALL(SimDataScen!$C$9:$C$508,429)</f>
        <v>312.90789307534402</v>
      </c>
      <c r="K435">
        <f>1/(COUNT(SimDataScen!$C$9:$C$508)-1)+$K$434</f>
        <v>0.85771543086172419</v>
      </c>
      <c r="L435">
        <f>SMALL(SimDataScen!$D$9:$D$508,429)</f>
        <v>230.18479185878576</v>
      </c>
      <c r="M435">
        <f>1/(COUNT(SimDataScen!$D$9:$D$508)-1)+$M$434</f>
        <v>0.85771543086172419</v>
      </c>
      <c r="N435">
        <f>SMALL(SimDataScen!$E$9:$E$508,429)</f>
        <v>146.67690536798355</v>
      </c>
      <c r="O435">
        <f>1/(COUNT(SimDataScen!$E$9:$E$508)-1)+$O$434</f>
        <v>0.85771543086172419</v>
      </c>
    </row>
    <row r="436" spans="1:15">
      <c r="A436">
        <v>428</v>
      </c>
      <c r="B436">
        <v>165.17889817972167</v>
      </c>
      <c r="C436">
        <v>89.588742239439469</v>
      </c>
      <c r="D436">
        <v>13.998586299157253</v>
      </c>
      <c r="E436">
        <v>-61.591569641124948</v>
      </c>
      <c r="H436">
        <f>SMALL(SimDataScen!$B$9:$B$508,430)</f>
        <v>396.45408690695194</v>
      </c>
      <c r="I436">
        <f>1/(COUNT(SimDataScen!$B$9:$B$508)-1)+$I$435</f>
        <v>0.85971943887775626</v>
      </c>
      <c r="J436">
        <f>SMALL(SimDataScen!$C$9:$C$508,430)</f>
        <v>313.22839550569148</v>
      </c>
      <c r="K436">
        <f>1/(COUNT(SimDataScen!$C$9:$C$508)-1)+$K$435</f>
        <v>0.85971943887775626</v>
      </c>
      <c r="L436">
        <f>SMALL(SimDataScen!$D$9:$D$508,430)</f>
        <v>230.63992006540423</v>
      </c>
      <c r="M436">
        <f>1/(COUNT(SimDataScen!$D$9:$D$508)-1)+$M$435</f>
        <v>0.85971943887775626</v>
      </c>
      <c r="N436">
        <f>SMALL(SimDataScen!$E$9:$E$508,430)</f>
        <v>147.46169064222747</v>
      </c>
      <c r="O436">
        <f>1/(COUNT(SimDataScen!$E$9:$E$508)-1)+$O$435</f>
        <v>0.85971943887775626</v>
      </c>
    </row>
    <row r="437" spans="1:15">
      <c r="A437">
        <v>429</v>
      </c>
      <c r="B437">
        <v>346.7456949606663</v>
      </c>
      <c r="C437">
        <v>267.90478220171451</v>
      </c>
      <c r="D437">
        <v>189.06386944276272</v>
      </c>
      <c r="E437">
        <v>110.22295668381093</v>
      </c>
      <c r="H437">
        <f>SMALL(SimDataScen!$B$9:$B$508,431)</f>
        <v>396.94487626044372</v>
      </c>
      <c r="I437">
        <f>1/(COUNT(SimDataScen!$B$9:$B$508)-1)+$I$436</f>
        <v>0.86172344689378833</v>
      </c>
      <c r="J437">
        <f>SMALL(SimDataScen!$C$9:$C$508,431)</f>
        <v>313.63991973214598</v>
      </c>
      <c r="K437">
        <f>1/(COUNT(SimDataScen!$C$9:$C$508)-1)+$K$436</f>
        <v>0.86172344689378833</v>
      </c>
      <c r="L437">
        <f>SMALL(SimDataScen!$D$9:$D$508,431)</f>
        <v>230.65821980343722</v>
      </c>
      <c r="M437">
        <f>1/(COUNT(SimDataScen!$D$9:$D$508)-1)+$M$436</f>
        <v>0.86172344689378833</v>
      </c>
      <c r="N437">
        <f>SMALL(SimDataScen!$E$9:$E$508,431)</f>
        <v>148.57076365932494</v>
      </c>
      <c r="O437">
        <f>1/(COUNT(SimDataScen!$E$9:$E$508)-1)+$O$436</f>
        <v>0.86172344689378833</v>
      </c>
    </row>
    <row r="438" spans="1:15">
      <c r="A438">
        <v>430</v>
      </c>
      <c r="B438">
        <v>268.98721053350744</v>
      </c>
      <c r="C438">
        <v>190.55927960114224</v>
      </c>
      <c r="D438">
        <v>112.13134866877705</v>
      </c>
      <c r="E438">
        <v>33.703417736411865</v>
      </c>
      <c r="H438">
        <f>SMALL(SimDataScen!$B$9:$B$508,432)</f>
        <v>398.19210961239366</v>
      </c>
      <c r="I438">
        <f>1/(COUNT(SimDataScen!$B$9:$B$508)-1)+$I$437</f>
        <v>0.86372745490982039</v>
      </c>
      <c r="J438">
        <f>SMALL(SimDataScen!$C$9:$C$508,432)</f>
        <v>313.96483318654214</v>
      </c>
      <c r="K438">
        <f>1/(COUNT(SimDataScen!$C$9:$C$508)-1)+$K$437</f>
        <v>0.86372745490982039</v>
      </c>
      <c r="L438">
        <f>SMALL(SimDataScen!$D$9:$D$508,432)</f>
        <v>232.22364236592648</v>
      </c>
      <c r="M438">
        <f>1/(COUNT(SimDataScen!$D$9:$D$508)-1)+$M$437</f>
        <v>0.86372745490982039</v>
      </c>
      <c r="N438">
        <f>SMALL(SimDataScen!$E$9:$E$508,432)</f>
        <v>150.00629694318889</v>
      </c>
      <c r="O438">
        <f>1/(COUNT(SimDataScen!$E$9:$E$508)-1)+$O$437</f>
        <v>0.86372745490982039</v>
      </c>
    </row>
    <row r="439" spans="1:15">
      <c r="A439">
        <v>431</v>
      </c>
      <c r="B439">
        <v>268.96717204347999</v>
      </c>
      <c r="C439">
        <v>194.90609779906802</v>
      </c>
      <c r="D439">
        <v>120.84502355465605</v>
      </c>
      <c r="E439">
        <v>46.783949310244083</v>
      </c>
      <c r="H439">
        <f>SMALL(SimDataScen!$B$9:$B$508,433)</f>
        <v>398.27789894724538</v>
      </c>
      <c r="I439">
        <f>1/(COUNT(SimDataScen!$B$9:$B$508)-1)+$I$438</f>
        <v>0.86573146292585246</v>
      </c>
      <c r="J439">
        <f>SMALL(SimDataScen!$C$9:$C$508,433)</f>
        <v>314.78783872892404</v>
      </c>
      <c r="K439">
        <f>1/(COUNT(SimDataScen!$C$9:$C$508)-1)+$K$438</f>
        <v>0.86573146292585246</v>
      </c>
      <c r="L439">
        <f>SMALL(SimDataScen!$D$9:$D$508,433)</f>
        <v>233.62950388867367</v>
      </c>
      <c r="M439">
        <f>1/(COUNT(SimDataScen!$D$9:$D$508)-1)+$M$438</f>
        <v>0.86573146292585246</v>
      </c>
      <c r="N439">
        <f>SMALL(SimDataScen!$E$9:$E$508,433)</f>
        <v>150.85718499278983</v>
      </c>
      <c r="O439">
        <f>1/(COUNT(SimDataScen!$E$9:$E$508)-1)+$O$438</f>
        <v>0.86573146292585246</v>
      </c>
    </row>
    <row r="440" spans="1:15">
      <c r="A440">
        <v>432</v>
      </c>
      <c r="B440">
        <v>214.40962682380564</v>
      </c>
      <c r="C440">
        <v>135.86531644642804</v>
      </c>
      <c r="D440">
        <v>57.321006069050455</v>
      </c>
      <c r="E440">
        <v>-21.22330430832713</v>
      </c>
      <c r="H440">
        <f>SMALL(SimDataScen!$B$9:$B$508,434)</f>
        <v>400.03175068354494</v>
      </c>
      <c r="I440">
        <f>1/(COUNT(SimDataScen!$B$9:$B$508)-1)+$I$439</f>
        <v>0.86773547094188452</v>
      </c>
      <c r="J440">
        <f>SMALL(SimDataScen!$C$9:$C$508,434)</f>
        <v>317.25271083415845</v>
      </c>
      <c r="K440">
        <f>1/(COUNT(SimDataScen!$C$9:$C$508)-1)+$K$439</f>
        <v>0.86773547094188452</v>
      </c>
      <c r="L440">
        <f>SMALL(SimDataScen!$D$9:$D$508,434)</f>
        <v>234.10532722703607</v>
      </c>
      <c r="M440">
        <f>1/(COUNT(SimDataScen!$D$9:$D$508)-1)+$M$439</f>
        <v>0.86773547094188452</v>
      </c>
      <c r="N440">
        <f>SMALL(SimDataScen!$E$9:$E$508,434)</f>
        <v>151.76588900758244</v>
      </c>
      <c r="O440">
        <f>1/(COUNT(SimDataScen!$E$9:$E$508)-1)+$O$439</f>
        <v>0.86773547094188452</v>
      </c>
    </row>
    <row r="441" spans="1:15">
      <c r="A441">
        <v>433</v>
      </c>
      <c r="B441">
        <v>305.22351998664959</v>
      </c>
      <c r="C441">
        <v>220.3262990757479</v>
      </c>
      <c r="D441">
        <v>135.42907816484617</v>
      </c>
      <c r="E441">
        <v>50.531857253944452</v>
      </c>
      <c r="H441">
        <f>SMALL(SimDataScen!$B$9:$B$508,435)</f>
        <v>400.8759177796432</v>
      </c>
      <c r="I441">
        <f>1/(COUNT(SimDataScen!$B$9:$B$508)-1)+$I$440</f>
        <v>0.86973947895791659</v>
      </c>
      <c r="J441">
        <f>SMALL(SimDataScen!$C$9:$C$508,435)</f>
        <v>317.77037936386944</v>
      </c>
      <c r="K441">
        <f>1/(COUNT(SimDataScen!$C$9:$C$508)-1)+$K$440</f>
        <v>0.86973947895791659</v>
      </c>
      <c r="L441">
        <f>SMALL(SimDataScen!$D$9:$D$508,435)</f>
        <v>234.28759872241341</v>
      </c>
      <c r="M441">
        <f>1/(COUNT(SimDataScen!$D$9:$D$508)-1)+$M$440</f>
        <v>0.86973947895791659</v>
      </c>
      <c r="N441">
        <f>SMALL(SimDataScen!$E$9:$E$508,435)</f>
        <v>153.46214921989292</v>
      </c>
      <c r="O441">
        <f>1/(COUNT(SimDataScen!$E$9:$E$508)-1)+$O$440</f>
        <v>0.86973947895791659</v>
      </c>
    </row>
    <row r="442" spans="1:15">
      <c r="A442">
        <v>434</v>
      </c>
      <c r="B442">
        <v>218.36215454502292</v>
      </c>
      <c r="C442">
        <v>142.31965069680825</v>
      </c>
      <c r="D442">
        <v>66.277146848593588</v>
      </c>
      <c r="E442">
        <v>-9.7653569996210763</v>
      </c>
      <c r="H442">
        <f>SMALL(SimDataScen!$B$9:$B$508,436)</f>
        <v>402.46209941137721</v>
      </c>
      <c r="I442">
        <f>1/(COUNT(SimDataScen!$B$9:$B$508)-1)+$I$441</f>
        <v>0.87174348697394866</v>
      </c>
      <c r="J442">
        <f>SMALL(SimDataScen!$C$9:$C$508,436)</f>
        <v>318.25633250506331</v>
      </c>
      <c r="K442">
        <f>1/(COUNT(SimDataScen!$C$9:$C$508)-1)+$K$441</f>
        <v>0.87174348697394866</v>
      </c>
      <c r="L442">
        <f>SMALL(SimDataScen!$D$9:$D$508,436)</f>
        <v>234.58888400072021</v>
      </c>
      <c r="M442">
        <f>1/(COUNT(SimDataScen!$D$9:$D$508)-1)+$M$441</f>
        <v>0.87174348697394866</v>
      </c>
      <c r="N442">
        <f>SMALL(SimDataScen!$E$9:$E$508,436)</f>
        <v>153.76744907044014</v>
      </c>
      <c r="O442">
        <f>1/(COUNT(SimDataScen!$E$9:$E$508)-1)+$O$441</f>
        <v>0.87174348697394866</v>
      </c>
    </row>
    <row r="443" spans="1:15">
      <c r="A443">
        <v>435</v>
      </c>
      <c r="B443">
        <v>241.48598634813919</v>
      </c>
      <c r="C443">
        <v>158.31310962589384</v>
      </c>
      <c r="D443">
        <v>75.140232903648467</v>
      </c>
      <c r="E443">
        <v>-8.0326438185968811</v>
      </c>
      <c r="H443">
        <f>SMALL(SimDataScen!$B$9:$B$508,437)</f>
        <v>403.31711636181234</v>
      </c>
      <c r="I443">
        <f>1/(COUNT(SimDataScen!$B$9:$B$508)-1)+$I$442</f>
        <v>0.87374749498998072</v>
      </c>
      <c r="J443">
        <f>SMALL(SimDataScen!$C$9:$C$508,437)</f>
        <v>319.45374449143816</v>
      </c>
      <c r="K443">
        <f>1/(COUNT(SimDataScen!$C$9:$C$508)-1)+$K$442</f>
        <v>0.87374749498998072</v>
      </c>
      <c r="L443">
        <f>SMALL(SimDataScen!$D$9:$D$508,437)</f>
        <v>236.42660032302712</v>
      </c>
      <c r="M443">
        <f>1/(COUNT(SimDataScen!$D$9:$D$508)-1)+$M$442</f>
        <v>0.87374749498998072</v>
      </c>
      <c r="N443">
        <f>SMALL(SimDataScen!$E$9:$E$508,437)</f>
        <v>153.78735871590277</v>
      </c>
      <c r="O443">
        <f>1/(COUNT(SimDataScen!$E$9:$E$508)-1)+$O$442</f>
        <v>0.87374749498998072</v>
      </c>
    </row>
    <row r="444" spans="1:15">
      <c r="A444">
        <v>436</v>
      </c>
      <c r="B444">
        <v>198.30804454700817</v>
      </c>
      <c r="C444">
        <v>120.68544165276965</v>
      </c>
      <c r="D444">
        <v>43.062838758531129</v>
      </c>
      <c r="E444">
        <v>-34.559764135707383</v>
      </c>
      <c r="H444">
        <f>SMALL(SimDataScen!$B$9:$B$508,438)</f>
        <v>408.24926917943901</v>
      </c>
      <c r="I444">
        <f>1/(COUNT(SimDataScen!$B$9:$B$508)-1)+$I$443</f>
        <v>0.87575150300601279</v>
      </c>
      <c r="J444">
        <f>SMALL(SimDataScen!$C$9:$C$508,438)</f>
        <v>320.44033582053572</v>
      </c>
      <c r="K444">
        <f>1/(COUNT(SimDataScen!$C$9:$C$508)-1)+$K$443</f>
        <v>0.87575150300601279</v>
      </c>
      <c r="L444">
        <f>SMALL(SimDataScen!$D$9:$D$508,438)</f>
        <v>236.48091432658168</v>
      </c>
      <c r="M444">
        <f>1/(COUNT(SimDataScen!$D$9:$D$508)-1)+$M$443</f>
        <v>0.87575150300601279</v>
      </c>
      <c r="N444">
        <f>SMALL(SimDataScen!$E$9:$E$508,438)</f>
        <v>154.08791879060445</v>
      </c>
      <c r="O444">
        <f>1/(COUNT(SimDataScen!$E$9:$E$508)-1)+$O$443</f>
        <v>0.87575150300601279</v>
      </c>
    </row>
    <row r="445" spans="1:15">
      <c r="A445">
        <v>437</v>
      </c>
      <c r="B445">
        <v>365.1995573116298</v>
      </c>
      <c r="C445">
        <v>280.32584563481299</v>
      </c>
      <c r="D445">
        <v>195.45213395799615</v>
      </c>
      <c r="E445">
        <v>110.57842228117931</v>
      </c>
      <c r="H445">
        <f>SMALL(SimDataScen!$B$9:$B$508,439)</f>
        <v>408.29173454052392</v>
      </c>
      <c r="I445">
        <f>1/(COUNT(SimDataScen!$B$9:$B$508)-1)+$I$444</f>
        <v>0.87775551102204485</v>
      </c>
      <c r="J445">
        <f>SMALL(SimDataScen!$C$9:$C$508,439)</f>
        <v>324.28243698672929</v>
      </c>
      <c r="K445">
        <f>1/(COUNT(SimDataScen!$C$9:$C$508)-1)+$K$444</f>
        <v>0.87775551102204485</v>
      </c>
      <c r="L445">
        <f>SMALL(SimDataScen!$D$9:$D$508,439)</f>
        <v>238.41857222969421</v>
      </c>
      <c r="M445">
        <f>1/(COUNT(SimDataScen!$D$9:$D$508)-1)+$M$444</f>
        <v>0.87775551102204485</v>
      </c>
      <c r="N445">
        <f>SMALL(SimDataScen!$E$9:$E$508,439)</f>
        <v>154.24582126753006</v>
      </c>
      <c r="O445">
        <f>1/(COUNT(SimDataScen!$E$9:$E$508)-1)+$O$444</f>
        <v>0.87775551102204485</v>
      </c>
    </row>
    <row r="446" spans="1:15">
      <c r="A446">
        <v>438</v>
      </c>
      <c r="B446">
        <v>283.28422438707508</v>
      </c>
      <c r="C446">
        <v>198.45098273254075</v>
      </c>
      <c r="D446">
        <v>113.61774107800639</v>
      </c>
      <c r="E446">
        <v>28.784499423472056</v>
      </c>
      <c r="H446">
        <f>SMALL(SimDataScen!$B$9:$B$508,440)</f>
        <v>411.04861330973915</v>
      </c>
      <c r="I446">
        <f>1/(COUNT(SimDataScen!$B$9:$B$508)-1)+$I$445</f>
        <v>0.87975951903807692</v>
      </c>
      <c r="J446">
        <f>SMALL(SimDataScen!$C$9:$C$508,440)</f>
        <v>325.33825693046839</v>
      </c>
      <c r="K446">
        <f>1/(COUNT(SimDataScen!$C$9:$C$508)-1)+$K$445</f>
        <v>0.87975951903807692</v>
      </c>
      <c r="L446">
        <f>SMALL(SimDataScen!$D$9:$D$508,440)</f>
        <v>239.10184992962087</v>
      </c>
      <c r="M446">
        <f>1/(COUNT(SimDataScen!$D$9:$D$508)-1)+$M$445</f>
        <v>0.87975951903807692</v>
      </c>
      <c r="N446">
        <f>SMALL(SimDataScen!$E$9:$E$508,440)</f>
        <v>154.70549614810005</v>
      </c>
      <c r="O446">
        <f>1/(COUNT(SimDataScen!$E$9:$E$508)-1)+$O$445</f>
        <v>0.87975951903807692</v>
      </c>
    </row>
    <row r="447" spans="1:15">
      <c r="A447">
        <v>439</v>
      </c>
      <c r="B447">
        <v>174.86149310104943</v>
      </c>
      <c r="C447">
        <v>101.13639130413743</v>
      </c>
      <c r="D447">
        <v>27.411289507225419</v>
      </c>
      <c r="E447">
        <v>-46.313812289686581</v>
      </c>
      <c r="H447">
        <f>SMALL(SimDataScen!$B$9:$B$508,441)</f>
        <v>411.12366086048246</v>
      </c>
      <c r="I447">
        <f>1/(COUNT(SimDataScen!$B$9:$B$508)-1)+$I$446</f>
        <v>0.88176352705410899</v>
      </c>
      <c r="J447">
        <f>SMALL(SimDataScen!$C$9:$C$508,441)</f>
        <v>326.05045804687614</v>
      </c>
      <c r="K447">
        <f>1/(COUNT(SimDataScen!$C$9:$C$508)-1)+$K$446</f>
        <v>0.88176352705410899</v>
      </c>
      <c r="L447">
        <f>SMALL(SimDataScen!$D$9:$D$508,441)</f>
        <v>239.55285300045423</v>
      </c>
      <c r="M447">
        <f>1/(COUNT(SimDataScen!$D$9:$D$508)-1)+$M$446</f>
        <v>0.88176352705410899</v>
      </c>
      <c r="N447">
        <f>SMALL(SimDataScen!$E$9:$E$508,441)</f>
        <v>155.5378482692945</v>
      </c>
      <c r="O447">
        <f>1/(COUNT(SimDataScen!$E$9:$E$508)-1)+$O$446</f>
        <v>0.88176352705410899</v>
      </c>
    </row>
    <row r="448" spans="1:15">
      <c r="A448">
        <v>440</v>
      </c>
      <c r="B448">
        <v>394.82361171193907</v>
      </c>
      <c r="C448">
        <v>300.2146027138092</v>
      </c>
      <c r="D448">
        <v>205.60559371567936</v>
      </c>
      <c r="E448">
        <v>110.99658471754952</v>
      </c>
      <c r="H448">
        <f>SMALL(SimDataScen!$B$9:$B$508,442)</f>
        <v>412.01425389408587</v>
      </c>
      <c r="I448">
        <f>1/(COUNT(SimDataScen!$B$9:$B$508)-1)+$I$447</f>
        <v>0.88376753507014105</v>
      </c>
      <c r="J448">
        <f>SMALL(SimDataScen!$C$9:$C$508,442)</f>
        <v>326.09642403632995</v>
      </c>
      <c r="K448">
        <f>1/(COUNT(SimDataScen!$C$9:$C$508)-1)+$K$447</f>
        <v>0.88376753507014105</v>
      </c>
      <c r="L448">
        <f>SMALL(SimDataScen!$D$9:$D$508,442)</f>
        <v>240.06918841874031</v>
      </c>
      <c r="M448">
        <f>1/(COUNT(SimDataScen!$D$9:$D$508)-1)+$M$447</f>
        <v>0.88376753507014105</v>
      </c>
      <c r="N448">
        <f>SMALL(SimDataScen!$E$9:$E$508,442)</f>
        <v>156.39680863885269</v>
      </c>
      <c r="O448">
        <f>1/(COUNT(SimDataScen!$E$9:$E$508)-1)+$O$447</f>
        <v>0.88376753507014105</v>
      </c>
    </row>
    <row r="449" spans="1:15">
      <c r="A449">
        <v>441</v>
      </c>
      <c r="B449">
        <v>218.38827856705984</v>
      </c>
      <c r="C449">
        <v>145.79821051030783</v>
      </c>
      <c r="D449">
        <v>73.208142453555809</v>
      </c>
      <c r="E449">
        <v>0.61807439680379161</v>
      </c>
      <c r="H449">
        <f>SMALL(SimDataScen!$B$9:$B$508,443)</f>
        <v>412.03172767501201</v>
      </c>
      <c r="I449">
        <f>1/(COUNT(SimDataScen!$B$9:$B$508)-1)+$I$448</f>
        <v>0.88577154308617312</v>
      </c>
      <c r="J449">
        <f>SMALL(SimDataScen!$C$9:$C$508,443)</f>
        <v>326.43781085165932</v>
      </c>
      <c r="K449">
        <f>1/(COUNT(SimDataScen!$C$9:$C$508)-1)+$K$448</f>
        <v>0.88577154308617312</v>
      </c>
      <c r="L449">
        <f>SMALL(SimDataScen!$D$9:$D$508,443)</f>
        <v>241.67370487582841</v>
      </c>
      <c r="M449">
        <f>1/(COUNT(SimDataScen!$D$9:$D$508)-1)+$M$448</f>
        <v>0.88577154308617312</v>
      </c>
      <c r="N449">
        <f>SMALL(SimDataScen!$E$9:$E$508,443)</f>
        <v>156.50343036669969</v>
      </c>
      <c r="O449">
        <f>1/(COUNT(SimDataScen!$E$9:$E$508)-1)+$O$448</f>
        <v>0.88577154308617312</v>
      </c>
    </row>
    <row r="450" spans="1:15">
      <c r="A450">
        <v>442</v>
      </c>
      <c r="B450">
        <v>319.87509194847394</v>
      </c>
      <c r="C450">
        <v>242.46374163498513</v>
      </c>
      <c r="D450">
        <v>165.05239132149632</v>
      </c>
      <c r="E450">
        <v>87.641041008007534</v>
      </c>
      <c r="H450">
        <f>SMALL(SimDataScen!$B$9:$B$508,444)</f>
        <v>412.13827365043153</v>
      </c>
      <c r="I450">
        <f>1/(COUNT(SimDataScen!$B$9:$B$508)-1)+$I$449</f>
        <v>0.88777555110220518</v>
      </c>
      <c r="J450">
        <f>SMALL(SimDataScen!$C$9:$C$508,444)</f>
        <v>326.84397938495715</v>
      </c>
      <c r="K450">
        <f>1/(COUNT(SimDataScen!$C$9:$C$508)-1)+$K$449</f>
        <v>0.88777555110220518</v>
      </c>
      <c r="L450">
        <f>SMALL(SimDataScen!$D$9:$D$508,444)</f>
        <v>243.90111353213601</v>
      </c>
      <c r="M450">
        <f>1/(COUNT(SimDataScen!$D$9:$D$508)-1)+$M$449</f>
        <v>0.88777555110220518</v>
      </c>
      <c r="N450">
        <f>SMALL(SimDataScen!$E$9:$E$508,444)</f>
        <v>158.31179262805279</v>
      </c>
      <c r="O450">
        <f>1/(COUNT(SimDataScen!$E$9:$E$508)-1)+$O$449</f>
        <v>0.88777555110220518</v>
      </c>
    </row>
    <row r="451" spans="1:15">
      <c r="A451">
        <v>443</v>
      </c>
      <c r="B451">
        <v>329.28454590266273</v>
      </c>
      <c r="C451">
        <v>241.23161234629842</v>
      </c>
      <c r="D451">
        <v>153.17867878993411</v>
      </c>
      <c r="E451">
        <v>65.125745233569802</v>
      </c>
      <c r="H451">
        <f>SMALL(SimDataScen!$B$9:$B$508,445)</f>
        <v>412.19598596887238</v>
      </c>
      <c r="I451">
        <f>1/(COUNT(SimDataScen!$B$9:$B$508)-1)+$I$450</f>
        <v>0.88977955911823725</v>
      </c>
      <c r="J451">
        <f>SMALL(SimDataScen!$C$9:$C$508,445)</f>
        <v>329.242654340125</v>
      </c>
      <c r="K451">
        <f>1/(COUNT(SimDataScen!$C$9:$C$508)-1)+$K$450</f>
        <v>0.88977955911823725</v>
      </c>
      <c r="L451">
        <f>SMALL(SimDataScen!$D$9:$D$508,445)</f>
        <v>245.55585591020775</v>
      </c>
      <c r="M451">
        <f>1/(COUNT(SimDataScen!$D$9:$D$508)-1)+$M$450</f>
        <v>0.88977955911823725</v>
      </c>
      <c r="N451">
        <f>SMALL(SimDataScen!$E$9:$E$508,445)</f>
        <v>159.43725988527785</v>
      </c>
      <c r="O451">
        <f>1/(COUNT(SimDataScen!$E$9:$E$508)-1)+$O$450</f>
        <v>0.88977955911823725</v>
      </c>
    </row>
    <row r="452" spans="1:15">
      <c r="A452">
        <v>444</v>
      </c>
      <c r="B452">
        <v>450.91926079042383</v>
      </c>
      <c r="C452">
        <v>360.72138543740078</v>
      </c>
      <c r="D452">
        <v>270.52351008437779</v>
      </c>
      <c r="E452">
        <v>180.32563473135474</v>
      </c>
      <c r="H452">
        <f>SMALL(SimDataScen!$B$9:$B$508,446)</f>
        <v>413.77377177369772</v>
      </c>
      <c r="I452">
        <f>1/(COUNT(SimDataScen!$B$9:$B$508)-1)+$I$451</f>
        <v>0.89178356713426932</v>
      </c>
      <c r="J452">
        <f>SMALL(SimDataScen!$C$9:$C$508,446)</f>
        <v>330.90706229107764</v>
      </c>
      <c r="K452">
        <f>1/(COUNT(SimDataScen!$C$9:$C$508)-1)+$K$451</f>
        <v>0.89178356713426932</v>
      </c>
      <c r="L452">
        <f>SMALL(SimDataScen!$D$9:$D$508,446)</f>
        <v>247.43669537051085</v>
      </c>
      <c r="M452">
        <f>1/(COUNT(SimDataScen!$D$9:$D$508)-1)+$M$451</f>
        <v>0.89178356713426932</v>
      </c>
      <c r="N452">
        <f>SMALL(SimDataScen!$E$9:$E$508,446)</f>
        <v>161.39465550967765</v>
      </c>
      <c r="O452">
        <f>1/(COUNT(SimDataScen!$E$9:$E$508)-1)+$O$451</f>
        <v>0.89178356713426932</v>
      </c>
    </row>
    <row r="453" spans="1:15">
      <c r="A453">
        <v>445</v>
      </c>
      <c r="B453">
        <v>165.75719683365048</v>
      </c>
      <c r="C453">
        <v>90.080100169347247</v>
      </c>
      <c r="D453">
        <v>14.403003505044012</v>
      </c>
      <c r="E453">
        <v>-61.274093159259223</v>
      </c>
      <c r="H453">
        <f>SMALL(SimDataScen!$B$9:$B$508,447)</f>
        <v>417.45236372972738</v>
      </c>
      <c r="I453">
        <f>1/(COUNT(SimDataScen!$B$9:$B$508)-1)+$I$452</f>
        <v>0.89378757515030138</v>
      </c>
      <c r="J453">
        <f>SMALL(SimDataScen!$C$9:$C$508,447)</f>
        <v>331.67445193513765</v>
      </c>
      <c r="K453">
        <f>1/(COUNT(SimDataScen!$C$9:$C$508)-1)+$K$452</f>
        <v>0.89378757515030138</v>
      </c>
      <c r="L453">
        <f>SMALL(SimDataScen!$D$9:$D$508,447)</f>
        <v>247.58512574309285</v>
      </c>
      <c r="M453">
        <f>1/(COUNT(SimDataScen!$D$9:$D$508)-1)+$M$452</f>
        <v>0.89378757515030138</v>
      </c>
      <c r="N453">
        <f>SMALL(SimDataScen!$E$9:$E$508,447)</f>
        <v>161.70580302794207</v>
      </c>
      <c r="O453">
        <f>1/(COUNT(SimDataScen!$E$9:$E$508)-1)+$O$452</f>
        <v>0.89378757515030138</v>
      </c>
    </row>
    <row r="454" spans="1:15">
      <c r="A454">
        <v>446</v>
      </c>
      <c r="B454">
        <v>272.00551342321586</v>
      </c>
      <c r="C454">
        <v>187.78893383242797</v>
      </c>
      <c r="D454">
        <v>103.57235424164008</v>
      </c>
      <c r="E454">
        <v>19.355774650852197</v>
      </c>
      <c r="H454">
        <f>SMALL(SimDataScen!$B$9:$B$508,448)</f>
        <v>417.47691178113092</v>
      </c>
      <c r="I454">
        <f>1/(COUNT(SimDataScen!$B$9:$B$508)-1)+$I$453</f>
        <v>0.89579158316633345</v>
      </c>
      <c r="J454">
        <f>SMALL(SimDataScen!$C$9:$C$508,448)</f>
        <v>332.5310187621119</v>
      </c>
      <c r="K454">
        <f>1/(COUNT(SimDataScen!$C$9:$C$508)-1)+$K$453</f>
        <v>0.89579158316633345</v>
      </c>
      <c r="L454">
        <f>SMALL(SimDataScen!$D$9:$D$508,448)</f>
        <v>248.0262692140758</v>
      </c>
      <c r="M454">
        <f>1/(COUNT(SimDataScen!$D$9:$D$508)-1)+$M$453</f>
        <v>0.89579158316633345</v>
      </c>
      <c r="N454">
        <f>SMALL(SimDataScen!$E$9:$E$508,448)</f>
        <v>162.63923272407382</v>
      </c>
      <c r="O454">
        <f>1/(COUNT(SimDataScen!$E$9:$E$508)-1)+$O$453</f>
        <v>0.89579158316633345</v>
      </c>
    </row>
    <row r="455" spans="1:15">
      <c r="A455">
        <v>447</v>
      </c>
      <c r="B455">
        <v>497.81488552520068</v>
      </c>
      <c r="C455">
        <v>405.61822811948866</v>
      </c>
      <c r="D455">
        <v>313.42157071377665</v>
      </c>
      <c r="E455">
        <v>221.2249133080646</v>
      </c>
      <c r="H455">
        <f>SMALL(SimDataScen!$B$9:$B$508,449)</f>
        <v>417.79304796006761</v>
      </c>
      <c r="I455">
        <f>1/(COUNT(SimDataScen!$B$9:$B$508)-1)+$I$454</f>
        <v>0.89779559118236552</v>
      </c>
      <c r="J455">
        <f>SMALL(SimDataScen!$C$9:$C$508,449)</f>
        <v>335.90406706133211</v>
      </c>
      <c r="K455">
        <f>1/(COUNT(SimDataScen!$C$9:$C$508)-1)+$K$454</f>
        <v>0.89779559118236552</v>
      </c>
      <c r="L455">
        <f>SMALL(SimDataScen!$D$9:$D$508,449)</f>
        <v>249.61813861328284</v>
      </c>
      <c r="M455">
        <f>1/(COUNT(SimDataScen!$D$9:$D$508)-1)+$M$454</f>
        <v>0.89779559118236552</v>
      </c>
      <c r="N455">
        <f>SMALL(SimDataScen!$E$9:$E$508,449)</f>
        <v>165.63073640089669</v>
      </c>
      <c r="O455">
        <f>1/(COUNT(SimDataScen!$E$9:$E$508)-1)+$O$454</f>
        <v>0.89779559118236552</v>
      </c>
    </row>
    <row r="456" spans="1:15">
      <c r="A456">
        <v>448</v>
      </c>
      <c r="B456">
        <v>63.580362380286331</v>
      </c>
      <c r="C456">
        <v>-9.4505833824257195</v>
      </c>
      <c r="D456">
        <v>-82.481529145137785</v>
      </c>
      <c r="E456">
        <v>-155.51247490784982</v>
      </c>
      <c r="H456">
        <f>SMALL(SimDataScen!$B$9:$B$508,450)</f>
        <v>419.4665396015327</v>
      </c>
      <c r="I456">
        <f>1/(COUNT(SimDataScen!$B$9:$B$508)-1)+$I$455</f>
        <v>0.89979959919839758</v>
      </c>
      <c r="J456">
        <f>SMALL(SimDataScen!$C$9:$C$508,450)</f>
        <v>337.31112403945292</v>
      </c>
      <c r="K456">
        <f>1/(COUNT(SimDataScen!$C$9:$C$508)-1)+$K$455</f>
        <v>0.89979959919839758</v>
      </c>
      <c r="L456">
        <f>SMALL(SimDataScen!$D$9:$D$508,450)</f>
        <v>250.12253936755482</v>
      </c>
      <c r="M456">
        <f>1/(COUNT(SimDataScen!$D$9:$D$508)-1)+$M$455</f>
        <v>0.89979959919839758</v>
      </c>
      <c r="N456">
        <f>SMALL(SimDataScen!$E$9:$E$508,450)</f>
        <v>168.32921493548804</v>
      </c>
      <c r="O456">
        <f>1/(COUNT(SimDataScen!$E$9:$E$508)-1)+$O$455</f>
        <v>0.89979959919839758</v>
      </c>
    </row>
    <row r="457" spans="1:15">
      <c r="A457">
        <v>449</v>
      </c>
      <c r="B457">
        <v>321.19442605654075</v>
      </c>
      <c r="C457">
        <v>236.17590998346159</v>
      </c>
      <c r="D457">
        <v>151.15739391038244</v>
      </c>
      <c r="E457">
        <v>66.138877837303284</v>
      </c>
      <c r="H457">
        <f>SMALL(SimDataScen!$B$9:$B$508,451)</f>
        <v>419.65549612543015</v>
      </c>
      <c r="I457">
        <f>1/(COUNT(SimDataScen!$B$9:$B$508)-1)+$I$456</f>
        <v>0.90180360721442965</v>
      </c>
      <c r="J457">
        <f>SMALL(SimDataScen!$C$9:$C$508,451)</f>
        <v>337.74074580009881</v>
      </c>
      <c r="K457">
        <f>1/(COUNT(SimDataScen!$C$9:$C$508)-1)+$K$456</f>
        <v>0.90180360721442965</v>
      </c>
      <c r="L457">
        <f>SMALL(SimDataScen!$D$9:$D$508,451)</f>
        <v>254.35577039293679</v>
      </c>
      <c r="M457">
        <f>1/(COUNT(SimDataScen!$D$9:$D$508)-1)+$M$456</f>
        <v>0.90180360721442965</v>
      </c>
      <c r="N457">
        <f>SMALL(SimDataScen!$E$9:$E$508,451)</f>
        <v>170.18437482582601</v>
      </c>
      <c r="O457">
        <f>1/(COUNT(SimDataScen!$E$9:$E$508)-1)+$O$456</f>
        <v>0.90180360721442965</v>
      </c>
    </row>
    <row r="458" spans="1:15">
      <c r="A458">
        <v>450</v>
      </c>
      <c r="B458">
        <v>267.22932900144065</v>
      </c>
      <c r="C458">
        <v>187.27142583898552</v>
      </c>
      <c r="D458">
        <v>107.31352267653038</v>
      </c>
      <c r="E458">
        <v>27.355619514075244</v>
      </c>
      <c r="H458">
        <f>SMALL(SimDataScen!$B$9:$B$508,452)</f>
        <v>420.51225561041093</v>
      </c>
      <c r="I458">
        <f>1/(COUNT(SimDataScen!$B$9:$B$508)-1)+$I$457</f>
        <v>0.90380761523046171</v>
      </c>
      <c r="J458">
        <f>SMALL(SimDataScen!$C$9:$C$508,452)</f>
        <v>338.77543553894662</v>
      </c>
      <c r="K458">
        <f>1/(COUNT(SimDataScen!$C$9:$C$508)-1)+$K$457</f>
        <v>0.90380761523046171</v>
      </c>
      <c r="L458">
        <f>SMALL(SimDataScen!$D$9:$D$508,452)</f>
        <v>254.72130473365203</v>
      </c>
      <c r="M458">
        <f>1/(COUNT(SimDataScen!$D$9:$D$508)-1)+$M$457</f>
        <v>0.90380761523046171</v>
      </c>
      <c r="N458">
        <f>SMALL(SimDataScen!$E$9:$E$508,452)</f>
        <v>172.8074737245415</v>
      </c>
      <c r="O458">
        <f>1/(COUNT(SimDataScen!$E$9:$E$508)-1)+$O$457</f>
        <v>0.90380761523046171</v>
      </c>
    </row>
    <row r="459" spans="1:15">
      <c r="A459">
        <v>451</v>
      </c>
      <c r="B459">
        <v>313.03838272980488</v>
      </c>
      <c r="C459">
        <v>232.38188057052321</v>
      </c>
      <c r="D459">
        <v>151.72537841124154</v>
      </c>
      <c r="E459">
        <v>71.068876251959892</v>
      </c>
      <c r="H459">
        <f>SMALL(SimDataScen!$B$9:$B$508,453)</f>
        <v>423.7951645493041</v>
      </c>
      <c r="I459">
        <f>1/(COUNT(SimDataScen!$B$9:$B$508)-1)+$I$458</f>
        <v>0.90581162324649378</v>
      </c>
      <c r="J459">
        <f>SMALL(SimDataScen!$C$9:$C$508,453)</f>
        <v>338.850423225432</v>
      </c>
      <c r="K459">
        <f>1/(COUNT(SimDataScen!$C$9:$C$508)-1)+$K$458</f>
        <v>0.90581162324649378</v>
      </c>
      <c r="L459">
        <f>SMALL(SimDataScen!$D$9:$D$508,453)</f>
        <v>255.15570847737308</v>
      </c>
      <c r="M459">
        <f>1/(COUNT(SimDataScen!$D$9:$D$508)-1)+$M$458</f>
        <v>0.90581162324649378</v>
      </c>
      <c r="N459">
        <f>SMALL(SimDataScen!$E$9:$E$508,453)</f>
        <v>173.00029291529327</v>
      </c>
      <c r="O459">
        <f>1/(COUNT(SimDataScen!$E$9:$E$508)-1)+$O$458</f>
        <v>0.90581162324649378</v>
      </c>
    </row>
    <row r="460" spans="1:15">
      <c r="A460">
        <v>452</v>
      </c>
      <c r="B460">
        <v>237.12193658624898</v>
      </c>
      <c r="C460">
        <v>162.00039175325082</v>
      </c>
      <c r="D460">
        <v>86.878846920252627</v>
      </c>
      <c r="E460">
        <v>11.757302087254459</v>
      </c>
      <c r="H460">
        <f>SMALL(SimDataScen!$B$9:$B$508,454)</f>
        <v>423.84113484303543</v>
      </c>
      <c r="I460">
        <f>1/(COUNT(SimDataScen!$B$9:$B$508)-1)+$I$459</f>
        <v>0.90781563126252585</v>
      </c>
      <c r="J460">
        <f>SMALL(SimDataScen!$C$9:$C$508,454)</f>
        <v>339.25823464147811</v>
      </c>
      <c r="K460">
        <f>1/(COUNT(SimDataScen!$C$9:$C$508)-1)+$K$459</f>
        <v>0.90781563126252585</v>
      </c>
      <c r="L460">
        <f>SMALL(SimDataScen!$D$9:$D$508,454)</f>
        <v>257.84670242901313</v>
      </c>
      <c r="M460">
        <f>1/(COUNT(SimDataScen!$D$9:$D$508)-1)+$M$459</f>
        <v>0.90781563126252585</v>
      </c>
      <c r="N460">
        <f>SMALL(SimDataScen!$E$9:$E$508,454)</f>
        <v>173.67313155647452</v>
      </c>
      <c r="O460">
        <f>1/(COUNT(SimDataScen!$E$9:$E$508)-1)+$O$459</f>
        <v>0.90781563126252585</v>
      </c>
    </row>
    <row r="461" spans="1:15">
      <c r="A461">
        <v>453</v>
      </c>
      <c r="B461">
        <v>193.24733753907043</v>
      </c>
      <c r="C461">
        <v>120.57450523564489</v>
      </c>
      <c r="D461">
        <v>47.901672932219356</v>
      </c>
      <c r="E461">
        <v>-24.771159371206181</v>
      </c>
      <c r="H461">
        <f>SMALL(SimDataScen!$B$9:$B$508,455)</f>
        <v>424.90681335057394</v>
      </c>
      <c r="I461">
        <f>1/(COUNT(SimDataScen!$B$9:$B$508)-1)+$I$460</f>
        <v>0.90981963927855791</v>
      </c>
      <c r="J461">
        <f>SMALL(SimDataScen!$C$9:$C$508,455)</f>
        <v>340.84391863602428</v>
      </c>
      <c r="K461">
        <f>1/(COUNT(SimDataScen!$C$9:$C$508)-1)+$K$460</f>
        <v>0.90981963927855791</v>
      </c>
      <c r="L461">
        <f>SMALL(SimDataScen!$D$9:$D$508,455)</f>
        <v>257.89537495246316</v>
      </c>
      <c r="M461">
        <f>1/(COUNT(SimDataScen!$D$9:$D$508)-1)+$M$460</f>
        <v>0.90981963927855791</v>
      </c>
      <c r="N461">
        <f>SMALL(SimDataScen!$E$9:$E$508,455)</f>
        <v>174.72008622637898</v>
      </c>
      <c r="O461">
        <f>1/(COUNT(SimDataScen!$E$9:$E$508)-1)+$O$460</f>
        <v>0.90981963927855791</v>
      </c>
    </row>
    <row r="462" spans="1:15">
      <c r="A462">
        <v>454</v>
      </c>
      <c r="B462">
        <v>148.95738066149573</v>
      </c>
      <c r="C462">
        <v>76.76496104398413</v>
      </c>
      <c r="D462">
        <v>4.5725414264725117</v>
      </c>
      <c r="E462">
        <v>-67.619878191039092</v>
      </c>
      <c r="H462">
        <f>SMALL(SimDataScen!$B$9:$B$508,456)</f>
        <v>426.96479761540905</v>
      </c>
      <c r="I462">
        <f>1/(COUNT(SimDataScen!$B$9:$B$508)-1)+$I$461</f>
        <v>0.91182364729458998</v>
      </c>
      <c r="J462">
        <f>SMALL(SimDataScen!$C$9:$C$508,456)</f>
        <v>341.12105057485837</v>
      </c>
      <c r="K462">
        <f>1/(COUNT(SimDataScen!$C$9:$C$508)-1)+$K$461</f>
        <v>0.91182364729458998</v>
      </c>
      <c r="L462">
        <f>SMALL(SimDataScen!$D$9:$D$508,456)</f>
        <v>260.44831156975829</v>
      </c>
      <c r="M462">
        <f>1/(COUNT(SimDataScen!$D$9:$D$508)-1)+$M$461</f>
        <v>0.91182364729458998</v>
      </c>
      <c r="N462">
        <f>SMALL(SimDataScen!$E$9:$E$508,456)</f>
        <v>174.84948622200196</v>
      </c>
      <c r="O462">
        <f>1/(COUNT(SimDataScen!$E$9:$E$508)-1)+$O$461</f>
        <v>0.91182364729458998</v>
      </c>
    </row>
    <row r="463" spans="1:15">
      <c r="A463">
        <v>455</v>
      </c>
      <c r="B463">
        <v>327.62695695141656</v>
      </c>
      <c r="C463">
        <v>245.70134351072136</v>
      </c>
      <c r="D463">
        <v>163.7757300700261</v>
      </c>
      <c r="E463">
        <v>81.850116629330842</v>
      </c>
      <c r="H463">
        <f>SMALL(SimDataScen!$B$9:$B$508,457)</f>
        <v>427.25952583243799</v>
      </c>
      <c r="I463">
        <f>1/(COUNT(SimDataScen!$B$9:$B$508)-1)+$I$462</f>
        <v>0.91382765531062204</v>
      </c>
      <c r="J463">
        <f>SMALL(SimDataScen!$C$9:$C$508,457)</f>
        <v>342.67756246016614</v>
      </c>
      <c r="K463">
        <f>1/(COUNT(SimDataScen!$C$9:$C$508)-1)+$K$462</f>
        <v>0.91382765531062204</v>
      </c>
      <c r="L463">
        <f>SMALL(SimDataScen!$D$9:$D$508,457)</f>
        <v>261.72984553930576</v>
      </c>
      <c r="M463">
        <f>1/(COUNT(SimDataScen!$D$9:$D$508)-1)+$M$462</f>
        <v>0.91382765531062204</v>
      </c>
      <c r="N463">
        <f>SMALL(SimDataScen!$E$9:$E$508,457)</f>
        <v>177.01531436597963</v>
      </c>
      <c r="O463">
        <f>1/(COUNT(SimDataScen!$E$9:$E$508)-1)+$O$462</f>
        <v>0.91382765531062204</v>
      </c>
    </row>
    <row r="464" spans="1:15">
      <c r="A464">
        <v>456</v>
      </c>
      <c r="B464">
        <v>301.17787461061482</v>
      </c>
      <c r="C464">
        <v>224.56498084977017</v>
      </c>
      <c r="D464">
        <v>147.95208708892551</v>
      </c>
      <c r="E464">
        <v>71.339193328080825</v>
      </c>
      <c r="H464">
        <f>SMALL(SimDataScen!$B$9:$B$508,458)</f>
        <v>427.45522238612182</v>
      </c>
      <c r="I464">
        <f>1/(COUNT(SimDataScen!$B$9:$B$508)-1)+$I$463</f>
        <v>0.91583166332665411</v>
      </c>
      <c r="J464">
        <f>SMALL(SimDataScen!$C$9:$C$508,458)</f>
        <v>345.74007230539576</v>
      </c>
      <c r="K464">
        <f>1/(COUNT(SimDataScen!$C$9:$C$508)-1)+$K$463</f>
        <v>0.91583166332665411</v>
      </c>
      <c r="L464">
        <f>SMALL(SimDataScen!$D$9:$D$508,458)</f>
        <v>261.90119879309134</v>
      </c>
      <c r="M464">
        <f>1/(COUNT(SimDataScen!$D$9:$D$508)-1)+$M$463</f>
        <v>0.91583166332665411</v>
      </c>
      <c r="N464">
        <f>SMALL(SimDataScen!$E$9:$E$508,458)</f>
        <v>177.50131139847556</v>
      </c>
      <c r="O464">
        <f>1/(COUNT(SimDataScen!$E$9:$E$508)-1)+$O$463</f>
        <v>0.91583166332665411</v>
      </c>
    </row>
    <row r="465" spans="1:15">
      <c r="A465">
        <v>457</v>
      </c>
      <c r="B465">
        <v>319.91905246539523</v>
      </c>
      <c r="C465">
        <v>235.26646690291426</v>
      </c>
      <c r="D465">
        <v>150.6138813404333</v>
      </c>
      <c r="E465">
        <v>65.961295777952358</v>
      </c>
      <c r="H465">
        <f>SMALL(SimDataScen!$B$9:$B$508,459)</f>
        <v>427.5783070833092</v>
      </c>
      <c r="I465">
        <f>1/(COUNT(SimDataScen!$B$9:$B$508)-1)+$I$464</f>
        <v>0.91783567134268618</v>
      </c>
      <c r="J465">
        <f>SMALL(SimDataScen!$C$9:$C$508,459)</f>
        <v>348.51813937375152</v>
      </c>
      <c r="K465">
        <f>1/(COUNT(SimDataScen!$C$9:$C$508)-1)+$K$464</f>
        <v>0.91783567134268618</v>
      </c>
      <c r="L465">
        <f>SMALL(SimDataScen!$D$9:$D$508,459)</f>
        <v>263.22739856536828</v>
      </c>
      <c r="M465">
        <f>1/(COUNT(SimDataScen!$D$9:$D$508)-1)+$M$464</f>
        <v>0.91783567134268618</v>
      </c>
      <c r="N465">
        <f>SMALL(SimDataScen!$E$9:$E$508,459)</f>
        <v>177.67548576690092</v>
      </c>
      <c r="O465">
        <f>1/(COUNT(SimDataScen!$E$9:$E$508)-1)+$O$464</f>
        <v>0.91783567134268618</v>
      </c>
    </row>
    <row r="466" spans="1:15">
      <c r="A466">
        <v>458</v>
      </c>
      <c r="B466">
        <v>319.81057730873135</v>
      </c>
      <c r="C466">
        <v>241.01900457893743</v>
      </c>
      <c r="D466">
        <v>162.22743184914344</v>
      </c>
      <c r="E466">
        <v>83.435859119349487</v>
      </c>
      <c r="H466">
        <f>SMALL(SimDataScen!$B$9:$B$508,460)</f>
        <v>430.74916188891643</v>
      </c>
      <c r="I466">
        <f>1/(COUNT(SimDataScen!$B$9:$B$508)-1)+$I$465</f>
        <v>0.91983967935871824</v>
      </c>
      <c r="J466">
        <f>SMALL(SimDataScen!$C$9:$C$508,460)</f>
        <v>348.81365618635454</v>
      </c>
      <c r="K466">
        <f>1/(COUNT(SimDataScen!$C$9:$C$508)-1)+$K$465</f>
        <v>0.91983967935871824</v>
      </c>
      <c r="L466">
        <f>SMALL(SimDataScen!$D$9:$D$508,460)</f>
        <v>264.22061877835353</v>
      </c>
      <c r="M466">
        <f>1/(COUNT(SimDataScen!$D$9:$D$508)-1)+$M$465</f>
        <v>0.91983967935871824</v>
      </c>
      <c r="N466">
        <f>SMALL(SimDataScen!$E$9:$E$508,460)</f>
        <v>178.21906067935049</v>
      </c>
      <c r="O466">
        <f>1/(COUNT(SimDataScen!$E$9:$E$508)-1)+$O$465</f>
        <v>0.91983967935871824</v>
      </c>
    </row>
    <row r="467" spans="1:15">
      <c r="A467">
        <v>459</v>
      </c>
      <c r="B467">
        <v>326.1922236019858</v>
      </c>
      <c r="C467">
        <v>245.16552668669408</v>
      </c>
      <c r="D467">
        <v>164.1388297714023</v>
      </c>
      <c r="E467">
        <v>83.112132856110577</v>
      </c>
      <c r="H467">
        <f>SMALL(SimDataScen!$B$9:$B$508,461)</f>
        <v>433.66594299253325</v>
      </c>
      <c r="I467">
        <f>1/(COUNT(SimDataScen!$B$9:$B$508)-1)+$I$466</f>
        <v>0.92184368737475031</v>
      </c>
      <c r="J467">
        <f>SMALL(SimDataScen!$C$9:$C$508,461)</f>
        <v>349.08231135980373</v>
      </c>
      <c r="K467">
        <f>1/(COUNT(SimDataScen!$C$9:$C$508)-1)+$K$466</f>
        <v>0.92184368737475031</v>
      </c>
      <c r="L467">
        <f>SMALL(SimDataScen!$D$9:$D$508,461)</f>
        <v>264.94253470916448</v>
      </c>
      <c r="M467">
        <f>1/(COUNT(SimDataScen!$D$9:$D$508)-1)+$M$466</f>
        <v>0.92184368737475031</v>
      </c>
      <c r="N467">
        <f>SMALL(SimDataScen!$E$9:$E$508,461)</f>
        <v>179.70636061424912</v>
      </c>
      <c r="O467">
        <f>1/(COUNT(SimDataScen!$E$9:$E$508)-1)+$O$466</f>
        <v>0.92184368737475031</v>
      </c>
    </row>
    <row r="468" spans="1:15">
      <c r="A468">
        <v>460</v>
      </c>
      <c r="B468">
        <v>329.21300653161245</v>
      </c>
      <c r="C468">
        <v>245.84394029594841</v>
      </c>
      <c r="D468">
        <v>162.47487406028441</v>
      </c>
      <c r="E468">
        <v>79.105807824620371</v>
      </c>
      <c r="H468">
        <f>SMALL(SimDataScen!$B$9:$B$508,462)</f>
        <v>436.26342392651611</v>
      </c>
      <c r="I468">
        <f>1/(COUNT(SimDataScen!$B$9:$B$508)-1)+$I$467</f>
        <v>0.92384769539078238</v>
      </c>
      <c r="J468">
        <f>SMALL(SimDataScen!$C$9:$C$508,462)</f>
        <v>349.30423885084889</v>
      </c>
      <c r="K468">
        <f>1/(COUNT(SimDataScen!$C$9:$C$508)-1)+$K$467</f>
        <v>0.92384769539078238</v>
      </c>
      <c r="L468">
        <f>SMALL(SimDataScen!$D$9:$D$508,462)</f>
        <v>265.69236272439753</v>
      </c>
      <c r="M468">
        <f>1/(COUNT(SimDataScen!$D$9:$D$508)-1)+$M$467</f>
        <v>0.92384769539078238</v>
      </c>
      <c r="N468">
        <f>SMALL(SimDataScen!$E$9:$E$508,462)</f>
        <v>180.32563473135474</v>
      </c>
      <c r="O468">
        <f>1/(COUNT(SimDataScen!$E$9:$E$508)-1)+$O$467</f>
        <v>0.92384769539078238</v>
      </c>
    </row>
    <row r="469" spans="1:15">
      <c r="A469">
        <v>461</v>
      </c>
      <c r="B469">
        <v>551.28642814846546</v>
      </c>
      <c r="C469">
        <v>465.51517779524761</v>
      </c>
      <c r="D469">
        <v>379.74392744202976</v>
      </c>
      <c r="E469">
        <v>293.97267708881191</v>
      </c>
      <c r="H469">
        <f>SMALL(SimDataScen!$B$9:$B$508,463)</f>
        <v>438.14513983642269</v>
      </c>
      <c r="I469">
        <f>1/(COUNT(SimDataScen!$B$9:$B$508)-1)+$I$468</f>
        <v>0.92585170340681444</v>
      </c>
      <c r="J469">
        <f>SMALL(SimDataScen!$C$9:$C$508,463)</f>
        <v>352.78166557426204</v>
      </c>
      <c r="K469">
        <f>1/(COUNT(SimDataScen!$C$9:$C$508)-1)+$K$468</f>
        <v>0.92585170340681444</v>
      </c>
      <c r="L469">
        <f>SMALL(SimDataScen!$D$9:$D$508,463)</f>
        <v>266.64129427423529</v>
      </c>
      <c r="M469">
        <f>1/(COUNT(SimDataScen!$D$9:$D$508)-1)+$M$468</f>
        <v>0.92585170340681444</v>
      </c>
      <c r="N469">
        <f>SMALL(SimDataScen!$E$9:$E$508,463)</f>
        <v>180.58083056748009</v>
      </c>
      <c r="O469">
        <f>1/(COUNT(SimDataScen!$E$9:$E$508)-1)+$O$468</f>
        <v>0.92585170340681444</v>
      </c>
    </row>
    <row r="470" spans="1:15">
      <c r="A470">
        <v>462</v>
      </c>
      <c r="B470">
        <v>322.16903476535941</v>
      </c>
      <c r="C470">
        <v>239.27002646614034</v>
      </c>
      <c r="D470">
        <v>156.37101816692126</v>
      </c>
      <c r="E470">
        <v>73.472009867702184</v>
      </c>
      <c r="H470">
        <f>SMALL(SimDataScen!$B$9:$B$508,464)</f>
        <v>439.57086109363001</v>
      </c>
      <c r="I470">
        <f>1/(COUNT(SimDataScen!$B$9:$B$508)-1)+$I$469</f>
        <v>0.92785571142284651</v>
      </c>
      <c r="J470">
        <f>SMALL(SimDataScen!$C$9:$C$508,464)</f>
        <v>352.95201258835664</v>
      </c>
      <c r="K470">
        <f>1/(COUNT(SimDataScen!$C$9:$C$508)-1)+$K$469</f>
        <v>0.92785571142284651</v>
      </c>
      <c r="L470">
        <f>SMALL(SimDataScen!$D$9:$D$508,464)</f>
        <v>266.87815048379264</v>
      </c>
      <c r="M470">
        <f>1/(COUNT(SimDataScen!$D$9:$D$508)-1)+$M$469</f>
        <v>0.92785571142284651</v>
      </c>
      <c r="N470">
        <f>SMALL(SimDataScen!$E$9:$E$508,464)</f>
        <v>182.33864050375317</v>
      </c>
      <c r="O470">
        <f>1/(COUNT(SimDataScen!$E$9:$E$508)-1)+$O$469</f>
        <v>0.92785571142284651</v>
      </c>
    </row>
    <row r="471" spans="1:15">
      <c r="A471">
        <v>463</v>
      </c>
      <c r="B471">
        <v>264.51424546600538</v>
      </c>
      <c r="C471">
        <v>180.3128772678167</v>
      </c>
      <c r="D471">
        <v>96.111509069628028</v>
      </c>
      <c r="E471">
        <v>11.910140871439353</v>
      </c>
      <c r="H471">
        <f>SMALL(SimDataScen!$B$9:$B$508,465)</f>
        <v>439.71388217477698</v>
      </c>
      <c r="I471">
        <f>1/(COUNT(SimDataScen!$B$9:$B$508)-1)+$I$470</f>
        <v>0.92985971943887857</v>
      </c>
      <c r="J471">
        <f>SMALL(SimDataScen!$C$9:$C$508,465)</f>
        <v>353.88341405031952</v>
      </c>
      <c r="K471">
        <f>1/(COUNT(SimDataScen!$C$9:$C$508)-1)+$K$470</f>
        <v>0.92985971943887857</v>
      </c>
      <c r="L471">
        <f>SMALL(SimDataScen!$D$9:$D$508,465)</f>
        <v>267.75888534029059</v>
      </c>
      <c r="M471">
        <f>1/(COUNT(SimDataScen!$D$9:$D$508)-1)+$M$470</f>
        <v>0.92985971943887857</v>
      </c>
      <c r="N471">
        <f>SMALL(SimDataScen!$E$9:$E$508,465)</f>
        <v>182.56575809222454</v>
      </c>
      <c r="O471">
        <f>1/(COUNT(SimDataScen!$E$9:$E$508)-1)+$O$470</f>
        <v>0.92985971943887857</v>
      </c>
    </row>
    <row r="472" spans="1:15">
      <c r="A472">
        <v>464</v>
      </c>
      <c r="B472">
        <v>238.11340656270605</v>
      </c>
      <c r="C472">
        <v>161.24078562815362</v>
      </c>
      <c r="D472">
        <v>84.368164693601202</v>
      </c>
      <c r="E472">
        <v>7.4955437590487861</v>
      </c>
      <c r="H472">
        <f>SMALL(SimDataScen!$B$9:$B$508,466)</f>
        <v>442.07446537624145</v>
      </c>
      <c r="I472">
        <f>1/(COUNT(SimDataScen!$B$9:$B$508)-1)+$I$471</f>
        <v>0.93186372745491064</v>
      </c>
      <c r="J472">
        <f>SMALL(SimDataScen!$C$9:$C$508,466)</f>
        <v>354.09167211699292</v>
      </c>
      <c r="K472">
        <f>1/(COUNT(SimDataScen!$C$9:$C$508)-1)+$K$471</f>
        <v>0.93186372745491064</v>
      </c>
      <c r="L472">
        <f>SMALL(SimDataScen!$D$9:$D$508,466)</f>
        <v>268.27068846202491</v>
      </c>
      <c r="M472">
        <f>1/(COUNT(SimDataScen!$D$9:$D$508)-1)+$M$471</f>
        <v>0.93186372745491064</v>
      </c>
      <c r="N472">
        <f>SMALL(SimDataScen!$E$9:$E$508,466)</f>
        <v>182.70116525131127</v>
      </c>
      <c r="O472">
        <f>1/(COUNT(SimDataScen!$E$9:$E$508)-1)+$O$471</f>
        <v>0.93186372745491064</v>
      </c>
    </row>
    <row r="473" spans="1:15">
      <c r="A473">
        <v>465</v>
      </c>
      <c r="B473">
        <v>94.258033145381859</v>
      </c>
      <c r="C473">
        <v>20.238653084197466</v>
      </c>
      <c r="D473">
        <v>-53.780726976986927</v>
      </c>
      <c r="E473">
        <v>-127.80010703817132</v>
      </c>
      <c r="H473">
        <f>SMALL(SimDataScen!$B$9:$B$508,467)</f>
        <v>442.3359325831558</v>
      </c>
      <c r="I473">
        <f>1/(COUNT(SimDataScen!$B$9:$B$508)-1)+$I$472</f>
        <v>0.93386773547094271</v>
      </c>
      <c r="J473">
        <f>SMALL(SimDataScen!$C$9:$C$508,467)</f>
        <v>354.57641371778811</v>
      </c>
      <c r="K473">
        <f>1/(COUNT(SimDataScen!$C$9:$C$508)-1)+$K$472</f>
        <v>0.93386773547094271</v>
      </c>
      <c r="L473">
        <f>SMALL(SimDataScen!$D$9:$D$508,467)</f>
        <v>268.46946205920892</v>
      </c>
      <c r="M473">
        <f>1/(COUNT(SimDataScen!$D$9:$D$508)-1)+$M$472</f>
        <v>0.93386773547094271</v>
      </c>
      <c r="N473">
        <f>SMALL(SimDataScen!$E$9:$E$508,467)</f>
        <v>182.84725200142486</v>
      </c>
      <c r="O473">
        <f>1/(COUNT(SimDataScen!$E$9:$E$508)-1)+$O$472</f>
        <v>0.93386773547094271</v>
      </c>
    </row>
    <row r="474" spans="1:15">
      <c r="A474">
        <v>466</v>
      </c>
      <c r="B474">
        <v>424.90681335057394</v>
      </c>
      <c r="C474">
        <v>342.67756246016614</v>
      </c>
      <c r="D474">
        <v>260.44831156975829</v>
      </c>
      <c r="E474">
        <v>178.21906067935049</v>
      </c>
      <c r="H474">
        <f>SMALL(SimDataScen!$B$9:$B$508,468)</f>
        <v>444.57291128890398</v>
      </c>
      <c r="I474">
        <f>1/(COUNT(SimDataScen!$B$9:$B$508)-1)+$I$473</f>
        <v>0.93587174348697477</v>
      </c>
      <c r="J474">
        <f>SMALL(SimDataScen!$C$9:$C$508,468)</f>
        <v>355.60710278156961</v>
      </c>
      <c r="K474">
        <f>1/(COUNT(SimDataScen!$C$9:$C$508)-1)+$K$473</f>
        <v>0.93587174348697477</v>
      </c>
      <c r="L474">
        <f>SMALL(SimDataScen!$D$9:$D$508,468)</f>
        <v>269.5819663419461</v>
      </c>
      <c r="M474">
        <f>1/(COUNT(SimDataScen!$D$9:$D$508)-1)+$M$473</f>
        <v>0.93587174348697477</v>
      </c>
      <c r="N474">
        <f>SMALL(SimDataScen!$E$9:$E$508,468)</f>
        <v>184.5875189661042</v>
      </c>
      <c r="O474">
        <f>1/(COUNT(SimDataScen!$E$9:$E$508)-1)+$O$473</f>
        <v>0.93587174348697477</v>
      </c>
    </row>
    <row r="475" spans="1:15">
      <c r="A475">
        <v>467</v>
      </c>
      <c r="B475">
        <v>455.00661260860602</v>
      </c>
      <c r="C475">
        <v>366.66337027641276</v>
      </c>
      <c r="D475">
        <v>278.32012794421945</v>
      </c>
      <c r="E475">
        <v>189.97688561202617</v>
      </c>
      <c r="H475">
        <f>SMALL(SimDataScen!$B$9:$B$508,469)</f>
        <v>445.39934415757648</v>
      </c>
      <c r="I475">
        <f>1/(COUNT(SimDataScen!$B$9:$B$508)-1)+$I$474</f>
        <v>0.93787575150300684</v>
      </c>
      <c r="J475">
        <f>SMALL(SimDataScen!$C$9:$C$508,469)</f>
        <v>356.83501630980072</v>
      </c>
      <c r="K475">
        <f>1/(COUNT(SimDataScen!$C$9:$C$508)-1)+$K$474</f>
        <v>0.93787575150300684</v>
      </c>
      <c r="L475">
        <f>SMALL(SimDataScen!$D$9:$D$508,469)</f>
        <v>270.07148113209405</v>
      </c>
      <c r="M475">
        <f>1/(COUNT(SimDataScen!$D$9:$D$508)-1)+$M$474</f>
        <v>0.93787575150300684</v>
      </c>
      <c r="N475">
        <f>SMALL(SimDataScen!$E$9:$E$508,469)</f>
        <v>184.6375695944518</v>
      </c>
      <c r="O475">
        <f>1/(COUNT(SimDataScen!$E$9:$E$508)-1)+$O$474</f>
        <v>0.93787575150300684</v>
      </c>
    </row>
    <row r="476" spans="1:15">
      <c r="A476">
        <v>468</v>
      </c>
      <c r="B476">
        <v>273.47915061563219</v>
      </c>
      <c r="C476">
        <v>195.13201172514368</v>
      </c>
      <c r="D476">
        <v>116.78487283465516</v>
      </c>
      <c r="E476">
        <v>38.437733944166638</v>
      </c>
      <c r="H476">
        <f>SMALL(SimDataScen!$B$9:$B$508,470)</f>
        <v>449.64271680875692</v>
      </c>
      <c r="I476">
        <f>1/(COUNT(SimDataScen!$B$9:$B$508)-1)+$I$475</f>
        <v>0.9398797595190389</v>
      </c>
      <c r="J476">
        <f>SMALL(SimDataScen!$C$9:$C$508,470)</f>
        <v>360.72138543740078</v>
      </c>
      <c r="K476">
        <f>1/(COUNT(SimDataScen!$C$9:$C$508)-1)+$K$475</f>
        <v>0.9398797595190389</v>
      </c>
      <c r="L476">
        <f>SMALL(SimDataScen!$D$9:$D$508,470)</f>
        <v>270.52351008437779</v>
      </c>
      <c r="M476">
        <f>1/(COUNT(SimDataScen!$D$9:$D$508)-1)+$M$475</f>
        <v>0.9398797595190389</v>
      </c>
      <c r="N476">
        <f>SMALL(SimDataScen!$E$9:$E$508,470)</f>
        <v>184.94264478123071</v>
      </c>
      <c r="O476">
        <f>1/(COUNT(SimDataScen!$E$9:$E$508)-1)+$O$475</f>
        <v>0.9398797595190389</v>
      </c>
    </row>
    <row r="477" spans="1:15">
      <c r="A477">
        <v>469</v>
      </c>
      <c r="B477">
        <v>382.10863285311103</v>
      </c>
      <c r="C477">
        <v>296.26276977264092</v>
      </c>
      <c r="D477">
        <v>210.41690669217084</v>
      </c>
      <c r="E477">
        <v>124.57104361170076</v>
      </c>
      <c r="H477">
        <f>SMALL(SimDataScen!$B$9:$B$508,471)</f>
        <v>450.66010528478876</v>
      </c>
      <c r="I477">
        <f>1/(COUNT(SimDataScen!$B$9:$B$508)-1)+$I$476</f>
        <v>0.94188376753507097</v>
      </c>
      <c r="J477">
        <f>SMALL(SimDataScen!$C$9:$C$508,471)</f>
        <v>363.19880308452531</v>
      </c>
      <c r="K477">
        <f>1/(COUNT(SimDataScen!$C$9:$C$508)-1)+$K$476</f>
        <v>0.94188376753507097</v>
      </c>
      <c r="L477">
        <f>SMALL(SimDataScen!$D$9:$D$508,471)</f>
        <v>273.91818633948856</v>
      </c>
      <c r="M477">
        <f>1/(COUNT(SimDataScen!$D$9:$D$508)-1)+$M$476</f>
        <v>0.94188376753507097</v>
      </c>
      <c r="N477">
        <f>SMALL(SimDataScen!$E$9:$E$508,471)</f>
        <v>189.97688561202617</v>
      </c>
      <c r="O477">
        <f>1/(COUNT(SimDataScen!$E$9:$E$508)-1)+$O$476</f>
        <v>0.94188376753507097</v>
      </c>
    </row>
    <row r="478" spans="1:15">
      <c r="A478">
        <v>470</v>
      </c>
      <c r="B478">
        <v>212.04353054994795</v>
      </c>
      <c r="C478">
        <v>134.69695949402774</v>
      </c>
      <c r="D478">
        <v>57.350388438107487</v>
      </c>
      <c r="E478">
        <v>-19.996182617812735</v>
      </c>
      <c r="H478">
        <f>SMALL(SimDataScen!$B$9:$B$508,472)</f>
        <v>450.91926079042383</v>
      </c>
      <c r="I478">
        <f>1/(COUNT(SimDataScen!$B$9:$B$508)-1)+$I$477</f>
        <v>0.94388777555110304</v>
      </c>
      <c r="J478">
        <f>SMALL(SimDataScen!$C$9:$C$508,472)</f>
        <v>363.98871116474106</v>
      </c>
      <c r="K478">
        <f>1/(COUNT(SimDataScen!$C$9:$C$508)-1)+$K$477</f>
        <v>0.94388777555110304</v>
      </c>
      <c r="L478">
        <f>SMALL(SimDataScen!$D$9:$D$508,472)</f>
        <v>277.31731704469325</v>
      </c>
      <c r="M478">
        <f>1/(COUNT(SimDataScen!$D$9:$D$508)-1)+$M$477</f>
        <v>0.94388777555110304</v>
      </c>
      <c r="N478">
        <f>SMALL(SimDataScen!$E$9:$E$508,472)</f>
        <v>190.64592292464556</v>
      </c>
      <c r="O478">
        <f>1/(COUNT(SimDataScen!$E$9:$E$508)-1)+$O$477</f>
        <v>0.94388777555110304</v>
      </c>
    </row>
    <row r="479" spans="1:15">
      <c r="A479">
        <v>471</v>
      </c>
      <c r="B479">
        <v>229.29347056212913</v>
      </c>
      <c r="C479">
        <v>151.30037811990348</v>
      </c>
      <c r="D479">
        <v>73.307285677677797</v>
      </c>
      <c r="E479">
        <v>-4.6858067645478627</v>
      </c>
      <c r="H479">
        <f>SMALL(SimDataScen!$B$9:$B$508,473)</f>
        <v>451.34756981638674</v>
      </c>
      <c r="I479">
        <f>1/(COUNT(SimDataScen!$B$9:$B$508)-1)+$I$478</f>
        <v>0.9458917835671351</v>
      </c>
      <c r="J479">
        <f>SMALL(SimDataScen!$C$9:$C$508,473)</f>
        <v>364.81907103679356</v>
      </c>
      <c r="K479">
        <f>1/(COUNT(SimDataScen!$C$9:$C$508)-1)+$K$478</f>
        <v>0.9458917835671351</v>
      </c>
      <c r="L479">
        <f>SMALL(SimDataScen!$D$9:$D$508,473)</f>
        <v>278.29057225720044</v>
      </c>
      <c r="M479">
        <f>1/(COUNT(SimDataScen!$D$9:$D$508)-1)+$M$478</f>
        <v>0.9458917835671351</v>
      </c>
      <c r="N479">
        <f>SMALL(SimDataScen!$E$9:$E$508,473)</f>
        <v>191.62482289043655</v>
      </c>
      <c r="O479">
        <f>1/(COUNT(SimDataScen!$E$9:$E$508)-1)+$O$478</f>
        <v>0.9458917835671351</v>
      </c>
    </row>
    <row r="480" spans="1:15">
      <c r="A480">
        <v>472</v>
      </c>
      <c r="B480">
        <v>106.6871539502487</v>
      </c>
      <c r="C480">
        <v>29.955244950195237</v>
      </c>
      <c r="D480">
        <v>-46.776664049858255</v>
      </c>
      <c r="E480">
        <v>-123.50857304991172</v>
      </c>
      <c r="H480">
        <f>SMALL(SimDataScen!$B$9:$B$508,474)</f>
        <v>451.88659231449287</v>
      </c>
      <c r="I480">
        <f>1/(COUNT(SimDataScen!$B$9:$B$508)-1)+$I$479</f>
        <v>0.94789579158316717</v>
      </c>
      <c r="J480">
        <f>SMALL(SimDataScen!$C$9:$C$508,474)</f>
        <v>366.66337027641276</v>
      </c>
      <c r="K480">
        <f>1/(COUNT(SimDataScen!$C$9:$C$508)-1)+$K$479</f>
        <v>0.94789579158316717</v>
      </c>
      <c r="L480">
        <f>SMALL(SimDataScen!$D$9:$D$508,474)</f>
        <v>278.32012794421945</v>
      </c>
      <c r="M480">
        <f>1/(COUNT(SimDataScen!$D$9:$D$508)-1)+$M$479</f>
        <v>0.94789579158316717</v>
      </c>
      <c r="N480">
        <f>SMALL(SimDataScen!$E$9:$E$508,474)</f>
        <v>191.76207347760726</v>
      </c>
      <c r="O480">
        <f>1/(COUNT(SimDataScen!$E$9:$E$508)-1)+$O$479</f>
        <v>0.94789579158316717</v>
      </c>
    </row>
    <row r="481" spans="1:15">
      <c r="A481">
        <v>473</v>
      </c>
      <c r="B481">
        <v>334.82662150311751</v>
      </c>
      <c r="C481">
        <v>255.69889133409623</v>
      </c>
      <c r="D481">
        <v>176.57116116507495</v>
      </c>
      <c r="E481">
        <v>97.443430996053706</v>
      </c>
      <c r="H481">
        <f>SMALL(SimDataScen!$B$9:$B$508,475)</f>
        <v>452.47941982956206</v>
      </c>
      <c r="I481">
        <f>1/(COUNT(SimDataScen!$B$9:$B$508)-1)+$I$480</f>
        <v>0.94989979959919923</v>
      </c>
      <c r="J481">
        <f>SMALL(SimDataScen!$C$9:$C$508,475)</f>
        <v>368.0889474502543</v>
      </c>
      <c r="K481">
        <f>1/(COUNT(SimDataScen!$C$9:$C$508)-1)+$K$480</f>
        <v>0.94989979959919923</v>
      </c>
      <c r="L481">
        <f>SMALL(SimDataScen!$D$9:$D$508,475)</f>
        <v>283.79832871391972</v>
      </c>
      <c r="M481">
        <f>1/(COUNT(SimDataScen!$D$9:$D$508)-1)+$M$480</f>
        <v>0.94989979959919923</v>
      </c>
      <c r="N481">
        <f>SMALL(SimDataScen!$E$9:$E$508,475)</f>
        <v>195.2995962776979</v>
      </c>
      <c r="O481">
        <f>1/(COUNT(SimDataScen!$E$9:$E$508)-1)+$O$480</f>
        <v>0.94989979959919923</v>
      </c>
    </row>
    <row r="482" spans="1:15">
      <c r="A482">
        <v>474</v>
      </c>
      <c r="B482">
        <v>493.03810485762807</v>
      </c>
      <c r="C482">
        <v>407.318803497771</v>
      </c>
      <c r="D482">
        <v>321.59950213791399</v>
      </c>
      <c r="E482">
        <v>235.88020077805692</v>
      </c>
      <c r="H482">
        <f>SMALL(SimDataScen!$B$9:$B$508,476)</f>
        <v>454.48941782825233</v>
      </c>
      <c r="I482">
        <f>1/(COUNT(SimDataScen!$B$9:$B$508)-1)+$I$481</f>
        <v>0.9519038076152313</v>
      </c>
      <c r="J482">
        <f>SMALL(SimDataScen!$C$9:$C$508,476)</f>
        <v>370.06583094690336</v>
      </c>
      <c r="K482">
        <f>1/(COUNT(SimDataScen!$C$9:$C$508)-1)+$K$481</f>
        <v>0.9519038076152313</v>
      </c>
      <c r="L482">
        <f>SMALL(SimDataScen!$D$9:$D$508,476)</f>
        <v>284.29130258601572</v>
      </c>
      <c r="M482">
        <f>1/(COUNT(SimDataScen!$D$9:$D$508)-1)+$M$481</f>
        <v>0.9519038076152313</v>
      </c>
      <c r="N482">
        <f>SMALL(SimDataScen!$E$9:$E$508,476)</f>
        <v>200.49365772177717</v>
      </c>
      <c r="O482">
        <f>1/(COUNT(SimDataScen!$E$9:$E$508)-1)+$O$481</f>
        <v>0.9519038076152313</v>
      </c>
    </row>
    <row r="483" spans="1:15">
      <c r="A483">
        <v>475</v>
      </c>
      <c r="B483">
        <v>235.3860237324408</v>
      </c>
      <c r="C483">
        <v>160.51666071867157</v>
      </c>
      <c r="D483">
        <v>85.647297704902357</v>
      </c>
      <c r="E483">
        <v>10.77793469113314</v>
      </c>
      <c r="H483">
        <f>SMALL(SimDataScen!$B$9:$B$508,477)</f>
        <v>455.00661260860602</v>
      </c>
      <c r="I483">
        <f>1/(COUNT(SimDataScen!$B$9:$B$508)-1)+$I$482</f>
        <v>0.95390781563126337</v>
      </c>
      <c r="J483">
        <f>SMALL(SimDataScen!$C$9:$C$508,477)</f>
        <v>370.47065476019077</v>
      </c>
      <c r="K483">
        <f>1/(COUNT(SimDataScen!$C$9:$C$508)-1)+$K$482</f>
        <v>0.95390781563126337</v>
      </c>
      <c r="L483">
        <f>SMALL(SimDataScen!$D$9:$D$508,477)</f>
        <v>285.64224406555434</v>
      </c>
      <c r="M483">
        <f>1/(COUNT(SimDataScen!$D$9:$D$508)-1)+$M$482</f>
        <v>0.95390781563126337</v>
      </c>
      <c r="N483">
        <f>SMALL(SimDataScen!$E$9:$E$508,477)</f>
        <v>201.21865718420537</v>
      </c>
      <c r="O483">
        <f>1/(COUNT(SimDataScen!$E$9:$E$508)-1)+$O$482</f>
        <v>0.95390781563126337</v>
      </c>
    </row>
    <row r="484" spans="1:15">
      <c r="A484">
        <v>476</v>
      </c>
      <c r="B484">
        <v>274.84655888048735</v>
      </c>
      <c r="C484">
        <v>197.84843665724156</v>
      </c>
      <c r="D484">
        <v>120.85031443399581</v>
      </c>
      <c r="E484">
        <v>43.852192210750047</v>
      </c>
      <c r="H484">
        <f>SMALL(SimDataScen!$B$9:$B$508,478)</f>
        <v>458.66346164316951</v>
      </c>
      <c r="I484">
        <f>1/(COUNT(SimDataScen!$B$9:$B$508)-1)+$I$483</f>
        <v>0.95591182364729543</v>
      </c>
      <c r="J484">
        <f>SMALL(SimDataScen!$C$9:$C$508,478)</f>
        <v>372.29706115014153</v>
      </c>
      <c r="K484">
        <f>1/(COUNT(SimDataScen!$C$9:$C$508)-1)+$K$483</f>
        <v>0.95591182364729543</v>
      </c>
      <c r="L484">
        <f>SMALL(SimDataScen!$D$9:$D$508,478)</f>
        <v>289.22790376832938</v>
      </c>
      <c r="M484">
        <f>1/(COUNT(SimDataScen!$D$9:$D$508)-1)+$M$483</f>
        <v>0.95591182364729543</v>
      </c>
      <c r="N484">
        <f>SMALL(SimDataScen!$E$9:$E$508,478)</f>
        <v>201.60301766562461</v>
      </c>
      <c r="O484">
        <f>1/(COUNT(SimDataScen!$E$9:$E$508)-1)+$O$483</f>
        <v>0.95591182364729543</v>
      </c>
    </row>
    <row r="485" spans="1:15">
      <c r="A485">
        <v>477</v>
      </c>
      <c r="B485">
        <v>265.39271768040328</v>
      </c>
      <c r="C485">
        <v>180.58614677788211</v>
      </c>
      <c r="D485">
        <v>95.779575875360962</v>
      </c>
      <c r="E485">
        <v>10.973004972839817</v>
      </c>
      <c r="H485">
        <f>SMALL(SimDataScen!$B$9:$B$508,479)</f>
        <v>460.7957935863634</v>
      </c>
      <c r="I485">
        <f>1/(COUNT(SimDataScen!$B$9:$B$508)-1)+$I$484</f>
        <v>0.9579158316633275</v>
      </c>
      <c r="J485">
        <f>SMALL(SimDataScen!$C$9:$C$508,479)</f>
        <v>373.9456827057495</v>
      </c>
      <c r="K485">
        <f>1/(COUNT(SimDataScen!$C$9:$C$508)-1)+$K$484</f>
        <v>0.9579158316633275</v>
      </c>
      <c r="L485">
        <f>SMALL(SimDataScen!$D$9:$D$508,479)</f>
        <v>291.29859271162456</v>
      </c>
      <c r="M485">
        <f>1/(COUNT(SimDataScen!$D$9:$D$508)-1)+$M$484</f>
        <v>0.9579158316633275</v>
      </c>
      <c r="N485">
        <f>SMALL(SimDataScen!$E$9:$E$508,479)</f>
        <v>204.51012483090938</v>
      </c>
      <c r="O485">
        <f>1/(COUNT(SimDataScen!$E$9:$E$508)-1)+$O$484</f>
        <v>0.9579158316633275</v>
      </c>
    </row>
    <row r="486" spans="1:15">
      <c r="A486">
        <v>478</v>
      </c>
      <c r="B486">
        <v>412.03172767501201</v>
      </c>
      <c r="C486">
        <v>326.05045804687614</v>
      </c>
      <c r="D486">
        <v>240.06918841874031</v>
      </c>
      <c r="E486">
        <v>154.08791879060445</v>
      </c>
      <c r="H486">
        <f>SMALL(SimDataScen!$B$9:$B$508,480)</f>
        <v>464.39215779153307</v>
      </c>
      <c r="I486">
        <f>1/(COUNT(SimDataScen!$B$9:$B$508)-1)+$I$485</f>
        <v>0.95991983967935957</v>
      </c>
      <c r="J486">
        <f>SMALL(SimDataScen!$C$9:$C$508,480)</f>
        <v>380.61817036693026</v>
      </c>
      <c r="K486">
        <f>1/(COUNT(SimDataScen!$C$9:$C$508)-1)+$K$485</f>
        <v>0.95991983967935957</v>
      </c>
      <c r="L486">
        <f>SMALL(SimDataScen!$D$9:$D$508,480)</f>
        <v>292.33325013540252</v>
      </c>
      <c r="M486">
        <f>1/(COUNT(SimDataScen!$D$9:$D$508)-1)+$M$485</f>
        <v>0.95991983967935957</v>
      </c>
      <c r="N486">
        <f>SMALL(SimDataScen!$E$9:$E$508,480)</f>
        <v>207.5858935757486</v>
      </c>
      <c r="O486">
        <f>1/(COUNT(SimDataScen!$E$9:$E$508)-1)+$O$485</f>
        <v>0.95991983967935957</v>
      </c>
    </row>
    <row r="487" spans="1:15">
      <c r="A487">
        <v>479</v>
      </c>
      <c r="B487">
        <v>261.80935024433091</v>
      </c>
      <c r="C487">
        <v>181.62065018545695</v>
      </c>
      <c r="D487">
        <v>101.43195012658302</v>
      </c>
      <c r="E487">
        <v>21.243250067709084</v>
      </c>
      <c r="H487">
        <f>SMALL(SimDataScen!$B$9:$B$508,481)</f>
        <v>466.26021677997556</v>
      </c>
      <c r="I487">
        <f>1/(COUNT(SimDataScen!$B$9:$B$508)-1)+$I$486</f>
        <v>0.96192384769539163</v>
      </c>
      <c r="J487">
        <f>SMALL(SimDataScen!$C$9:$C$508,481)</f>
        <v>382.16750262400598</v>
      </c>
      <c r="K487">
        <f>1/(COUNT(SimDataScen!$C$9:$C$508)-1)+$K$486</f>
        <v>0.96192384769539163</v>
      </c>
      <c r="L487">
        <f>SMALL(SimDataScen!$D$9:$D$508,481)</f>
        <v>294.97612395388489</v>
      </c>
      <c r="M487">
        <f>1/(COUNT(SimDataScen!$D$9:$D$508)-1)+$M$486</f>
        <v>0.96192384769539163</v>
      </c>
      <c r="N487">
        <f>SMALL(SimDataScen!$E$9:$E$508,481)</f>
        <v>209.33407754083962</v>
      </c>
      <c r="O487">
        <f>1/(COUNT(SimDataScen!$E$9:$E$508)-1)+$O$486</f>
        <v>0.96192384769539163</v>
      </c>
    </row>
    <row r="488" spans="1:15">
      <c r="A488">
        <v>480</v>
      </c>
      <c r="B488">
        <v>222.52595783563973</v>
      </c>
      <c r="C488">
        <v>149.78470939357675</v>
      </c>
      <c r="D488">
        <v>77.043460951513723</v>
      </c>
      <c r="E488">
        <v>4.302212509450726</v>
      </c>
      <c r="H488">
        <f>SMALL(SimDataScen!$B$9:$B$508,482)</f>
        <v>468.12437348857986</v>
      </c>
      <c r="I488">
        <f>1/(COUNT(SimDataScen!$B$9:$B$508)-1)+$I$487</f>
        <v>0.9639278557114237</v>
      </c>
      <c r="J488">
        <f>SMALL(SimDataScen!$C$9:$C$508,482)</f>
        <v>383.06348260518041</v>
      </c>
      <c r="K488">
        <f>1/(COUNT(SimDataScen!$C$9:$C$508)-1)+$K$487</f>
        <v>0.9639278557114237</v>
      </c>
      <c r="L488">
        <f>SMALL(SimDataScen!$D$9:$D$508,482)</f>
        <v>299.51700227802257</v>
      </c>
      <c r="M488">
        <f>1/(COUNT(SimDataScen!$D$9:$D$508)-1)+$M$487</f>
        <v>0.9639278557114237</v>
      </c>
      <c r="N488">
        <f>SMALL(SimDataScen!$E$9:$E$508,482)</f>
        <v>212.12653066305842</v>
      </c>
      <c r="O488">
        <f>1/(COUNT(SimDataScen!$E$9:$E$508)-1)+$O$487</f>
        <v>0.9639278557114237</v>
      </c>
    </row>
    <row r="489" spans="1:15">
      <c r="A489">
        <v>481</v>
      </c>
      <c r="B489">
        <v>206.70752193603829</v>
      </c>
      <c r="C489">
        <v>135.19501688425288</v>
      </c>
      <c r="D489">
        <v>63.682511832467441</v>
      </c>
      <c r="E489">
        <v>-7.82999321931797</v>
      </c>
      <c r="H489">
        <f>SMALL(SimDataScen!$B$9:$B$508,483)</f>
        <v>469.64702780711622</v>
      </c>
      <c r="I489">
        <f>1/(COUNT(SimDataScen!$B$9:$B$508)-1)+$I$488</f>
        <v>0.96593186372745576</v>
      </c>
      <c r="J489">
        <f>SMALL(SimDataScen!$C$9:$C$508,483)</f>
        <v>384.92356092652847</v>
      </c>
      <c r="K489">
        <f>1/(COUNT(SimDataScen!$C$9:$C$508)-1)+$K$488</f>
        <v>0.96593186372745576</v>
      </c>
      <c r="L489">
        <f>SMALL(SimDataScen!$D$9:$D$508,483)</f>
        <v>299.94284745647894</v>
      </c>
      <c r="M489">
        <f>1/(COUNT(SimDataScen!$D$9:$D$508)-1)+$M$488</f>
        <v>0.96593186372745576</v>
      </c>
      <c r="N489">
        <f>SMALL(SimDataScen!$E$9:$E$508,483)</f>
        <v>217.55569349775203</v>
      </c>
      <c r="O489">
        <f>1/(COUNT(SimDataScen!$E$9:$E$508)-1)+$O$488</f>
        <v>0.96593186372745576</v>
      </c>
    </row>
    <row r="490" spans="1:15">
      <c r="A490">
        <v>482</v>
      </c>
      <c r="B490">
        <v>335.92534121983698</v>
      </c>
      <c r="C490">
        <v>254.07889294845131</v>
      </c>
      <c r="D490">
        <v>172.23244467706564</v>
      </c>
      <c r="E490">
        <v>90.385996405680004</v>
      </c>
      <c r="H490">
        <f>SMALL(SimDataScen!$B$9:$B$508,484)</f>
        <v>473.7937150749583</v>
      </c>
      <c r="I490">
        <f>1/(COUNT(SimDataScen!$B$9:$B$508)-1)+$I$489</f>
        <v>0.96793587174348783</v>
      </c>
      <c r="J490">
        <f>SMALL(SimDataScen!$C$9:$C$508,484)</f>
        <v>385.96331147800379</v>
      </c>
      <c r="K490">
        <f>1/(COUNT(SimDataScen!$C$9:$C$508)-1)+$K$489</f>
        <v>0.96793587174348783</v>
      </c>
      <c r="L490">
        <f>SMALL(SimDataScen!$D$9:$D$508,484)</f>
        <v>301.72274836447696</v>
      </c>
      <c r="M490">
        <f>1/(COUNT(SimDataScen!$D$9:$D$508)-1)+$M$489</f>
        <v>0.96793587174348783</v>
      </c>
      <c r="N490">
        <f>SMALL(SimDataScen!$E$9:$E$508,484)</f>
        <v>217.71819228895185</v>
      </c>
      <c r="O490">
        <f>1/(COUNT(SimDataScen!$E$9:$E$508)-1)+$O$489</f>
        <v>0.96793587174348783</v>
      </c>
    </row>
    <row r="491" spans="1:15">
      <c r="A491">
        <v>483</v>
      </c>
      <c r="B491">
        <v>579.67663613214268</v>
      </c>
      <c r="C491">
        <v>490.65540553697429</v>
      </c>
      <c r="D491">
        <v>401.6341749418059</v>
      </c>
      <c r="E491">
        <v>312.61294434663751</v>
      </c>
      <c r="H491">
        <f>SMALL(SimDataScen!$B$9:$B$508,485)</f>
        <v>482.09605504415242</v>
      </c>
      <c r="I491">
        <f>1/(COUNT(SimDataScen!$B$9:$B$508)-1)+$I$490</f>
        <v>0.9699398797595199</v>
      </c>
      <c r="J491">
        <f>SMALL(SimDataScen!$C$9:$C$508,485)</f>
        <v>391.44811098029663</v>
      </c>
      <c r="K491">
        <f>1/(COUNT(SimDataScen!$C$9:$C$508)-1)+$K$490</f>
        <v>0.9699398797595199</v>
      </c>
      <c r="L491">
        <f>SMALL(SimDataScen!$D$9:$D$508,485)</f>
        <v>302.27959514889142</v>
      </c>
      <c r="M491">
        <f>1/(COUNT(SimDataScen!$D$9:$D$508)-1)+$M$490</f>
        <v>0.9699398797595199</v>
      </c>
      <c r="N491">
        <f>SMALL(SimDataScen!$E$9:$E$508,485)</f>
        <v>218.52193580242556</v>
      </c>
      <c r="O491">
        <f>1/(COUNT(SimDataScen!$E$9:$E$508)-1)+$O$490</f>
        <v>0.9699398797595199</v>
      </c>
    </row>
    <row r="492" spans="1:15">
      <c r="A492">
        <v>484</v>
      </c>
      <c r="B492">
        <v>253.94854691431232</v>
      </c>
      <c r="C492">
        <v>175.7718438758908</v>
      </c>
      <c r="D492">
        <v>97.595140837469245</v>
      </c>
      <c r="E492">
        <v>19.418437799047723</v>
      </c>
      <c r="H492">
        <f>SMALL(SimDataScen!$B$9:$B$508,486)</f>
        <v>482.1427629879189</v>
      </c>
      <c r="I492">
        <f>1/(COUNT(SimDataScen!$B$9:$B$508)-1)+$I$491</f>
        <v>0.97194388777555196</v>
      </c>
      <c r="J492">
        <f>SMALL(SimDataScen!$C$9:$C$508,486)</f>
        <v>394.41583151244669</v>
      </c>
      <c r="K492">
        <f>1/(COUNT(SimDataScen!$C$9:$C$508)-1)+$K$491</f>
        <v>0.97194388777555196</v>
      </c>
      <c r="L492">
        <f>SMALL(SimDataScen!$D$9:$D$508,486)</f>
        <v>306.73560798074089</v>
      </c>
      <c r="M492">
        <f>1/(COUNT(SimDataScen!$D$9:$D$508)-1)+$M$491</f>
        <v>0.97194388777555196</v>
      </c>
      <c r="N492">
        <f>SMALL(SimDataScen!$E$9:$E$508,486)</f>
        <v>218.59587881977899</v>
      </c>
      <c r="O492">
        <f>1/(COUNT(SimDataScen!$E$9:$E$508)-1)+$O$491</f>
        <v>0.97194388777555196</v>
      </c>
    </row>
    <row r="493" spans="1:15">
      <c r="A493">
        <v>485</v>
      </c>
      <c r="B493">
        <v>442.07446537624145</v>
      </c>
      <c r="C493">
        <v>353.88341405031952</v>
      </c>
      <c r="D493">
        <v>265.69236272439753</v>
      </c>
      <c r="E493">
        <v>177.50131139847556</v>
      </c>
      <c r="H493">
        <f>SMALL(SimDataScen!$B$9:$B$508,487)</f>
        <v>483.37921968257058</v>
      </c>
      <c r="I493">
        <f>1/(COUNT(SimDataScen!$B$9:$B$508)-1)+$I$492</f>
        <v>0.97394789579158403</v>
      </c>
      <c r="J493">
        <f>SMALL(SimDataScen!$C$9:$C$508,487)</f>
        <v>394.74610185384387</v>
      </c>
      <c r="K493">
        <f>1/(COUNT(SimDataScen!$C$9:$C$508)-1)+$K$492</f>
        <v>0.97394789579158403</v>
      </c>
      <c r="L493">
        <f>SMALL(SimDataScen!$D$9:$D$508,487)</f>
        <v>307.34944071976884</v>
      </c>
      <c r="M493">
        <f>1/(COUNT(SimDataScen!$D$9:$D$508)-1)+$M$492</f>
        <v>0.97394789579158403</v>
      </c>
      <c r="N493">
        <f>SMALL(SimDataScen!$E$9:$E$508,487)</f>
        <v>219.05538444903513</v>
      </c>
      <c r="O493">
        <f>1/(COUNT(SimDataScen!$E$9:$E$508)-1)+$O$492</f>
        <v>0.97394789579158403</v>
      </c>
    </row>
    <row r="494" spans="1:15">
      <c r="A494">
        <v>486</v>
      </c>
      <c r="B494">
        <v>436.26342392651611</v>
      </c>
      <c r="C494">
        <v>349.08231135980373</v>
      </c>
      <c r="D494">
        <v>261.90119879309134</v>
      </c>
      <c r="E494">
        <v>174.72008622637898</v>
      </c>
      <c r="H494">
        <f>SMALL(SimDataScen!$B$9:$B$508,488)</f>
        <v>486.29816127691356</v>
      </c>
      <c r="I494">
        <f>1/(COUNT(SimDataScen!$B$9:$B$508)-1)+$I$493</f>
        <v>0.97595190380761609</v>
      </c>
      <c r="J494">
        <f>SMALL(SimDataScen!$C$9:$C$508,488)</f>
        <v>400.15367751622199</v>
      </c>
      <c r="K494">
        <f>1/(COUNT(SimDataScen!$C$9:$C$508)-1)+$K$493</f>
        <v>0.97595190380761609</v>
      </c>
      <c r="L494">
        <f>SMALL(SimDataScen!$D$9:$D$508,488)</f>
        <v>308.8660041914568</v>
      </c>
      <c r="M494">
        <f>1/(COUNT(SimDataScen!$D$9:$D$508)-1)+$M$493</f>
        <v>0.97595190380761609</v>
      </c>
      <c r="N494">
        <f>SMALL(SimDataScen!$E$9:$E$508,488)</f>
        <v>219.95277958569383</v>
      </c>
      <c r="O494">
        <f>1/(COUNT(SimDataScen!$E$9:$E$508)-1)+$O$493</f>
        <v>0.97595190380761609</v>
      </c>
    </row>
    <row r="495" spans="1:15">
      <c r="A495">
        <v>487</v>
      </c>
      <c r="B495">
        <v>301.96383802919706</v>
      </c>
      <c r="C495">
        <v>217.64266217454971</v>
      </c>
      <c r="D495">
        <v>133.32148631990236</v>
      </c>
      <c r="E495">
        <v>49.000310465255012</v>
      </c>
      <c r="H495">
        <f>SMALL(SimDataScen!$B$9:$B$508,489)</f>
        <v>488.7915024443331</v>
      </c>
      <c r="I495">
        <f>1/(COUNT(SimDataScen!$B$9:$B$508)-1)+$I$494</f>
        <v>0.97795591182364816</v>
      </c>
      <c r="J495">
        <f>SMALL(SimDataScen!$C$9:$C$508,489)</f>
        <v>400.17631488516162</v>
      </c>
      <c r="K495">
        <f>1/(COUNT(SimDataScen!$C$9:$C$508)-1)+$K$494</f>
        <v>0.97795591182364816</v>
      </c>
      <c r="L495">
        <f>SMALL(SimDataScen!$D$9:$D$508,489)</f>
        <v>313.42157071377665</v>
      </c>
      <c r="M495">
        <f>1/(COUNT(SimDataScen!$D$9:$D$508)-1)+$M$494</f>
        <v>0.97795591182364816</v>
      </c>
      <c r="N495">
        <f>SMALL(SimDataScen!$E$9:$E$508,489)</f>
        <v>221.2249133080646</v>
      </c>
      <c r="O495">
        <f>1/(COUNT(SimDataScen!$E$9:$E$508)-1)+$O$494</f>
        <v>0.97795591182364816</v>
      </c>
    </row>
    <row r="496" spans="1:15">
      <c r="A496">
        <v>488</v>
      </c>
      <c r="B496">
        <v>292.35081777342532</v>
      </c>
      <c r="C496">
        <v>209.87715391806341</v>
      </c>
      <c r="D496">
        <v>127.40349006270151</v>
      </c>
      <c r="E496">
        <v>44.929826207339602</v>
      </c>
      <c r="H496">
        <f>SMALL(SimDataScen!$B$9:$B$508,490)</f>
        <v>491.48662557886638</v>
      </c>
      <c r="I496">
        <f>1/(COUNT(SimDataScen!$B$9:$B$508)-1)+$I$495</f>
        <v>0.97995991983968023</v>
      </c>
      <c r="J496">
        <f>SMALL(SimDataScen!$C$9:$C$508,490)</f>
        <v>404.73497974310493</v>
      </c>
      <c r="K496">
        <f>1/(COUNT(SimDataScen!$C$9:$C$508)-1)+$K$495</f>
        <v>0.97995991983968023</v>
      </c>
      <c r="L496">
        <f>SMALL(SimDataScen!$D$9:$D$508,490)</f>
        <v>314.00919375553036</v>
      </c>
      <c r="M496">
        <f>1/(COUNT(SimDataScen!$D$9:$D$508)-1)+$M$495</f>
        <v>0.97995991983968023</v>
      </c>
      <c r="N496">
        <f>SMALL(SimDataScen!$E$9:$E$508,490)</f>
        <v>227.86470999483876</v>
      </c>
      <c r="O496">
        <f>1/(COUNT(SimDataScen!$E$9:$E$508)-1)+$O$495</f>
        <v>0.97995991983968023</v>
      </c>
    </row>
    <row r="497" spans="1:15">
      <c r="A497">
        <v>489</v>
      </c>
      <c r="B497">
        <v>203.6343884100917</v>
      </c>
      <c r="C497">
        <v>122.25021768948513</v>
      </c>
      <c r="D497">
        <v>40.866046968878535</v>
      </c>
      <c r="E497">
        <v>-40.518123751728041</v>
      </c>
      <c r="H497">
        <f>SMALL(SimDataScen!$B$9:$B$508,491)</f>
        <v>492.57190130259431</v>
      </c>
      <c r="I497">
        <f>1/(COUNT(SimDataScen!$B$9:$B$508)-1)+$I$496</f>
        <v>0.98196392785571229</v>
      </c>
      <c r="J497">
        <f>SMALL(SimDataScen!$C$9:$C$508,491)</f>
        <v>405.61822811948866</v>
      </c>
      <c r="K497">
        <f>1/(COUNT(SimDataScen!$C$9:$C$508)-1)+$K$496</f>
        <v>0.98196392785571229</v>
      </c>
      <c r="L497">
        <f>SMALL(SimDataScen!$D$9:$D$508,491)</f>
        <v>320.67845704187675</v>
      </c>
      <c r="M497">
        <f>1/(COUNT(SimDataScen!$D$9:$D$508)-1)+$M$496</f>
        <v>0.98196392785571229</v>
      </c>
      <c r="N497">
        <f>SMALL(SimDataScen!$E$9:$E$508,491)</f>
        <v>231.54860548148037</v>
      </c>
      <c r="O497">
        <f>1/(COUNT(SimDataScen!$E$9:$E$508)-1)+$O$496</f>
        <v>0.98196392785571229</v>
      </c>
    </row>
    <row r="498" spans="1:15">
      <c r="A498">
        <v>490</v>
      </c>
      <c r="B498">
        <v>302.05598470101086</v>
      </c>
      <c r="C498">
        <v>221.13671818224373</v>
      </c>
      <c r="D498">
        <v>140.21745166347654</v>
      </c>
      <c r="E498">
        <v>59.298185144709379</v>
      </c>
      <c r="H498">
        <f>SMALL(SimDataScen!$B$9:$B$508,492)</f>
        <v>493.03810485762807</v>
      </c>
      <c r="I498">
        <f>1/(COUNT(SimDataScen!$B$9:$B$508)-1)+$I$497</f>
        <v>0.98396793587174436</v>
      </c>
      <c r="J498">
        <f>SMALL(SimDataScen!$C$9:$C$508,492)</f>
        <v>407.26420550232035</v>
      </c>
      <c r="K498">
        <f>1/(COUNT(SimDataScen!$C$9:$C$508)-1)+$K$497</f>
        <v>0.98396793587174436</v>
      </c>
      <c r="L498">
        <f>SMALL(SimDataScen!$D$9:$D$508,492)</f>
        <v>321.59950213791399</v>
      </c>
      <c r="M498">
        <f>1/(COUNT(SimDataScen!$D$9:$D$508)-1)+$M$497</f>
        <v>0.98396793587174436</v>
      </c>
      <c r="N498">
        <f>SMALL(SimDataScen!$E$9:$E$508,492)</f>
        <v>235.88020077805692</v>
      </c>
      <c r="O498">
        <f>1/(COUNT(SimDataScen!$E$9:$E$508)-1)+$O$497</f>
        <v>0.98396793587174436</v>
      </c>
    </row>
    <row r="499" spans="1:15">
      <c r="A499">
        <v>491</v>
      </c>
      <c r="B499">
        <v>311.9464572497269</v>
      </c>
      <c r="C499">
        <v>230.85352148977037</v>
      </c>
      <c r="D499">
        <v>149.76058572981384</v>
      </c>
      <c r="E499">
        <v>68.667649969857308</v>
      </c>
      <c r="H499">
        <f>SMALL(SimDataScen!$B$9:$B$508,493)</f>
        <v>497.39297975877082</v>
      </c>
      <c r="I499">
        <f>1/(COUNT(SimDataScen!$B$9:$B$508)-1)+$I$498</f>
        <v>0.98597194388777643</v>
      </c>
      <c r="J499">
        <f>SMALL(SimDataScen!$C$9:$C$508,493)</f>
        <v>407.318803497771</v>
      </c>
      <c r="K499">
        <f>1/(COUNT(SimDataScen!$C$9:$C$508)-1)+$K$498</f>
        <v>0.98597194388777643</v>
      </c>
      <c r="L499">
        <f>SMALL(SimDataScen!$D$9:$D$508,493)</f>
        <v>321.95650970204645</v>
      </c>
      <c r="M499">
        <f>1/(COUNT(SimDataScen!$D$9:$D$508)-1)+$M$498</f>
        <v>0.98597194388777643</v>
      </c>
      <c r="N499">
        <f>SMALL(SimDataScen!$E$9:$E$508,493)</f>
        <v>236.62193434064861</v>
      </c>
      <c r="O499">
        <f>1/(COUNT(SimDataScen!$E$9:$E$508)-1)+$O$498</f>
        <v>0.98597194388777643</v>
      </c>
    </row>
    <row r="500" spans="1:15">
      <c r="A500">
        <v>492</v>
      </c>
      <c r="B500">
        <v>317.15969023660494</v>
      </c>
      <c r="C500">
        <v>234.59900338282876</v>
      </c>
      <c r="D500">
        <v>152.03831652905257</v>
      </c>
      <c r="E500">
        <v>69.477629675276376</v>
      </c>
      <c r="H500">
        <f>SMALL(SimDataScen!$B$9:$B$508,494)</f>
        <v>497.81488552520068</v>
      </c>
      <c r="I500">
        <f>1/(COUNT(SimDataScen!$B$9:$B$508)-1)+$I$499</f>
        <v>0.98797595190380849</v>
      </c>
      <c r="J500">
        <f>SMALL(SimDataScen!$C$9:$C$508,494)</f>
        <v>412.27466867126094</v>
      </c>
      <c r="K500">
        <f>1/(COUNT(SimDataScen!$C$9:$C$508)-1)+$K$499</f>
        <v>0.98797595190380849</v>
      </c>
      <c r="L500">
        <f>SMALL(SimDataScen!$D$9:$D$508,494)</f>
        <v>325.58432848039047</v>
      </c>
      <c r="M500">
        <f>1/(COUNT(SimDataScen!$D$9:$D$508)-1)+$M$499</f>
        <v>0.98797595190380849</v>
      </c>
      <c r="N500">
        <f>SMALL(SimDataScen!$E$9:$E$508,494)</f>
        <v>236.64881390177251</v>
      </c>
      <c r="O500">
        <f>1/(COUNT(SimDataScen!$E$9:$E$508)-1)+$O$499</f>
        <v>0.98797595190380849</v>
      </c>
    </row>
    <row r="501" spans="1:15">
      <c r="A501">
        <v>493</v>
      </c>
      <c r="B501">
        <v>305.40279818666079</v>
      </c>
      <c r="C501">
        <v>224.68613161465862</v>
      </c>
      <c r="D501">
        <v>143.96946504265645</v>
      </c>
      <c r="E501">
        <v>63.252798470654284</v>
      </c>
      <c r="H501">
        <f>SMALL(SimDataScen!$B$9:$B$508,495)</f>
        <v>501.3181090360319</v>
      </c>
      <c r="I501">
        <f>1/(COUNT(SimDataScen!$B$9:$B$508)-1)+$I$500</f>
        <v>0.98997995991984056</v>
      </c>
      <c r="J501">
        <f>SMALL(SimDataScen!$C$9:$C$508,495)</f>
        <v>416.64521973587171</v>
      </c>
      <c r="K501">
        <f>1/(COUNT(SimDataScen!$C$9:$C$508)-1)+$K$500</f>
        <v>0.98997995991984056</v>
      </c>
      <c r="L501">
        <f>SMALL(SimDataScen!$D$9:$D$508,495)</f>
        <v>327.15635758375095</v>
      </c>
      <c r="M501">
        <f>1/(COUNT(SimDataScen!$D$9:$D$508)-1)+$M$500</f>
        <v>0.98997995991984056</v>
      </c>
      <c r="N501">
        <f>SMALL(SimDataScen!$E$9:$E$508,495)</f>
        <v>242.03804649624107</v>
      </c>
      <c r="O501">
        <f>1/(COUNT(SimDataScen!$E$9:$E$508)-1)+$O$500</f>
        <v>0.98997995991984056</v>
      </c>
    </row>
    <row r="502" spans="1:15">
      <c r="A502">
        <v>494</v>
      </c>
      <c r="B502">
        <v>215.53291884794365</v>
      </c>
      <c r="C502">
        <v>137.62968005559691</v>
      </c>
      <c r="D502">
        <v>59.726441263250123</v>
      </c>
      <c r="E502">
        <v>-18.176797529096632</v>
      </c>
      <c r="H502">
        <f>SMALL(SimDataScen!$B$9:$B$508,496)</f>
        <v>513.65577447821056</v>
      </c>
      <c r="I502">
        <f>1/(COUNT(SimDataScen!$B$9:$B$508)-1)+$I$501</f>
        <v>0.99198396793587262</v>
      </c>
      <c r="J502">
        <f>SMALL(SimDataScen!$C$9:$C$508,496)</f>
        <v>419.62005147930051</v>
      </c>
      <c r="K502">
        <f>1/(COUNT(SimDataScen!$C$9:$C$508)-1)+$K$501</f>
        <v>0.99198396793587262</v>
      </c>
      <c r="L502">
        <f>SMALL(SimDataScen!$D$9:$D$508,496)</f>
        <v>331.97233043571157</v>
      </c>
      <c r="M502">
        <f>1/(COUNT(SimDataScen!$D$9:$D$508)-1)+$M$501</f>
        <v>0.99198396793587262</v>
      </c>
      <c r="N502">
        <f>SMALL(SimDataScen!$E$9:$E$508,496)</f>
        <v>247.2994411355514</v>
      </c>
      <c r="O502">
        <f>1/(COUNT(SimDataScen!$E$9:$E$508)-1)+$O$501</f>
        <v>0.99198396793587262</v>
      </c>
    </row>
    <row r="503" spans="1:15">
      <c r="A503">
        <v>495</v>
      </c>
      <c r="B503">
        <v>333.66457569359511</v>
      </c>
      <c r="C503">
        <v>251.58913054806817</v>
      </c>
      <c r="D503">
        <v>169.51368540254123</v>
      </c>
      <c r="E503">
        <v>87.438240257014286</v>
      </c>
      <c r="H503">
        <f>SMALL(SimDataScen!$B$9:$B$508,497)</f>
        <v>525.31571906933686</v>
      </c>
      <c r="I503">
        <f>1/(COUNT(SimDataScen!$B$9:$B$508)-1)+$I$502</f>
        <v>0.99398797595190469</v>
      </c>
      <c r="J503">
        <f>SMALL(SimDataScen!$C$9:$C$508,497)</f>
        <v>434.68711145656999</v>
      </c>
      <c r="K503">
        <f>1/(COUNT(SimDataScen!$C$9:$C$508)-1)+$K$502</f>
        <v>0.99398797595190469</v>
      </c>
      <c r="L503">
        <f>SMALL(SimDataScen!$D$9:$D$508,497)</f>
        <v>344.05850384380301</v>
      </c>
      <c r="M503">
        <f>1/(COUNT(SimDataScen!$D$9:$D$508)-1)+$M$502</f>
        <v>0.99398797595190469</v>
      </c>
      <c r="N503">
        <f>SMALL(SimDataScen!$E$9:$E$508,497)</f>
        <v>253.42989623103614</v>
      </c>
      <c r="O503">
        <f>1/(COUNT(SimDataScen!$E$9:$E$508)-1)+$O$502</f>
        <v>0.99398797595190469</v>
      </c>
    </row>
    <row r="504" spans="1:15">
      <c r="A504">
        <v>496</v>
      </c>
      <c r="B504">
        <v>277.95604356949127</v>
      </c>
      <c r="C504">
        <v>200.81626950341843</v>
      </c>
      <c r="D504">
        <v>123.67649543734555</v>
      </c>
      <c r="E504">
        <v>46.536721371272705</v>
      </c>
      <c r="H504">
        <f>SMALL(SimDataScen!$B$9:$B$508,498)</f>
        <v>528.32200519078776</v>
      </c>
      <c r="I504">
        <f>1/(COUNT(SimDataScen!$B$9:$B$508)-1)+$I$503</f>
        <v>0.99599198396793676</v>
      </c>
      <c r="J504">
        <f>SMALL(SimDataScen!$C$9:$C$508,498)</f>
        <v>444.01887418302948</v>
      </c>
      <c r="K504">
        <f>1/(COUNT(SimDataScen!$C$9:$C$508)-1)+$K$503</f>
        <v>0.99599198396793676</v>
      </c>
      <c r="L504">
        <f>SMALL(SimDataScen!$D$9:$D$508,498)</f>
        <v>359.7157431752712</v>
      </c>
      <c r="M504">
        <f>1/(COUNT(SimDataScen!$D$9:$D$508)-1)+$M$503</f>
        <v>0.99599198396793676</v>
      </c>
      <c r="N504">
        <f>SMALL(SimDataScen!$E$9:$E$508,498)</f>
        <v>275.41261216751292</v>
      </c>
      <c r="O504">
        <f>1/(COUNT(SimDataScen!$E$9:$E$508)-1)+$O$503</f>
        <v>0.99599198396793676</v>
      </c>
    </row>
    <row r="505" spans="1:15">
      <c r="A505">
        <v>497</v>
      </c>
      <c r="B505">
        <v>159.46184748088919</v>
      </c>
      <c r="C505">
        <v>82.175907589700827</v>
      </c>
      <c r="D505">
        <v>4.8899676985124501</v>
      </c>
      <c r="E505">
        <v>-72.395972192675913</v>
      </c>
      <c r="H505">
        <f>SMALL(SimDataScen!$B$9:$B$508,499)</f>
        <v>551.28642814846546</v>
      </c>
      <c r="I505">
        <f>1/(COUNT(SimDataScen!$B$9:$B$508)-1)+$I$504</f>
        <v>0.99799599198396882</v>
      </c>
      <c r="J505">
        <f>SMALL(SimDataScen!$C$9:$C$508,499)</f>
        <v>465.51517779524761</v>
      </c>
      <c r="K505">
        <f>1/(COUNT(SimDataScen!$C$9:$C$508)-1)+$K$504</f>
        <v>0.99799599198396882</v>
      </c>
      <c r="L505">
        <f>SMALL(SimDataScen!$D$9:$D$508,499)</f>
        <v>379.74392744202976</v>
      </c>
      <c r="M505">
        <f>1/(COUNT(SimDataScen!$D$9:$D$508)-1)+$M$504</f>
        <v>0.99799599198396882</v>
      </c>
      <c r="N505">
        <f>SMALL(SimDataScen!$E$9:$E$508,499)</f>
        <v>293.97267708881191</v>
      </c>
      <c r="O505">
        <f>1/(COUNT(SimDataScen!$E$9:$E$508)-1)+$O$504</f>
        <v>0.99799599198396882</v>
      </c>
    </row>
    <row r="506" spans="1:15">
      <c r="A506">
        <v>498</v>
      </c>
      <c r="B506">
        <v>307.44716617027041</v>
      </c>
      <c r="C506">
        <v>230.37177195922834</v>
      </c>
      <c r="D506">
        <v>153.29637774818622</v>
      </c>
      <c r="E506">
        <v>76.22098353714415</v>
      </c>
      <c r="H506">
        <f>SMALL(SimDataScen!$B$9:$B$508,500)</f>
        <v>579.67663613214268</v>
      </c>
      <c r="I506">
        <f>1/(COUNT(SimDataScen!$B$9:$B$508)-1)+$I$505</f>
        <v>1.0000000000000009</v>
      </c>
      <c r="J506">
        <f>SMALL(SimDataScen!$C$9:$C$508,500)</f>
        <v>490.65540553697429</v>
      </c>
      <c r="K506">
        <f>1/(COUNT(SimDataScen!$C$9:$C$508)-1)+$K$505</f>
        <v>1.0000000000000009</v>
      </c>
      <c r="L506">
        <f>SMALL(SimDataScen!$D$9:$D$508,500)</f>
        <v>401.6341749418059</v>
      </c>
      <c r="M506">
        <f>1/(COUNT(SimDataScen!$D$9:$D$508)-1)+$M$505</f>
        <v>1.0000000000000009</v>
      </c>
      <c r="N506">
        <f>SMALL(SimDataScen!$E$9:$E$508,500)</f>
        <v>312.61294434663751</v>
      </c>
      <c r="O506">
        <f>1/(COUNT(SimDataScen!$E$9:$E$508)-1)+$O$505</f>
        <v>1.0000000000000009</v>
      </c>
    </row>
    <row r="507" spans="1:15">
      <c r="A507">
        <v>499</v>
      </c>
      <c r="B507">
        <v>486.29816127691356</v>
      </c>
      <c r="C507">
        <v>400.15367751622199</v>
      </c>
      <c r="D507">
        <v>314.00919375553036</v>
      </c>
      <c r="E507">
        <v>227.86470999483876</v>
      </c>
    </row>
    <row r="508" spans="1:15">
      <c r="A508">
        <v>500</v>
      </c>
      <c r="B508">
        <v>183.9365598369825</v>
      </c>
      <c r="C508">
        <v>104.21595795891452</v>
      </c>
      <c r="D508">
        <v>24.495356080846534</v>
      </c>
      <c r="E508">
        <v>-55.225245797221447</v>
      </c>
    </row>
    <row r="510" spans="1:15">
      <c r="A510" t="s">
        <v>40</v>
      </c>
    </row>
    <row r="511" spans="1:15">
      <c r="A511" t="s">
        <v>41</v>
      </c>
      <c r="B511" t="str">
        <f>IF(ISBLANK($B510)=TRUE,"",_xll.EDF(B9:B508,$B510))</f>
        <v/>
      </c>
      <c r="C511" t="str">
        <f>IF(ISBLANK($C510)=TRUE,"",_xll.EDF(C9:C508,$C510))</f>
        <v/>
      </c>
      <c r="D511" t="str">
        <f>IF(ISBLANK($D510)=TRUE,"",_xll.EDF(D9:D508,$D510))</f>
        <v/>
      </c>
      <c r="E511" t="str">
        <f>IF(ISBLANK($E510)=TRUE,"",_xll.EDF(E9:E508,$E510))</f>
        <v/>
      </c>
    </row>
    <row r="512" spans="1:15">
      <c r="A512" t="s">
        <v>42</v>
      </c>
    </row>
    <row r="513" spans="1:5">
      <c r="A513" t="s">
        <v>43</v>
      </c>
      <c r="B513" t="str">
        <f>IF(ISBLANK($B512)=TRUE,"",_xll.EDF(B9:B508,$B512))</f>
        <v/>
      </c>
      <c r="C513" t="str">
        <f>IF(ISBLANK($C512)=TRUE,"",_xll.EDF(C9:C508,$C512))</f>
        <v/>
      </c>
      <c r="D513" t="str">
        <f>IF(ISBLANK($D512)=TRUE,"",_xll.EDF(D9:D508,$D512))</f>
        <v/>
      </c>
      <c r="E513" t="str">
        <f>IF(ISBLANK($E512)=TRUE,"",_xll.EDF(E9:E508,$E512))</f>
        <v/>
      </c>
    </row>
    <row r="514" spans="1:5">
      <c r="A514" t="s">
        <v>44</v>
      </c>
    </row>
    <row r="515" spans="1:5">
      <c r="A515" t="s">
        <v>45</v>
      </c>
      <c r="B515" t="str">
        <f>IF(ISBLANK($B514)=TRUE,"",_xll.EDF(B9:B508,$B514))</f>
        <v/>
      </c>
      <c r="C515" t="str">
        <f>IF(ISBLANK($C514)=TRUE,"",_xll.EDF(C9:C508,$C514))</f>
        <v/>
      </c>
      <c r="D515" t="str">
        <f>IF(ISBLANK($D514)=TRUE,"",_xll.EDF(D9:D508,$D514))</f>
        <v/>
      </c>
      <c r="E515" t="str">
        <f>IF(ISBLANK($E514)=TRUE,"",_xll.EDF(E9:E508,$E514))</f>
        <v/>
      </c>
    </row>
    <row r="516" spans="1:5">
      <c r="A516" t="s">
        <v>46</v>
      </c>
    </row>
    <row r="517" spans="1:5">
      <c r="A517" t="s">
        <v>47</v>
      </c>
      <c r="B517" t="str">
        <f>IF(ISBLANK($B516)=TRUE,"",_xll.EDF(B9:B508,$B516))</f>
        <v/>
      </c>
      <c r="C517" t="str">
        <f>IF(ISBLANK($C516)=TRUE,"",_xll.EDF(C9:C508,$C516))</f>
        <v/>
      </c>
      <c r="D517" t="str">
        <f>IF(ISBLANK($D516)=TRUE,"",_xll.EDF(D9:D508,$D516))</f>
        <v/>
      </c>
      <c r="E517" t="str">
        <f>IF(ISBLANK($E516)=TRUE,"",_xll.EDF(E9:E508,$E516))</f>
        <v/>
      </c>
    </row>
    <row r="518" spans="1:5">
      <c r="A518" t="s">
        <v>48</v>
      </c>
    </row>
    <row r="519" spans="1:5">
      <c r="A519" t="s">
        <v>49</v>
      </c>
      <c r="B519" t="str">
        <f>IF(ISBLANK($B518)=TRUE,"",_xll.EDF(B9:B508,$B518))</f>
        <v/>
      </c>
      <c r="C519" t="str">
        <f>IF(ISBLANK($C518)=TRUE,"",_xll.EDF(C9:C508,$C518))</f>
        <v/>
      </c>
      <c r="D519" t="str">
        <f>IF(ISBLANK($D518)=TRUE,"",_xll.EDF(D9:D508,$D518))</f>
        <v/>
      </c>
      <c r="E519" t="str">
        <f>IF(ISBLANK($E518)=TRUE,"",_xll.EDF(E9:E508,$E518))</f>
        <v/>
      </c>
    </row>
  </sheetData>
  <sheetCalcPr fullCalcOnLoad="1"/>
  <phoneticPr fontId="18" type="noConversion"/>
  <dataValidations count="1">
    <dataValidation type="list" allowBlank="1" showInputMessage="1" showErrorMessage="1" sqref="R11 T11 V11 X11">
      <formula1>"Cauchy,Cosinus,Double Exp,Epanechnikov,Gaussian,Histogram,Parzen,Quartic,Triangle,Triweight,Uniform"</formula1>
    </dataValidation>
  </dataValidation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workbookViewId="0">
      <selection activeCell="A3" sqref="A3"/>
    </sheetView>
  </sheetViews>
  <sheetFormatPr defaultColWidth="9" defaultRowHeight="12"/>
  <cols>
    <col min="1" max="1" width="14" style="7" customWidth="1"/>
    <col min="2" max="16384" width="9" style="7"/>
  </cols>
  <sheetData>
    <row r="1" spans="1:15">
      <c r="A1" s="6" t="str">
        <f ca="1">_xll.WBNAME()</f>
        <v>Business Model with Risk Demo.xlsx</v>
      </c>
    </row>
    <row r="2" spans="1:15">
      <c r="A2" s="7" t="s">
        <v>0</v>
      </c>
    </row>
    <row r="3" spans="1:15">
      <c r="A3" s="7" t="s">
        <v>78</v>
      </c>
    </row>
    <row r="4" spans="1:15" ht="12.75" thickBot="1">
      <c r="A4" s="7" t="s">
        <v>38</v>
      </c>
    </row>
    <row r="5" spans="1:15">
      <c r="A5" s="8"/>
      <c r="B5" s="9"/>
      <c r="C5" s="9"/>
      <c r="D5" s="9"/>
      <c r="E5" s="9"/>
      <c r="F5" s="9"/>
      <c r="G5" s="9"/>
      <c r="H5" s="10"/>
    </row>
    <row r="6" spans="1:15" ht="12.75" thickBot="1">
      <c r="A6" s="11" t="s">
        <v>1</v>
      </c>
      <c r="B6" s="5"/>
      <c r="C6" s="5"/>
      <c r="D6" s="5"/>
      <c r="E6" s="12" t="s">
        <v>21</v>
      </c>
      <c r="F6" s="5"/>
      <c r="G6" s="5"/>
      <c r="H6" s="13"/>
      <c r="J6" s="6" t="s">
        <v>65</v>
      </c>
      <c r="N6" s="6" t="s">
        <v>66</v>
      </c>
    </row>
    <row r="7" spans="1:15" ht="12.75" thickBot="1">
      <c r="A7" s="8" t="s">
        <v>2</v>
      </c>
      <c r="B7" s="9"/>
      <c r="C7" s="14">
        <f ca="1">N7</f>
        <v>0.4</v>
      </c>
      <c r="D7" s="5"/>
      <c r="E7" s="15">
        <f ca="1">B19</f>
        <v>340.41345654381763</v>
      </c>
      <c r="F7" s="16"/>
      <c r="G7" s="5"/>
      <c r="H7" s="13"/>
      <c r="J7" s="33">
        <v>0.4</v>
      </c>
      <c r="K7" s="34">
        <v>0.6</v>
      </c>
      <c r="L7" s="34">
        <v>0.8</v>
      </c>
      <c r="M7" s="14">
        <v>1</v>
      </c>
      <c r="N7" s="7">
        <f ca="1">_xll.SCENARIO(J7:M7)</f>
        <v>0.4</v>
      </c>
      <c r="O7" s="7" t="str">
        <f ca="1">_xll.VFORMULA(N7)</f>
        <v>=SCENARIO(J7:M7)</v>
      </c>
    </row>
    <row r="8" spans="1:15" ht="12.75" thickBot="1">
      <c r="A8" s="17" t="s">
        <v>3</v>
      </c>
      <c r="B8" s="5"/>
      <c r="C8" s="18">
        <f ca="1">N8</f>
        <v>100</v>
      </c>
      <c r="D8" s="5"/>
      <c r="E8" s="5"/>
      <c r="F8" s="5"/>
      <c r="G8" s="5"/>
      <c r="H8" s="13"/>
      <c r="J8" s="35">
        <v>100</v>
      </c>
      <c r="K8" s="22">
        <v>150</v>
      </c>
      <c r="L8" s="22">
        <v>200</v>
      </c>
      <c r="M8" s="23">
        <v>250</v>
      </c>
      <c r="N8" s="7">
        <f ca="1">_xll.SCENARIO(J8:M8)</f>
        <v>100</v>
      </c>
      <c r="O8" s="7" t="str">
        <f ca="1">_xll.VFORMULA(N8)</f>
        <v>=SCENARIO(J8:M8)</v>
      </c>
    </row>
    <row r="9" spans="1:15">
      <c r="A9" s="17"/>
      <c r="B9" s="19" t="s">
        <v>5</v>
      </c>
      <c r="C9" s="20" t="s">
        <v>6</v>
      </c>
      <c r="D9" s="5"/>
      <c r="E9" s="5"/>
      <c r="F9" s="5"/>
      <c r="G9" s="5"/>
      <c r="H9" s="13"/>
    </row>
    <row r="10" spans="1:15">
      <c r="A10" s="17" t="s">
        <v>4</v>
      </c>
      <c r="B10" s="12">
        <v>150</v>
      </c>
      <c r="C10" s="18">
        <v>25</v>
      </c>
      <c r="D10" s="5"/>
      <c r="E10" s="5"/>
      <c r="F10" s="5"/>
      <c r="G10" s="5"/>
      <c r="H10" s="13"/>
    </row>
    <row r="11" spans="1:15" ht="12.75" thickBot="1">
      <c r="A11" s="21" t="s">
        <v>7</v>
      </c>
      <c r="B11" s="22">
        <v>3</v>
      </c>
      <c r="C11" s="23">
        <v>0.45</v>
      </c>
      <c r="D11" s="5"/>
      <c r="E11" s="5"/>
      <c r="F11" s="5"/>
      <c r="G11" s="5"/>
      <c r="H11" s="13"/>
    </row>
    <row r="12" spans="1:15">
      <c r="A12" s="17"/>
      <c r="B12" s="5"/>
      <c r="C12" s="5"/>
      <c r="D12" s="5"/>
      <c r="E12" s="5"/>
      <c r="F12" s="5"/>
      <c r="G12" s="5"/>
      <c r="H12" s="13"/>
    </row>
    <row r="13" spans="1:15">
      <c r="A13" s="17"/>
      <c r="B13" s="5"/>
      <c r="C13" s="5"/>
      <c r="D13" s="5"/>
      <c r="E13" s="5"/>
      <c r="F13" s="5"/>
      <c r="G13" s="5"/>
      <c r="H13" s="13"/>
    </row>
    <row r="14" spans="1:15" ht="12.75" thickBot="1">
      <c r="A14" s="11" t="s">
        <v>8</v>
      </c>
      <c r="B14" s="5"/>
      <c r="C14" s="5"/>
      <c r="D14" s="5"/>
      <c r="E14" s="22" t="s">
        <v>22</v>
      </c>
      <c r="F14" s="24"/>
      <c r="G14" s="24"/>
      <c r="H14" s="25"/>
    </row>
    <row r="15" spans="1:15">
      <c r="A15" s="8" t="s">
        <v>12</v>
      </c>
      <c r="B15" s="26">
        <f ca="1">B23</f>
        <v>181.468110698472</v>
      </c>
      <c r="D15" s="5"/>
      <c r="E15" s="5"/>
      <c r="F15" s="5" t="str">
        <f ca="1">_xll.VFORMULA(B15)</f>
        <v>=B23</v>
      </c>
      <c r="G15" s="5"/>
      <c r="H15" s="13"/>
    </row>
    <row r="16" spans="1:15">
      <c r="A16" s="17" t="s">
        <v>2</v>
      </c>
      <c r="B16" s="27">
        <f ca="1">B15*C7</f>
        <v>72.587244279388798</v>
      </c>
      <c r="D16" s="5"/>
      <c r="E16" s="5"/>
      <c r="F16" s="5" t="str">
        <f ca="1">_xll.VFORMULA(B16)</f>
        <v>=B15*C7</v>
      </c>
      <c r="G16" s="5"/>
      <c r="H16" s="13"/>
    </row>
    <row r="17" spans="1:8">
      <c r="A17" s="17" t="s">
        <v>3</v>
      </c>
      <c r="B17" s="27">
        <f ca="1">C8</f>
        <v>100</v>
      </c>
      <c r="D17" s="5"/>
      <c r="E17" s="5"/>
      <c r="F17" s="5" t="str">
        <f ca="1">_xll.VFORMULA(B17)</f>
        <v>=C8</v>
      </c>
      <c r="G17" s="5"/>
      <c r="H17" s="13"/>
    </row>
    <row r="18" spans="1:8">
      <c r="A18" s="17" t="s">
        <v>13</v>
      </c>
      <c r="B18" s="27">
        <f ca="1">B24*B15</f>
        <v>513.00070082320644</v>
      </c>
      <c r="D18" s="5"/>
      <c r="E18" s="5"/>
      <c r="F18" s="5" t="str">
        <f ca="1">_xll.VFORMULA(B18)</f>
        <v>=B24*B15</v>
      </c>
      <c r="G18" s="5"/>
      <c r="H18" s="13"/>
    </row>
    <row r="19" spans="1:8" ht="12.75" thickBot="1">
      <c r="A19" s="21" t="s">
        <v>14</v>
      </c>
      <c r="B19" s="28">
        <f ca="1">B18-B17-B16</f>
        <v>340.41345654381763</v>
      </c>
      <c r="D19" s="5"/>
      <c r="E19" s="5"/>
      <c r="F19" s="5" t="str">
        <f ca="1">_xll.VFORMULA(B19)</f>
        <v>=B18-B17-B16</v>
      </c>
      <c r="G19" s="5"/>
      <c r="H19" s="13"/>
    </row>
    <row r="20" spans="1:8">
      <c r="A20" s="17"/>
      <c r="B20" s="5"/>
      <c r="C20" s="5"/>
      <c r="D20" s="5"/>
      <c r="E20" s="5"/>
      <c r="F20" s="5"/>
      <c r="G20" s="5"/>
      <c r="H20" s="13"/>
    </row>
    <row r="21" spans="1:8">
      <c r="A21" s="17"/>
      <c r="B21" s="5"/>
      <c r="C21" s="5"/>
      <c r="D21" s="5"/>
      <c r="E21" s="5"/>
      <c r="F21" s="5"/>
      <c r="G21" s="5"/>
      <c r="H21" s="13"/>
    </row>
    <row r="22" spans="1:8" ht="12.75" thickBot="1">
      <c r="A22" s="11" t="s">
        <v>9</v>
      </c>
      <c r="B22" s="5"/>
      <c r="C22" s="5"/>
      <c r="D22" s="5"/>
      <c r="E22" s="22" t="s">
        <v>23</v>
      </c>
      <c r="F22" s="22"/>
      <c r="G22" s="22"/>
      <c r="H22" s="23"/>
    </row>
    <row r="23" spans="1:8">
      <c r="A23" s="8" t="s">
        <v>10</v>
      </c>
      <c r="B23" s="9">
        <f ca="1">_xll.NORM(B10,C10)</f>
        <v>181.468110698472</v>
      </c>
      <c r="C23" s="10"/>
      <c r="D23" s="5"/>
      <c r="E23" s="5"/>
      <c r="F23" s="5" t="str">
        <f ca="1">_xll.VFORMULA(B23)</f>
        <v>=NORM(B10,C10)</v>
      </c>
      <c r="G23" s="5"/>
      <c r="H23" s="13"/>
    </row>
    <row r="24" spans="1:8" ht="12.75" thickBot="1">
      <c r="A24" s="21" t="s">
        <v>11</v>
      </c>
      <c r="B24" s="24">
        <f ca="1">_xll.NORM(B11,C11)</f>
        <v>2.8269468329651048</v>
      </c>
      <c r="C24" s="25"/>
      <c r="D24" s="5"/>
      <c r="E24" s="5"/>
      <c r="F24" s="5" t="str">
        <f ca="1">_xll.VFORMULA(B24)</f>
        <v>=NORM(B11,C11)</v>
      </c>
      <c r="G24" s="5"/>
      <c r="H24" s="13"/>
    </row>
    <row r="25" spans="1:8" ht="12.75" thickBot="1">
      <c r="A25" s="21"/>
      <c r="B25" s="24"/>
      <c r="C25" s="24"/>
      <c r="D25" s="24"/>
      <c r="E25" s="24"/>
      <c r="F25" s="24"/>
      <c r="G25" s="24"/>
      <c r="H25" s="25"/>
    </row>
    <row r="28" spans="1:8">
      <c r="A28" s="6" t="s">
        <v>33</v>
      </c>
    </row>
    <row r="29" spans="1:8">
      <c r="A29" s="7" t="s">
        <v>35</v>
      </c>
    </row>
    <row r="31" spans="1:8">
      <c r="A31" s="7" t="s">
        <v>32</v>
      </c>
    </row>
    <row r="32" spans="1:8">
      <c r="B32" s="29" t="s">
        <v>10</v>
      </c>
      <c r="C32" s="29" t="s">
        <v>11</v>
      </c>
      <c r="D32" s="30" t="s">
        <v>12</v>
      </c>
      <c r="E32" s="29" t="s">
        <v>34</v>
      </c>
      <c r="F32" s="29" t="s">
        <v>14</v>
      </c>
    </row>
    <row r="33" spans="1:15">
      <c r="A33" s="7" t="s">
        <v>5</v>
      </c>
      <c r="B33" s="31">
        <v>149.98609615659007</v>
      </c>
      <c r="C33" s="31">
        <v>2.999233116227515</v>
      </c>
      <c r="D33" s="31">
        <v>134.98748654093103</v>
      </c>
      <c r="E33" s="31">
        <v>449.44078043232906</v>
      </c>
      <c r="F33" s="31">
        <v>214.45329389139823</v>
      </c>
    </row>
    <row r="34" spans="1:15">
      <c r="A34" s="7" t="s">
        <v>16</v>
      </c>
      <c r="B34" s="7">
        <v>24.999206799920405</v>
      </c>
      <c r="C34" s="7">
        <v>0.45045162719018911</v>
      </c>
      <c r="D34" s="7">
        <v>22.499286119927898</v>
      </c>
      <c r="E34" s="7">
        <v>101.07201042607244</v>
      </c>
      <c r="F34" s="7">
        <v>86.277255308863801</v>
      </c>
    </row>
    <row r="35" spans="1:15">
      <c r="A35" s="7" t="s">
        <v>17</v>
      </c>
      <c r="B35" s="7">
        <v>16.667682832294314</v>
      </c>
      <c r="C35" s="7">
        <v>15.018893488238573</v>
      </c>
      <c r="D35" s="7">
        <v>16.66768283229397</v>
      </c>
      <c r="E35" s="7">
        <v>22.488393315988947</v>
      </c>
      <c r="F35" s="7">
        <v>40.231256766126272</v>
      </c>
    </row>
    <row r="36" spans="1:15">
      <c r="A36" s="7" t="s">
        <v>18</v>
      </c>
      <c r="B36" s="31">
        <v>67.425157036632299</v>
      </c>
      <c r="C36" s="31">
        <v>1.4441092237830162</v>
      </c>
      <c r="D36" s="31">
        <v>60.682641332969069</v>
      </c>
      <c r="E36" s="31">
        <v>188.11478563833523</v>
      </c>
      <c r="F36" s="31">
        <v>-19.662794658324287</v>
      </c>
    </row>
    <row r="37" spans="1:15">
      <c r="A37" s="7" t="s">
        <v>19</v>
      </c>
      <c r="B37" s="31">
        <v>222.54857337102294</v>
      </c>
      <c r="C37" s="31">
        <v>4.2990640243515372</v>
      </c>
      <c r="D37" s="31">
        <v>200.29371603392065</v>
      </c>
      <c r="E37" s="31">
        <v>805.30737675471437</v>
      </c>
      <c r="F37" s="31">
        <v>520.44528469945044</v>
      </c>
      <c r="H37" s="32" t="s">
        <v>28</v>
      </c>
      <c r="I37" s="19"/>
      <c r="J37" s="19"/>
      <c r="K37" s="19"/>
      <c r="L37" s="19"/>
      <c r="M37" s="19"/>
      <c r="N37" s="19"/>
      <c r="O37" s="19"/>
    </row>
    <row r="38" spans="1:15">
      <c r="A38" s="7" t="s">
        <v>20</v>
      </c>
      <c r="B38" s="7" t="s">
        <v>15</v>
      </c>
      <c r="H38" s="19" t="s">
        <v>24</v>
      </c>
      <c r="I38" s="19"/>
      <c r="K38" s="19" t="s">
        <v>25</v>
      </c>
      <c r="L38" s="19"/>
      <c r="N38" s="19" t="s">
        <v>26</v>
      </c>
      <c r="O38" s="19"/>
    </row>
    <row r="39" spans="1:15">
      <c r="A39" s="7">
        <v>1</v>
      </c>
      <c r="B39" s="31">
        <v>149.21877247288649</v>
      </c>
      <c r="C39" s="31">
        <v>3.2522613158362219</v>
      </c>
      <c r="D39" s="31">
        <v>134.29689522559784</v>
      </c>
      <c r="E39" s="31">
        <v>485.29844131013562</v>
      </c>
      <c r="F39" s="31">
        <v>251.00154608453778</v>
      </c>
      <c r="H39" s="7">
        <f t="shared" ref="H39:H49" si="0">B39*C39</f>
        <v>485.29844131013562</v>
      </c>
      <c r="I39" s="7" t="str">
        <f ca="1">_xll.VFORMULA(H39)</f>
        <v>=B39*C39</v>
      </c>
      <c r="K39" s="7">
        <f t="shared" ref="K39:K49" si="1">0.9*B39</f>
        <v>134.29689522559784</v>
      </c>
      <c r="L39" s="7" t="str">
        <f ca="1">_xll.VFORMULA(K39)</f>
        <v>=0.9*B39</v>
      </c>
      <c r="N39" s="7">
        <f t="shared" ref="N39:N49" si="2">H39-K39-100</f>
        <v>251.00154608453778</v>
      </c>
      <c r="O39" s="7" t="str">
        <f ca="1">_xll.VFORMULA(N39)</f>
        <v>=H39-K39-100</v>
      </c>
    </row>
    <row r="40" spans="1:15">
      <c r="A40" s="7">
        <v>2</v>
      </c>
      <c r="B40" s="31">
        <v>156.82808831697912</v>
      </c>
      <c r="C40" s="31">
        <v>2.7336637989064911</v>
      </c>
      <c r="D40" s="31">
        <v>141.14527948528121</v>
      </c>
      <c r="E40" s="31">
        <v>428.71526768383586</v>
      </c>
      <c r="F40" s="31">
        <v>187.56998819855465</v>
      </c>
      <c r="H40" s="7">
        <f t="shared" si="0"/>
        <v>428.71526768383586</v>
      </c>
      <c r="I40" s="7" t="str">
        <f ca="1">_xll.VFORMULA(H40)</f>
        <v>=B40*C40</v>
      </c>
      <c r="K40" s="7">
        <f t="shared" si="1"/>
        <v>141.14527948528121</v>
      </c>
      <c r="L40" s="7" t="str">
        <f ca="1">_xll.VFORMULA(K40)</f>
        <v>=0.9*B40</v>
      </c>
      <c r="N40" s="7">
        <f t="shared" si="2"/>
        <v>187.56998819855465</v>
      </c>
      <c r="O40" s="7" t="str">
        <f ca="1">_xll.VFORMULA(N40)</f>
        <v>=H40-K40-100</v>
      </c>
    </row>
    <row r="41" spans="1:15">
      <c r="A41" s="7">
        <v>3</v>
      </c>
      <c r="B41" s="31">
        <v>171.37431920345989</v>
      </c>
      <c r="C41" s="31">
        <v>3.7041146545816446</v>
      </c>
      <c r="D41" s="31">
        <v>154.2368872831139</v>
      </c>
      <c r="E41" s="31">
        <v>634.7901271804883</v>
      </c>
      <c r="F41" s="31">
        <v>380.5532398973744</v>
      </c>
      <c r="H41" s="7">
        <f t="shared" si="0"/>
        <v>634.7901271804883</v>
      </c>
      <c r="I41" s="7" t="str">
        <f ca="1">_xll.VFORMULA(H41)</f>
        <v>=B41*C41</v>
      </c>
      <c r="K41" s="7">
        <f t="shared" si="1"/>
        <v>154.2368872831139</v>
      </c>
      <c r="L41" s="7" t="str">
        <f ca="1">_xll.VFORMULA(K41)</f>
        <v>=0.9*B41</v>
      </c>
      <c r="N41" s="7">
        <f t="shared" si="2"/>
        <v>380.5532398973744</v>
      </c>
      <c r="O41" s="7" t="str">
        <f ca="1">_xll.VFORMULA(N41)</f>
        <v>=H41-K41-100</v>
      </c>
    </row>
    <row r="42" spans="1:15">
      <c r="A42" s="7">
        <v>4</v>
      </c>
      <c r="B42" s="31">
        <v>132.44243215594906</v>
      </c>
      <c r="C42" s="31">
        <v>3.4165945028944407</v>
      </c>
      <c r="D42" s="31">
        <v>119.19818894035416</v>
      </c>
      <c r="E42" s="31">
        <v>452.50208565398549</v>
      </c>
      <c r="F42" s="31">
        <v>233.30389671363133</v>
      </c>
      <c r="H42" s="7">
        <f t="shared" si="0"/>
        <v>452.50208565398549</v>
      </c>
      <c r="I42" s="7" t="str">
        <f ca="1">_xll.VFORMULA(H42)</f>
        <v>=B42*C42</v>
      </c>
      <c r="K42" s="7">
        <f t="shared" si="1"/>
        <v>119.19818894035416</v>
      </c>
      <c r="L42" s="7" t="str">
        <f ca="1">_xll.VFORMULA(K42)</f>
        <v>=0.9*B42</v>
      </c>
      <c r="N42" s="7">
        <f t="shared" si="2"/>
        <v>233.30389671363133</v>
      </c>
      <c r="O42" s="7" t="str">
        <f ca="1">_xll.VFORMULA(N42)</f>
        <v>=H42-K42-100</v>
      </c>
    </row>
    <row r="43" spans="1:15">
      <c r="A43" s="7">
        <v>5</v>
      </c>
      <c r="B43" s="31">
        <v>84.854713501408696</v>
      </c>
      <c r="C43" s="31">
        <v>3.2972188895000727</v>
      </c>
      <c r="D43" s="31">
        <v>76.369242151267827</v>
      </c>
      <c r="E43" s="31">
        <v>279.78456421996162</v>
      </c>
      <c r="F43" s="31">
        <v>103.4153220686938</v>
      </c>
      <c r="H43" s="7">
        <f t="shared" si="0"/>
        <v>279.78456421996162</v>
      </c>
      <c r="I43" s="7" t="str">
        <f ca="1">_xll.VFORMULA(H43)</f>
        <v>=B43*C43</v>
      </c>
      <c r="K43" s="7">
        <f t="shared" si="1"/>
        <v>76.369242151267827</v>
      </c>
      <c r="L43" s="7" t="str">
        <f ca="1">_xll.VFORMULA(K43)</f>
        <v>=0.9*B43</v>
      </c>
      <c r="N43" s="7">
        <f t="shared" si="2"/>
        <v>103.4153220686938</v>
      </c>
      <c r="O43" s="7" t="str">
        <f ca="1">_xll.VFORMULA(N43)</f>
        <v>=H43-K43-100</v>
      </c>
    </row>
    <row r="44" spans="1:15">
      <c r="A44" s="7">
        <v>6</v>
      </c>
      <c r="B44" s="31">
        <v>163.15896724918275</v>
      </c>
      <c r="C44" s="31">
        <v>3.2638048499647994</v>
      </c>
      <c r="D44" s="31">
        <v>146.84307052426448</v>
      </c>
      <c r="E44" s="31">
        <v>532.51902862313057</v>
      </c>
      <c r="F44" s="31">
        <v>285.67595809886609</v>
      </c>
      <c r="H44" s="7">
        <f t="shared" si="0"/>
        <v>532.51902862313057</v>
      </c>
      <c r="I44" s="7" t="str">
        <f ca="1">_xll.VFORMULA(H44)</f>
        <v>=B44*C44</v>
      </c>
      <c r="K44" s="7">
        <f t="shared" si="1"/>
        <v>146.84307052426448</v>
      </c>
      <c r="L44" s="7" t="str">
        <f ca="1">_xll.VFORMULA(K44)</f>
        <v>=0.9*B44</v>
      </c>
      <c r="N44" s="7">
        <f t="shared" si="2"/>
        <v>285.67595809886609</v>
      </c>
      <c r="O44" s="7" t="str">
        <f ca="1">_xll.VFORMULA(N44)</f>
        <v>=H44-K44-100</v>
      </c>
    </row>
    <row r="45" spans="1:15">
      <c r="A45" s="7">
        <v>7</v>
      </c>
      <c r="B45" s="31">
        <v>160.889692703131</v>
      </c>
      <c r="C45" s="31">
        <v>2.7091504155832808</v>
      </c>
      <c r="D45" s="31">
        <v>144.8007234328179</v>
      </c>
      <c r="E45" s="31">
        <v>435.87437784975373</v>
      </c>
      <c r="F45" s="31">
        <v>191.07365441693582</v>
      </c>
      <c r="H45" s="7">
        <f t="shared" si="0"/>
        <v>435.87437784975373</v>
      </c>
      <c r="I45" s="7" t="str">
        <f ca="1">_xll.VFORMULA(H45)</f>
        <v>=B45*C45</v>
      </c>
      <c r="K45" s="7">
        <f t="shared" si="1"/>
        <v>144.8007234328179</v>
      </c>
      <c r="L45" s="7" t="str">
        <f ca="1">_xll.VFORMULA(K45)</f>
        <v>=0.9*B45</v>
      </c>
      <c r="N45" s="7">
        <f t="shared" si="2"/>
        <v>191.07365441693582</v>
      </c>
      <c r="O45" s="7" t="str">
        <f ca="1">_xll.VFORMULA(N45)</f>
        <v>=H45-K45-100</v>
      </c>
    </row>
    <row r="46" spans="1:15">
      <c r="A46" s="7">
        <v>8</v>
      </c>
      <c r="B46" s="31">
        <v>149.61875118970056</v>
      </c>
      <c r="C46" s="31">
        <v>2.6623910192283802</v>
      </c>
      <c r="D46" s="31">
        <v>134.6568760707305</v>
      </c>
      <c r="E46" s="31">
        <v>398.34361947562428</v>
      </c>
      <c r="F46" s="31">
        <v>163.68674340489378</v>
      </c>
      <c r="H46" s="7">
        <f t="shared" si="0"/>
        <v>398.34361947562428</v>
      </c>
      <c r="I46" s="7" t="str">
        <f ca="1">_xll.VFORMULA(H46)</f>
        <v>=B46*C46</v>
      </c>
      <c r="K46" s="7">
        <f t="shared" si="1"/>
        <v>134.6568760707305</v>
      </c>
      <c r="L46" s="7" t="str">
        <f ca="1">_xll.VFORMULA(K46)</f>
        <v>=0.9*B46</v>
      </c>
      <c r="N46" s="7">
        <f t="shared" si="2"/>
        <v>163.68674340489378</v>
      </c>
      <c r="O46" s="7" t="str">
        <f ca="1">_xll.VFORMULA(N46)</f>
        <v>=H46-K46-100</v>
      </c>
    </row>
    <row r="47" spans="1:15">
      <c r="A47" s="7">
        <v>9</v>
      </c>
      <c r="B47" s="31">
        <v>170.5644141715311</v>
      </c>
      <c r="C47" s="31">
        <v>3.4263106347934809</v>
      </c>
      <c r="D47" s="31">
        <v>153.50797275437799</v>
      </c>
      <c r="E47" s="31">
        <v>584.4066661932369</v>
      </c>
      <c r="F47" s="31">
        <v>330.89869343885891</v>
      </c>
      <c r="H47" s="7">
        <f t="shared" si="0"/>
        <v>584.4066661932369</v>
      </c>
      <c r="I47" s="7" t="str">
        <f ca="1">_xll.VFORMULA(H47)</f>
        <v>=B47*C47</v>
      </c>
      <c r="K47" s="7">
        <f t="shared" si="1"/>
        <v>153.50797275437799</v>
      </c>
      <c r="L47" s="7" t="str">
        <f ca="1">_xll.VFORMULA(K47)</f>
        <v>=0.9*B47</v>
      </c>
      <c r="N47" s="7">
        <f t="shared" si="2"/>
        <v>330.89869343885891</v>
      </c>
      <c r="O47" s="7" t="str">
        <f ca="1">_xll.VFORMULA(N47)</f>
        <v>=H47-K47-100</v>
      </c>
    </row>
    <row r="48" spans="1:15">
      <c r="A48" s="7">
        <v>10</v>
      </c>
      <c r="B48" s="31">
        <v>167.56814071995905</v>
      </c>
      <c r="C48" s="31">
        <v>3.6282017466219258</v>
      </c>
      <c r="D48" s="31">
        <v>150.81132664796314</v>
      </c>
      <c r="E48" s="31">
        <v>607.97102083834409</v>
      </c>
      <c r="F48" s="31">
        <v>357.15969419038095</v>
      </c>
      <c r="H48" s="7">
        <f t="shared" si="0"/>
        <v>607.97102083834409</v>
      </c>
      <c r="I48" s="7" t="str">
        <f ca="1">_xll.VFORMULA(H48)</f>
        <v>=B48*C48</v>
      </c>
      <c r="K48" s="7">
        <f t="shared" si="1"/>
        <v>150.81132664796314</v>
      </c>
      <c r="L48" s="7" t="str">
        <f ca="1">_xll.VFORMULA(K48)</f>
        <v>=0.9*B48</v>
      </c>
      <c r="N48" s="7">
        <f t="shared" si="2"/>
        <v>357.15969419038095</v>
      </c>
      <c r="O48" s="7" t="str">
        <f ca="1">_xll.VFORMULA(N48)</f>
        <v>=H48-K48-100</v>
      </c>
    </row>
    <row r="49" spans="1:15">
      <c r="A49" s="7">
        <v>11</v>
      </c>
      <c r="B49" s="31">
        <v>161.50476691691438</v>
      </c>
      <c r="C49" s="31">
        <v>3.0883558186615119</v>
      </c>
      <c r="D49" s="31">
        <v>145.35429022522294</v>
      </c>
      <c r="E49" s="31">
        <v>498.78418664942376</v>
      </c>
      <c r="F49" s="31">
        <v>253.42989642420082</v>
      </c>
      <c r="H49" s="7">
        <f t="shared" si="0"/>
        <v>498.78418664942376</v>
      </c>
      <c r="I49" s="7" t="str">
        <f ca="1">_xll.VFORMULA(H49)</f>
        <v>=B49*C49</v>
      </c>
      <c r="K49" s="7">
        <f t="shared" si="1"/>
        <v>145.35429022522294</v>
      </c>
      <c r="L49" s="7" t="str">
        <f ca="1">_xll.VFORMULA(K49)</f>
        <v>=0.9*B49</v>
      </c>
      <c r="N49" s="7">
        <f t="shared" si="2"/>
        <v>253.42989642420082</v>
      </c>
      <c r="O49" s="7" t="str">
        <f ca="1">_xll.VFORMULA(N49)</f>
        <v>=H49-K49-100</v>
      </c>
    </row>
    <row r="50" spans="1:15">
      <c r="A50" s="7">
        <v>12</v>
      </c>
      <c r="B50" s="31">
        <v>130.80403429412399</v>
      </c>
      <c r="C50" s="31">
        <v>3.360922172149003</v>
      </c>
      <c r="D50" s="31">
        <v>117.72363086471159</v>
      </c>
      <c r="E50" s="31">
        <v>439.62217906565991</v>
      </c>
      <c r="F50" s="31">
        <v>221.89854820094831</v>
      </c>
    </row>
    <row r="51" spans="1:15">
      <c r="A51" s="7">
        <v>13</v>
      </c>
      <c r="B51" s="31">
        <v>163.61377144348808</v>
      </c>
      <c r="C51" s="31">
        <v>3.4059237426190521</v>
      </c>
      <c r="D51" s="31">
        <v>147.25239429913927</v>
      </c>
      <c r="E51" s="31">
        <v>557.25602877882307</v>
      </c>
      <c r="F51" s="31">
        <v>310.0036344796838</v>
      </c>
      <c r="H51" s="7" t="s">
        <v>36</v>
      </c>
    </row>
    <row r="52" spans="1:15">
      <c r="A52" s="7">
        <v>14</v>
      </c>
      <c r="B52" s="31">
        <v>121.47654084983515</v>
      </c>
      <c r="C52" s="31">
        <v>2.5340093619233812</v>
      </c>
      <c r="D52" s="31">
        <v>109.32888676485163</v>
      </c>
      <c r="E52" s="31">
        <v>307.82269176755034</v>
      </c>
      <c r="F52" s="31">
        <v>98.493805002698707</v>
      </c>
      <c r="H52" s="7" t="s">
        <v>37</v>
      </c>
    </row>
    <row r="53" spans="1:15">
      <c r="A53" s="7">
        <v>15</v>
      </c>
      <c r="B53" s="31">
        <v>159.65664526120236</v>
      </c>
      <c r="C53" s="31">
        <v>3.2193251020798925</v>
      </c>
      <c r="D53" s="31">
        <v>143.69098073508212</v>
      </c>
      <c r="E53" s="31">
        <v>513.98664580325351</v>
      </c>
      <c r="F53" s="31">
        <v>270.29566506817139</v>
      </c>
      <c r="H53" s="7" t="s">
        <v>27</v>
      </c>
    </row>
    <row r="54" spans="1:15">
      <c r="A54" s="7">
        <v>16</v>
      </c>
      <c r="B54" s="31">
        <v>149.68684960549581</v>
      </c>
      <c r="C54" s="31">
        <v>2.9933109506855544</v>
      </c>
      <c r="D54" s="31">
        <v>134.71816464494623</v>
      </c>
      <c r="E54" s="31">
        <v>448.05928609775225</v>
      </c>
      <c r="F54" s="31">
        <v>213.34112145280602</v>
      </c>
    </row>
    <row r="55" spans="1:15">
      <c r="A55" s="7">
        <v>17</v>
      </c>
      <c r="B55" s="31">
        <v>154.65416860606638</v>
      </c>
      <c r="C55" s="31">
        <v>3.621521394350566</v>
      </c>
      <c r="D55" s="31">
        <v>139.18875174545974</v>
      </c>
      <c r="E55" s="31">
        <v>560.08338033236907</v>
      </c>
      <c r="F55" s="31">
        <v>320.89462858690933</v>
      </c>
    </row>
    <row r="56" spans="1:15">
      <c r="A56" s="7">
        <v>18</v>
      </c>
      <c r="B56" s="31">
        <v>165.22982984170085</v>
      </c>
      <c r="C56" s="31">
        <v>3.0512296765009523</v>
      </c>
      <c r="D56" s="31">
        <v>148.70684685753076</v>
      </c>
      <c r="E56" s="31">
        <v>504.15416025620027</v>
      </c>
      <c r="F56" s="31">
        <v>255.44731339866951</v>
      </c>
    </row>
    <row r="57" spans="1:15">
      <c r="A57" s="7">
        <v>19</v>
      </c>
      <c r="B57" s="31">
        <v>96.303887554677203</v>
      </c>
      <c r="C57" s="31">
        <v>3.1442808752472047</v>
      </c>
      <c r="D57" s="31">
        <v>86.673498799209483</v>
      </c>
      <c r="E57" s="31">
        <v>302.80647185012884</v>
      </c>
      <c r="F57" s="31">
        <v>116.13297305091936</v>
      </c>
    </row>
    <row r="58" spans="1:15">
      <c r="A58" s="7">
        <v>20</v>
      </c>
      <c r="B58" s="31">
        <v>130.33342762937536</v>
      </c>
      <c r="C58" s="31">
        <v>3.038536086321983</v>
      </c>
      <c r="D58" s="31">
        <v>117.30008486643783</v>
      </c>
      <c r="E58" s="31">
        <v>396.02282310589163</v>
      </c>
      <c r="F58" s="31">
        <v>178.7227382394538</v>
      </c>
    </row>
    <row r="59" spans="1:15">
      <c r="A59" s="7">
        <v>21</v>
      </c>
      <c r="B59" s="31">
        <v>119.11026300949743</v>
      </c>
      <c r="C59" s="31">
        <v>3.0564146489523409</v>
      </c>
      <c r="D59" s="31">
        <v>107.19923670854769</v>
      </c>
      <c r="E59" s="31">
        <v>364.0503527027941</v>
      </c>
      <c r="F59" s="31">
        <v>156.85111599424641</v>
      </c>
    </row>
    <row r="60" spans="1:15">
      <c r="A60" s="7">
        <v>22</v>
      </c>
      <c r="B60" s="31">
        <v>153.89445631299168</v>
      </c>
      <c r="C60" s="31">
        <v>3.2927885134340613</v>
      </c>
      <c r="D60" s="31">
        <v>138.50501068169251</v>
      </c>
      <c r="E60" s="31">
        <v>506.74189802859894</v>
      </c>
      <c r="F60" s="31">
        <v>268.23688734690643</v>
      </c>
    </row>
    <row r="61" spans="1:15">
      <c r="A61" s="7">
        <v>23</v>
      </c>
      <c r="B61" s="31">
        <v>128.92666669940809</v>
      </c>
      <c r="C61" s="31">
        <v>2.5026253145624651</v>
      </c>
      <c r="D61" s="31">
        <v>116.03400002946728</v>
      </c>
      <c r="E61" s="31">
        <v>322.65513980409628</v>
      </c>
      <c r="F61" s="31">
        <v>106.621139774629</v>
      </c>
    </row>
  </sheetData>
  <phoneticPr fontId="0" type="noConversion"/>
  <printOptions headings="1"/>
  <pageMargins left="0.75" right="0.75" top="0.5" bottom="1" header="0.5" footer="0.5"/>
  <pageSetup scale="67" orientation="portrait" horizontalDpi="4294967292" r:id="rId1"/>
  <headerFooter alignWithMargins="0">
    <oddFooter>demoprofit.xls&amp;RPage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workbookViewId="0"/>
  </sheetViews>
  <sheetFormatPr defaultRowHeight="12"/>
  <sheetData>
    <row r="1" spans="1:14">
      <c r="A1" t="s">
        <v>64</v>
      </c>
    </row>
    <row r="2" spans="1:14">
      <c r="A2" t="s">
        <v>39</v>
      </c>
      <c r="B2" t="str">
        <f ca="1">ADDRESS(ROW(Model!$B$23),COLUMN(Model!$B$23),4,,_xll.WSNAME(Model!$B$23))</f>
        <v>Model!B23</v>
      </c>
      <c r="C2" t="str">
        <f ca="1">ADDRESS(ROW(Model!$B$24),COLUMN(Model!$B$24),4,,_xll.WSNAME(Model!$B$24))</f>
        <v>Model!B24</v>
      </c>
      <c r="D2" t="str">
        <f ca="1">ADDRESS(ROW(Model!$B$15),COLUMN(Model!$B$15),4,,_xll.WSNAME(Model!$B$15))</f>
        <v>Model!B15</v>
      </c>
      <c r="E2" t="str">
        <f ca="1">ADDRESS(ROW(Model!$B$16),COLUMN(Model!$B$16),4,,_xll.WSNAME(Model!$B$16))</f>
        <v>Model!B16</v>
      </c>
      <c r="F2" t="str">
        <f ca="1">ADDRESS(ROW(Model!$B$17),COLUMN(Model!$B$17),4,,_xll.WSNAME(Model!$B$17))</f>
        <v>Model!B17</v>
      </c>
      <c r="G2" t="str">
        <f ca="1">ADDRESS(ROW(Model!$B$18),COLUMN(Model!$B$18),4,,_xll.WSNAME(Model!$B$18))</f>
        <v>Model!B18</v>
      </c>
      <c r="H2" t="str">
        <f ca="1">ADDRESS(ROW(Model!$B$19),COLUMN(Model!$B$19),4,,_xll.WSNAME(Model!$B$19))</f>
        <v>Model!B19</v>
      </c>
    </row>
    <row r="3" spans="1:14">
      <c r="A3" t="s">
        <v>5</v>
      </c>
      <c r="B3">
        <f t="shared" ref="B3:H3" si="0">AVERAGE(B9:B108)</f>
        <v>149.95914789573118</v>
      </c>
      <c r="C3">
        <f t="shared" si="0"/>
        <v>3.0010415939270372</v>
      </c>
      <c r="D3">
        <f t="shared" si="0"/>
        <v>149.95914789573118</v>
      </c>
      <c r="E3">
        <f t="shared" si="0"/>
        <v>134.96323310615801</v>
      </c>
      <c r="F3">
        <f t="shared" si="0"/>
        <v>100</v>
      </c>
      <c r="G3">
        <f t="shared" si="0"/>
        <v>450.44509382106384</v>
      </c>
      <c r="H3">
        <f t="shared" si="0"/>
        <v>215.48186071490562</v>
      </c>
    </row>
    <row r="4" spans="1:14">
      <c r="A4" t="s">
        <v>16</v>
      </c>
      <c r="B4">
        <f t="shared" ref="B4:H4" si="1">STDEV(B9:B108)</f>
        <v>24.884071164040222</v>
      </c>
      <c r="C4">
        <f t="shared" si="1"/>
        <v>0.45407721633459752</v>
      </c>
      <c r="D4">
        <f t="shared" si="1"/>
        <v>24.884071164040222</v>
      </c>
      <c r="E4">
        <f t="shared" si="1"/>
        <v>22.395664047636366</v>
      </c>
      <c r="F4">
        <f t="shared" si="1"/>
        <v>0</v>
      </c>
      <c r="G4">
        <f t="shared" si="1"/>
        <v>102.12914570023052</v>
      </c>
      <c r="H4">
        <f t="shared" si="1"/>
        <v>87.056023972926909</v>
      </c>
    </row>
    <row r="5" spans="1:14">
      <c r="A5" t="s">
        <v>17</v>
      </c>
      <c r="B5">
        <f t="shared" ref="B5:H5" si="2">100*B4/B3</f>
        <v>16.5939000809357</v>
      </c>
      <c r="C5">
        <f t="shared" si="2"/>
        <v>15.130653878755846</v>
      </c>
      <c r="D5">
        <f t="shared" si="2"/>
        <v>16.5939000809357</v>
      </c>
      <c r="E5">
        <f t="shared" si="2"/>
        <v>16.593900080935828</v>
      </c>
      <c r="F5">
        <f t="shared" si="2"/>
        <v>0</v>
      </c>
      <c r="G5">
        <f t="shared" si="2"/>
        <v>22.672939965642211</v>
      </c>
      <c r="H5">
        <f t="shared" si="2"/>
        <v>40.400627544286351</v>
      </c>
    </row>
    <row r="6" spans="1:14">
      <c r="A6" t="s">
        <v>18</v>
      </c>
      <c r="B6">
        <f t="shared" ref="B6:H6" si="3">MIN(B9:B108)</f>
        <v>84.096488362925925</v>
      </c>
      <c r="C6">
        <f t="shared" si="3"/>
        <v>1.8651529877736539</v>
      </c>
      <c r="D6">
        <f t="shared" si="3"/>
        <v>84.096488362925925</v>
      </c>
      <c r="E6">
        <f t="shared" si="3"/>
        <v>75.686839526633335</v>
      </c>
      <c r="F6">
        <f t="shared" si="3"/>
        <v>100</v>
      </c>
      <c r="G6">
        <f t="shared" si="3"/>
        <v>242.61552776957814</v>
      </c>
      <c r="H6">
        <f t="shared" si="3"/>
        <v>32.729006717280626</v>
      </c>
    </row>
    <row r="7" spans="1:14">
      <c r="A7" t="s">
        <v>19</v>
      </c>
      <c r="B7">
        <f t="shared" ref="B7:H7" si="4">MAX(B9:B108)</f>
        <v>209.62068606386623</v>
      </c>
      <c r="C7">
        <f t="shared" si="4"/>
        <v>4.2977937692334613</v>
      </c>
      <c r="D7">
        <f t="shared" si="4"/>
        <v>209.62068606386623</v>
      </c>
      <c r="E7">
        <f t="shared" si="4"/>
        <v>188.65861745747961</v>
      </c>
      <c r="F7">
        <f t="shared" si="4"/>
        <v>100</v>
      </c>
      <c r="G7">
        <f t="shared" si="4"/>
        <v>655.31445676001476</v>
      </c>
      <c r="H7">
        <f t="shared" si="4"/>
        <v>418.08520781231459</v>
      </c>
      <c r="I7" s="3"/>
      <c r="J7" s="4" t="s">
        <v>54</v>
      </c>
      <c r="K7" s="3"/>
      <c r="L7" s="3"/>
    </row>
    <row r="8" spans="1:14">
      <c r="A8" t="s">
        <v>20</v>
      </c>
      <c r="B8" t="str">
        <f>Model!$A$23</f>
        <v>Q</v>
      </c>
      <c r="C8" t="str">
        <f>Model!$A$24</f>
        <v>P</v>
      </c>
      <c r="D8" t="str">
        <f>Model!$A$15</f>
        <v>Production</v>
      </c>
      <c r="E8" t="str">
        <f>Model!$A$16</f>
        <v>Variable Cost</v>
      </c>
      <c r="F8" t="str">
        <f>Model!$A$17</f>
        <v>Fixed Costs</v>
      </c>
      <c r="G8" t="str">
        <f>Model!$A$18</f>
        <v>Receipts</v>
      </c>
      <c r="H8" t="str">
        <f>Model!$A$19</f>
        <v>Profit</v>
      </c>
      <c r="I8" s="3"/>
      <c r="J8" s="3" t="s">
        <v>50</v>
      </c>
      <c r="K8" s="3" t="s">
        <v>51</v>
      </c>
      <c r="L8" s="3" t="s">
        <v>52</v>
      </c>
      <c r="M8" s="5" t="s">
        <v>53</v>
      </c>
      <c r="N8" s="5" t="s">
        <v>14</v>
      </c>
    </row>
    <row r="9" spans="1:14">
      <c r="A9">
        <v>1</v>
      </c>
      <c r="B9">
        <v>205.89383244281552</v>
      </c>
      <c r="C9">
        <v>3.0127131145372519</v>
      </c>
      <c r="D9">
        <v>205.89383244281552</v>
      </c>
      <c r="E9">
        <v>185.30444919853397</v>
      </c>
      <c r="F9">
        <v>100</v>
      </c>
      <c r="G9">
        <v>620.2990492028058</v>
      </c>
      <c r="H9">
        <v>334.99460000427183</v>
      </c>
      <c r="I9" s="3"/>
      <c r="J9" s="3">
        <f t="shared" ref="J9:J18" si="5">B9*0.9</f>
        <v>185.30444919853397</v>
      </c>
      <c r="K9" s="5">
        <v>100</v>
      </c>
      <c r="L9" s="3">
        <f t="shared" ref="L9:L18" si="6">J9+K9</f>
        <v>285.30444919853397</v>
      </c>
      <c r="M9">
        <f t="shared" ref="M9:M18" si="7">B9*C9</f>
        <v>620.2990492028058</v>
      </c>
      <c r="N9">
        <f t="shared" ref="N9:N18" si="8">M9-L9</f>
        <v>334.99460000427183</v>
      </c>
    </row>
    <row r="10" spans="1:14">
      <c r="A10">
        <v>2</v>
      </c>
      <c r="B10">
        <v>150.70077852082414</v>
      </c>
      <c r="C10">
        <v>2.7876183909233001</v>
      </c>
      <c r="D10">
        <v>150.70077852082414</v>
      </c>
      <c r="E10">
        <v>135.63070066874172</v>
      </c>
      <c r="F10">
        <v>100</v>
      </c>
      <c r="G10">
        <v>420.09626173110843</v>
      </c>
      <c r="H10">
        <v>184.4655610623667</v>
      </c>
      <c r="I10" s="3"/>
      <c r="J10" s="3">
        <f t="shared" si="5"/>
        <v>135.63070066874172</v>
      </c>
      <c r="K10" s="5">
        <v>100</v>
      </c>
      <c r="L10" s="3">
        <f t="shared" si="6"/>
        <v>235.63070066874172</v>
      </c>
      <c r="M10">
        <f t="shared" si="7"/>
        <v>420.09626173110843</v>
      </c>
      <c r="N10">
        <f t="shared" si="8"/>
        <v>184.4655610623667</v>
      </c>
    </row>
    <row r="11" spans="1:14">
      <c r="A11">
        <v>3</v>
      </c>
      <c r="B11">
        <v>143.553574804932</v>
      </c>
      <c r="C11">
        <v>3.0978746955057281</v>
      </c>
      <c r="D11">
        <v>143.553574804932</v>
      </c>
      <c r="E11">
        <v>129.19821732443882</v>
      </c>
      <c r="F11">
        <v>100</v>
      </c>
      <c r="G11">
        <v>444.71098683758748</v>
      </c>
      <c r="H11">
        <v>215.51276951314867</v>
      </c>
      <c r="I11" s="3"/>
      <c r="J11" s="3">
        <f t="shared" si="5"/>
        <v>129.19821732443882</v>
      </c>
      <c r="K11" s="5">
        <v>100</v>
      </c>
      <c r="L11" s="3">
        <f t="shared" si="6"/>
        <v>229.19821732443882</v>
      </c>
      <c r="M11">
        <f t="shared" si="7"/>
        <v>444.71098683758748</v>
      </c>
      <c r="N11">
        <f t="shared" si="8"/>
        <v>215.51276951314867</v>
      </c>
    </row>
    <row r="12" spans="1:14">
      <c r="A12">
        <v>4</v>
      </c>
      <c r="B12">
        <v>139.45985503949663</v>
      </c>
      <c r="C12">
        <v>3.3716575813218648</v>
      </c>
      <c r="D12">
        <v>139.45985503949663</v>
      </c>
      <c r="E12">
        <v>125.51386953554697</v>
      </c>
      <c r="F12">
        <v>100</v>
      </c>
      <c r="G12">
        <v>470.21087753396711</v>
      </c>
      <c r="H12">
        <v>244.69700799842013</v>
      </c>
      <c r="I12" s="3"/>
      <c r="J12" s="3">
        <f t="shared" si="5"/>
        <v>125.51386953554697</v>
      </c>
      <c r="K12" s="5">
        <v>100</v>
      </c>
      <c r="L12" s="3">
        <f t="shared" si="6"/>
        <v>225.51386953554697</v>
      </c>
      <c r="M12">
        <f t="shared" si="7"/>
        <v>470.21087753396711</v>
      </c>
      <c r="N12">
        <f t="shared" si="8"/>
        <v>244.69700799842013</v>
      </c>
    </row>
    <row r="13" spans="1:14">
      <c r="A13">
        <v>5</v>
      </c>
      <c r="B13">
        <v>171.06230851682253</v>
      </c>
      <c r="C13">
        <v>3.7018344795696176</v>
      </c>
      <c r="D13">
        <v>171.06230851682253</v>
      </c>
      <c r="E13">
        <v>153.95607766514027</v>
      </c>
      <c r="F13">
        <v>100</v>
      </c>
      <c r="G13">
        <v>633.24435182234913</v>
      </c>
      <c r="H13">
        <v>379.28827415720889</v>
      </c>
      <c r="I13" s="3"/>
      <c r="J13" s="3">
        <f t="shared" si="5"/>
        <v>153.95607766514027</v>
      </c>
      <c r="K13" s="5">
        <v>100</v>
      </c>
      <c r="L13" s="3">
        <f t="shared" si="6"/>
        <v>253.95607766514027</v>
      </c>
      <c r="M13">
        <f t="shared" si="7"/>
        <v>633.24435182234913</v>
      </c>
      <c r="N13">
        <f t="shared" si="8"/>
        <v>379.28827415720889</v>
      </c>
    </row>
    <row r="14" spans="1:14">
      <c r="A14">
        <v>6</v>
      </c>
      <c r="B14">
        <v>151.42683448376215</v>
      </c>
      <c r="C14">
        <v>3.2973068142044126</v>
      </c>
      <c r="D14">
        <v>151.42683448376215</v>
      </c>
      <c r="E14">
        <v>136.28415103538595</v>
      </c>
      <c r="F14">
        <v>100</v>
      </c>
      <c r="G14">
        <v>499.30073319671266</v>
      </c>
      <c r="H14">
        <v>263.01658216132671</v>
      </c>
      <c r="I14" s="3"/>
      <c r="J14" s="3">
        <f t="shared" si="5"/>
        <v>136.28415103538595</v>
      </c>
      <c r="K14" s="5">
        <v>100</v>
      </c>
      <c r="L14" s="3">
        <f t="shared" si="6"/>
        <v>236.28415103538595</v>
      </c>
      <c r="M14">
        <f t="shared" si="7"/>
        <v>499.30073319671266</v>
      </c>
      <c r="N14">
        <f t="shared" si="8"/>
        <v>263.01658216132671</v>
      </c>
    </row>
    <row r="15" spans="1:14">
      <c r="A15">
        <v>7</v>
      </c>
      <c r="B15">
        <v>117.89848480667271</v>
      </c>
      <c r="C15">
        <v>2.4034968953441682</v>
      </c>
      <c r="D15">
        <v>117.89848480667271</v>
      </c>
      <c r="E15">
        <v>106.10863632600544</v>
      </c>
      <c r="F15">
        <v>100</v>
      </c>
      <c r="G15">
        <v>283.36864219861945</v>
      </c>
      <c r="H15">
        <v>77.260005872614016</v>
      </c>
      <c r="I15" s="3"/>
      <c r="J15" s="3">
        <f t="shared" si="5"/>
        <v>106.10863632600544</v>
      </c>
      <c r="K15" s="5">
        <v>100</v>
      </c>
      <c r="L15" s="3">
        <f t="shared" si="6"/>
        <v>206.10863632600544</v>
      </c>
      <c r="M15">
        <f t="shared" si="7"/>
        <v>283.36864219861945</v>
      </c>
      <c r="N15">
        <f t="shared" si="8"/>
        <v>77.260005872614016</v>
      </c>
    </row>
    <row r="16" spans="1:14">
      <c r="A16">
        <v>8</v>
      </c>
      <c r="B16">
        <v>166.99032771135674</v>
      </c>
      <c r="C16">
        <v>2.7496537039773781</v>
      </c>
      <c r="D16">
        <v>166.99032771135674</v>
      </c>
      <c r="E16">
        <v>150.29129494022106</v>
      </c>
      <c r="F16">
        <v>100</v>
      </c>
      <c r="G16">
        <v>459.16557311992824</v>
      </c>
      <c r="H16">
        <v>208.87427817970718</v>
      </c>
      <c r="I16" s="3"/>
      <c r="J16" s="3">
        <f t="shared" si="5"/>
        <v>150.29129494022106</v>
      </c>
      <c r="K16" s="5">
        <v>100</v>
      </c>
      <c r="L16" s="3">
        <f t="shared" si="6"/>
        <v>250.29129494022106</v>
      </c>
      <c r="M16">
        <f t="shared" si="7"/>
        <v>459.16557311992824</v>
      </c>
      <c r="N16">
        <f t="shared" si="8"/>
        <v>208.87427817970718</v>
      </c>
    </row>
    <row r="17" spans="1:14">
      <c r="A17">
        <v>9</v>
      </c>
      <c r="B17">
        <v>162.44648701990795</v>
      </c>
      <c r="C17">
        <v>3.7597986744875596</v>
      </c>
      <c r="D17">
        <v>162.44648701990795</v>
      </c>
      <c r="E17">
        <v>146.20183831791715</v>
      </c>
      <c r="F17">
        <v>100</v>
      </c>
      <c r="G17">
        <v>610.76608657261045</v>
      </c>
      <c r="H17">
        <v>364.56424825469333</v>
      </c>
      <c r="I17" s="3"/>
      <c r="J17" s="3">
        <f t="shared" si="5"/>
        <v>146.20183831791715</v>
      </c>
      <c r="K17" s="5">
        <v>100</v>
      </c>
      <c r="L17" s="3">
        <f t="shared" si="6"/>
        <v>246.20183831791715</v>
      </c>
      <c r="M17">
        <f t="shared" si="7"/>
        <v>610.76608657261045</v>
      </c>
      <c r="N17">
        <f t="shared" si="8"/>
        <v>364.56424825469333</v>
      </c>
    </row>
    <row r="18" spans="1:14">
      <c r="A18">
        <v>10</v>
      </c>
      <c r="B18">
        <v>111.24995228176331</v>
      </c>
      <c r="C18">
        <v>3.1876364275195432</v>
      </c>
      <c r="D18">
        <v>111.24995228176331</v>
      </c>
      <c r="E18">
        <v>100.12495705358698</v>
      </c>
      <c r="F18">
        <v>100</v>
      </c>
      <c r="G18">
        <v>354.62440045315969</v>
      </c>
      <c r="H18">
        <v>154.49944339957273</v>
      </c>
      <c r="I18" s="3"/>
      <c r="J18" s="3">
        <f t="shared" si="5"/>
        <v>100.12495705358698</v>
      </c>
      <c r="K18" s="5">
        <v>100</v>
      </c>
      <c r="L18" s="3">
        <f t="shared" si="6"/>
        <v>200.12495705358697</v>
      </c>
      <c r="M18">
        <f t="shared" si="7"/>
        <v>354.62440045315969</v>
      </c>
      <c r="N18">
        <f t="shared" si="8"/>
        <v>154.49944339957273</v>
      </c>
    </row>
    <row r="19" spans="1:14">
      <c r="A19">
        <v>11</v>
      </c>
      <c r="B19">
        <v>150.04822382842042</v>
      </c>
      <c r="C19">
        <v>3.2085233339446599</v>
      </c>
      <c r="D19">
        <v>150.04822382842042</v>
      </c>
      <c r="E19">
        <v>135.04340144557838</v>
      </c>
      <c r="F19">
        <v>100</v>
      </c>
      <c r="G19">
        <v>481.43322737043803</v>
      </c>
      <c r="H19">
        <v>246.38982592485965</v>
      </c>
      <c r="I19" s="3"/>
      <c r="J19" s="3"/>
      <c r="K19" s="3"/>
      <c r="L19" s="3"/>
    </row>
    <row r="20" spans="1:14">
      <c r="A20">
        <v>12</v>
      </c>
      <c r="B20">
        <v>127.21294145937355</v>
      </c>
      <c r="C20">
        <v>2.6885622372253124</v>
      </c>
      <c r="D20">
        <v>127.21294145937355</v>
      </c>
      <c r="E20">
        <v>114.4916473134362</v>
      </c>
      <c r="F20">
        <v>100</v>
      </c>
      <c r="G20">
        <v>342.01991049402608</v>
      </c>
      <c r="H20">
        <v>127.52826318058987</v>
      </c>
      <c r="I20" s="3"/>
      <c r="J20" s="3"/>
      <c r="K20" s="3"/>
      <c r="L20" s="3"/>
    </row>
    <row r="21" spans="1:14">
      <c r="A21">
        <v>13</v>
      </c>
      <c r="B21">
        <v>158.45904067765898</v>
      </c>
      <c r="C21">
        <v>3.6566470182423929</v>
      </c>
      <c r="D21">
        <v>158.45904067765898</v>
      </c>
      <c r="E21">
        <v>142.61313660989308</v>
      </c>
      <c r="F21">
        <v>100</v>
      </c>
      <c r="G21">
        <v>579.42877860751173</v>
      </c>
      <c r="H21">
        <v>336.81564199761863</v>
      </c>
    </row>
    <row r="22" spans="1:14">
      <c r="A22">
        <v>14</v>
      </c>
      <c r="B22">
        <v>130.30448157492404</v>
      </c>
      <c r="C22">
        <v>2.5224532809497258</v>
      </c>
      <c r="D22">
        <v>130.30448157492404</v>
      </c>
      <c r="E22">
        <v>117.27403341743164</v>
      </c>
      <c r="F22">
        <v>100</v>
      </c>
      <c r="G22">
        <v>328.68696707112025</v>
      </c>
      <c r="H22">
        <v>111.41293365368861</v>
      </c>
    </row>
    <row r="23" spans="1:14">
      <c r="A23">
        <v>15</v>
      </c>
      <c r="B23">
        <v>162.18364010409351</v>
      </c>
      <c r="C23">
        <v>2.7629655575413796</v>
      </c>
      <c r="D23">
        <v>162.18364010409351</v>
      </c>
      <c r="E23">
        <v>145.96527609368417</v>
      </c>
      <c r="F23">
        <v>100</v>
      </c>
      <c r="G23">
        <v>448.10781160429718</v>
      </c>
      <c r="H23">
        <v>202.14253551061302</v>
      </c>
    </row>
    <row r="24" spans="1:14">
      <c r="A24">
        <v>16</v>
      </c>
      <c r="B24">
        <v>176.17817884069956</v>
      </c>
      <c r="C24">
        <v>2.9707144247677091</v>
      </c>
      <c r="D24">
        <v>176.17817884069956</v>
      </c>
      <c r="E24">
        <v>158.56036095662961</v>
      </c>
      <c r="F24">
        <v>100</v>
      </c>
      <c r="G24">
        <v>523.37505721137131</v>
      </c>
      <c r="H24">
        <v>264.8146962547417</v>
      </c>
    </row>
    <row r="25" spans="1:14">
      <c r="A25">
        <v>17</v>
      </c>
      <c r="B25">
        <v>132.31385221423517</v>
      </c>
      <c r="C25">
        <v>3.4095951645755642</v>
      </c>
      <c r="D25">
        <v>132.31385221423517</v>
      </c>
      <c r="E25">
        <v>119.08246699281166</v>
      </c>
      <c r="F25">
        <v>100</v>
      </c>
      <c r="G25">
        <v>451.13667071602202</v>
      </c>
      <c r="H25">
        <v>232.05420372321038</v>
      </c>
    </row>
    <row r="26" spans="1:14">
      <c r="A26">
        <v>18</v>
      </c>
      <c r="B26">
        <v>136.28108559622882</v>
      </c>
      <c r="C26">
        <v>3.0645527168427411</v>
      </c>
      <c r="D26">
        <v>136.28108559622882</v>
      </c>
      <c r="E26">
        <v>122.65297703660595</v>
      </c>
      <c r="F26">
        <v>100</v>
      </c>
      <c r="G26">
        <v>417.64057111820119</v>
      </c>
      <c r="H26">
        <v>194.98759408159526</v>
      </c>
    </row>
    <row r="27" spans="1:14">
      <c r="A27">
        <v>19</v>
      </c>
      <c r="B27">
        <v>119.4283274776333</v>
      </c>
      <c r="C27">
        <v>3.3418372122514266</v>
      </c>
      <c r="D27">
        <v>119.4283274776333</v>
      </c>
      <c r="E27">
        <v>107.48549472986997</v>
      </c>
      <c r="F27">
        <v>100</v>
      </c>
      <c r="G27">
        <v>399.11002896170453</v>
      </c>
      <c r="H27">
        <v>191.62453423183456</v>
      </c>
    </row>
    <row r="28" spans="1:14">
      <c r="A28">
        <v>20</v>
      </c>
      <c r="B28">
        <v>164.35240195267477</v>
      </c>
      <c r="C28">
        <v>3.1396949205350024</v>
      </c>
      <c r="D28">
        <v>164.35240195267477</v>
      </c>
      <c r="E28">
        <v>147.91716175740729</v>
      </c>
      <c r="F28">
        <v>100</v>
      </c>
      <c r="G28">
        <v>516.01640158854002</v>
      </c>
      <c r="H28">
        <v>268.09923983113276</v>
      </c>
    </row>
    <row r="29" spans="1:14">
      <c r="A29">
        <v>21</v>
      </c>
      <c r="B29">
        <v>124.06984793075867</v>
      </c>
      <c r="C29">
        <v>1.9697926122336709</v>
      </c>
      <c r="D29">
        <v>124.06984793075867</v>
      </c>
      <c r="E29">
        <v>111.66286313768281</v>
      </c>
      <c r="F29">
        <v>100</v>
      </c>
      <c r="G29">
        <v>244.39186985496343</v>
      </c>
      <c r="H29">
        <v>32.729006717280626</v>
      </c>
    </row>
    <row r="30" spans="1:14">
      <c r="A30">
        <v>22</v>
      </c>
      <c r="B30">
        <v>148.17943535044407</v>
      </c>
      <c r="C30">
        <v>2.5899458895070264</v>
      </c>
      <c r="D30">
        <v>148.17943535044407</v>
      </c>
      <c r="E30">
        <v>133.36149181539966</v>
      </c>
      <c r="F30">
        <v>100</v>
      </c>
      <c r="G30">
        <v>383.77671949535477</v>
      </c>
      <c r="H30">
        <v>150.41522767995511</v>
      </c>
    </row>
    <row r="31" spans="1:14">
      <c r="A31">
        <v>23</v>
      </c>
      <c r="B31">
        <v>140.17506539818945</v>
      </c>
      <c r="C31">
        <v>3.1582622874880149</v>
      </c>
      <c r="D31">
        <v>140.17506539818945</v>
      </c>
      <c r="E31">
        <v>126.15755885837051</v>
      </c>
      <c r="F31">
        <v>100</v>
      </c>
      <c r="G31">
        <v>442.70962269326787</v>
      </c>
      <c r="H31">
        <v>216.55206383489735</v>
      </c>
    </row>
    <row r="32" spans="1:14">
      <c r="A32">
        <v>24</v>
      </c>
      <c r="B32">
        <v>145.75631933220424</v>
      </c>
      <c r="C32">
        <v>2.5007793592960676</v>
      </c>
      <c r="D32">
        <v>145.75631933220424</v>
      </c>
      <c r="E32">
        <v>131.18068739898382</v>
      </c>
      <c r="F32">
        <v>100</v>
      </c>
      <c r="G32">
        <v>364.50439487294278</v>
      </c>
      <c r="H32">
        <v>133.32370747395896</v>
      </c>
    </row>
    <row r="33" spans="1:8">
      <c r="A33">
        <v>25</v>
      </c>
      <c r="B33">
        <v>144.28273023204858</v>
      </c>
      <c r="C33">
        <v>3.5113278834625246</v>
      </c>
      <c r="D33">
        <v>144.28273023204858</v>
      </c>
      <c r="E33">
        <v>129.85445720884371</v>
      </c>
      <c r="F33">
        <v>100</v>
      </c>
      <c r="G33">
        <v>506.62397376589354</v>
      </c>
      <c r="H33">
        <v>276.76951655704983</v>
      </c>
    </row>
    <row r="34" spans="1:8">
      <c r="A34">
        <v>26</v>
      </c>
      <c r="B34">
        <v>147.11082327663797</v>
      </c>
      <c r="C34">
        <v>2.8961236621080779</v>
      </c>
      <c r="D34">
        <v>147.11082327663797</v>
      </c>
      <c r="E34">
        <v>132.39974094897417</v>
      </c>
      <c r="F34">
        <v>100</v>
      </c>
      <c r="G34">
        <v>426.05113624367101</v>
      </c>
      <c r="H34">
        <v>193.65139529469684</v>
      </c>
    </row>
    <row r="35" spans="1:8">
      <c r="A35">
        <v>27</v>
      </c>
      <c r="B35">
        <v>108.94670123800788</v>
      </c>
      <c r="C35">
        <v>3.009441960958128</v>
      </c>
      <c r="D35">
        <v>108.94670123800788</v>
      </c>
      <c r="E35">
        <v>98.052031114207097</v>
      </c>
      <c r="F35">
        <v>100</v>
      </c>
      <c r="G35">
        <v>327.86877421362971</v>
      </c>
      <c r="H35">
        <v>129.81674309942261</v>
      </c>
    </row>
    <row r="36" spans="1:8">
      <c r="A36">
        <v>28</v>
      </c>
      <c r="B36">
        <v>140.48050697393614</v>
      </c>
      <c r="C36">
        <v>2.7183639590313353</v>
      </c>
      <c r="D36">
        <v>140.48050697393614</v>
      </c>
      <c r="E36">
        <v>126.43245627654254</v>
      </c>
      <c r="F36">
        <v>100</v>
      </c>
      <c r="G36">
        <v>381.87714710439815</v>
      </c>
      <c r="H36">
        <v>155.4446908278556</v>
      </c>
    </row>
    <row r="37" spans="1:8">
      <c r="A37">
        <v>29</v>
      </c>
      <c r="B37">
        <v>142.66537335473674</v>
      </c>
      <c r="C37">
        <v>3.444330405893826</v>
      </c>
      <c r="D37">
        <v>142.66537335473674</v>
      </c>
      <c r="E37">
        <v>128.39883601926309</v>
      </c>
      <c r="F37">
        <v>100</v>
      </c>
      <c r="G37">
        <v>491.38668331391466</v>
      </c>
      <c r="H37">
        <v>262.9878472946516</v>
      </c>
    </row>
    <row r="38" spans="1:8">
      <c r="A38">
        <v>30</v>
      </c>
      <c r="B38">
        <v>155.23285911764373</v>
      </c>
      <c r="C38">
        <v>3.0849555702361697</v>
      </c>
      <c r="D38">
        <v>155.23285911764373</v>
      </c>
      <c r="E38">
        <v>139.70957320587937</v>
      </c>
      <c r="F38">
        <v>100</v>
      </c>
      <c r="G38">
        <v>478.88647341866158</v>
      </c>
      <c r="H38">
        <v>239.17690021278221</v>
      </c>
    </row>
    <row r="39" spans="1:8">
      <c r="A39">
        <v>31</v>
      </c>
      <c r="B39">
        <v>138.44457334394565</v>
      </c>
      <c r="C39">
        <v>2.9801527190207304</v>
      </c>
      <c r="D39">
        <v>138.44457334394565</v>
      </c>
      <c r="E39">
        <v>124.60011600955109</v>
      </c>
      <c r="F39">
        <v>100</v>
      </c>
      <c r="G39">
        <v>412.58597168462455</v>
      </c>
      <c r="H39">
        <v>187.98585567507348</v>
      </c>
    </row>
    <row r="40" spans="1:8">
      <c r="A40">
        <v>32</v>
      </c>
      <c r="B40">
        <v>125.84701690346338</v>
      </c>
      <c r="C40">
        <v>2.960539888014472</v>
      </c>
      <c r="D40">
        <v>125.84701690346338</v>
      </c>
      <c r="E40">
        <v>113.26231521311705</v>
      </c>
      <c r="F40">
        <v>100</v>
      </c>
      <c r="G40">
        <v>372.57511333033483</v>
      </c>
      <c r="H40">
        <v>159.31279811721777</v>
      </c>
    </row>
    <row r="41" spans="1:8">
      <c r="A41">
        <v>33</v>
      </c>
      <c r="B41">
        <v>102.55368946268317</v>
      </c>
      <c r="C41">
        <v>2.9465658857091896</v>
      </c>
      <c r="D41">
        <v>102.55368946268317</v>
      </c>
      <c r="E41">
        <v>92.298320516414847</v>
      </c>
      <c r="F41">
        <v>100</v>
      </c>
      <c r="G41">
        <v>302.18120282435621</v>
      </c>
      <c r="H41">
        <v>109.88288230794136</v>
      </c>
    </row>
    <row r="42" spans="1:8">
      <c r="A42">
        <v>34</v>
      </c>
      <c r="B42">
        <v>141.81979658218972</v>
      </c>
      <c r="C42">
        <v>3.8098122624122284</v>
      </c>
      <c r="D42">
        <v>141.81979658218972</v>
      </c>
      <c r="E42">
        <v>127.63781692397076</v>
      </c>
      <c r="F42">
        <v>100</v>
      </c>
      <c r="G42">
        <v>540.30680007163426</v>
      </c>
      <c r="H42">
        <v>312.66898314766348</v>
      </c>
    </row>
    <row r="43" spans="1:8">
      <c r="A43">
        <v>35</v>
      </c>
      <c r="B43">
        <v>167.88283783065125</v>
      </c>
      <c r="C43">
        <v>3.3871890071036161</v>
      </c>
      <c r="D43">
        <v>167.88283783065125</v>
      </c>
      <c r="E43">
        <v>151.09455404758614</v>
      </c>
      <c r="F43">
        <v>100</v>
      </c>
      <c r="G43">
        <v>568.65090278134107</v>
      </c>
      <c r="H43">
        <v>317.55634873375493</v>
      </c>
    </row>
    <row r="44" spans="1:8">
      <c r="A44">
        <v>36</v>
      </c>
      <c r="B44">
        <v>131.36173513841985</v>
      </c>
      <c r="C44">
        <v>2.5843945168656015</v>
      </c>
      <c r="D44">
        <v>131.36173513841985</v>
      </c>
      <c r="E44">
        <v>118.22556162457786</v>
      </c>
      <c r="F44">
        <v>100</v>
      </c>
      <c r="G44">
        <v>339.49054801768369</v>
      </c>
      <c r="H44">
        <v>121.26498639310583</v>
      </c>
    </row>
    <row r="45" spans="1:8">
      <c r="A45">
        <v>37</v>
      </c>
      <c r="B45">
        <v>156.2822040407778</v>
      </c>
      <c r="C45">
        <v>3.6105664506725343</v>
      </c>
      <c r="D45">
        <v>156.2822040407778</v>
      </c>
      <c r="E45">
        <v>140.65398363670002</v>
      </c>
      <c r="F45">
        <v>100</v>
      </c>
      <c r="G45">
        <v>564.26728274679192</v>
      </c>
      <c r="H45">
        <v>323.61329911009193</v>
      </c>
    </row>
    <row r="46" spans="1:8">
      <c r="A46">
        <v>38</v>
      </c>
      <c r="B46">
        <v>173.0350945945556</v>
      </c>
      <c r="C46">
        <v>3.4540245126356428</v>
      </c>
      <c r="D46">
        <v>173.0350945945556</v>
      </c>
      <c r="E46">
        <v>155.73158513510003</v>
      </c>
      <c r="F46">
        <v>100</v>
      </c>
      <c r="G46">
        <v>597.66745827582224</v>
      </c>
      <c r="H46">
        <v>341.93587314072221</v>
      </c>
    </row>
    <row r="47" spans="1:8">
      <c r="A47">
        <v>39</v>
      </c>
      <c r="B47">
        <v>163.28600508652139</v>
      </c>
      <c r="C47">
        <v>3.0715281383198456</v>
      </c>
      <c r="D47">
        <v>163.28600508652139</v>
      </c>
      <c r="E47">
        <v>146.95740457786926</v>
      </c>
      <c r="F47">
        <v>100</v>
      </c>
      <c r="G47">
        <v>501.53755921708785</v>
      </c>
      <c r="H47">
        <v>254.58015463921859</v>
      </c>
    </row>
    <row r="48" spans="1:8">
      <c r="A48">
        <v>40</v>
      </c>
      <c r="B48">
        <v>122.12887717561273</v>
      </c>
      <c r="C48">
        <v>2.9237341297522828</v>
      </c>
      <c r="D48">
        <v>122.12887717561273</v>
      </c>
      <c r="E48">
        <v>109.91598945805146</v>
      </c>
      <c r="F48">
        <v>100</v>
      </c>
      <c r="G48">
        <v>357.07236642666351</v>
      </c>
      <c r="H48">
        <v>147.15637696861205</v>
      </c>
    </row>
    <row r="49" spans="1:8">
      <c r="A49">
        <v>41</v>
      </c>
      <c r="B49">
        <v>152.4769432752224</v>
      </c>
      <c r="C49">
        <v>4.2977937692334613</v>
      </c>
      <c r="D49">
        <v>152.4769432752224</v>
      </c>
      <c r="E49">
        <v>137.22924894770017</v>
      </c>
      <c r="F49">
        <v>100</v>
      </c>
      <c r="G49">
        <v>655.31445676001476</v>
      </c>
      <c r="H49">
        <v>418.08520781231459</v>
      </c>
    </row>
    <row r="50" spans="1:8">
      <c r="A50">
        <v>42</v>
      </c>
      <c r="B50">
        <v>155.00263965373352</v>
      </c>
      <c r="C50">
        <v>3.2145424225110943</v>
      </c>
      <c r="D50">
        <v>155.00263965373352</v>
      </c>
      <c r="E50">
        <v>139.50237568836019</v>
      </c>
      <c r="F50">
        <v>100</v>
      </c>
      <c r="G50">
        <v>498.26256076812678</v>
      </c>
      <c r="H50">
        <v>258.76018507976659</v>
      </c>
    </row>
    <row r="51" spans="1:8">
      <c r="A51">
        <v>43</v>
      </c>
      <c r="B51">
        <v>157.44775754333583</v>
      </c>
      <c r="C51">
        <v>3.2610724298576024</v>
      </c>
      <c r="D51">
        <v>157.44775754333583</v>
      </c>
      <c r="E51">
        <v>141.70298178900225</v>
      </c>
      <c r="F51">
        <v>100</v>
      </c>
      <c r="G51">
        <v>513.4485412674768</v>
      </c>
      <c r="H51">
        <v>271.74555947847455</v>
      </c>
    </row>
    <row r="52" spans="1:8">
      <c r="A52">
        <v>44</v>
      </c>
      <c r="B52">
        <v>184.00033620686366</v>
      </c>
      <c r="C52">
        <v>2.6218800629482413</v>
      </c>
      <c r="D52">
        <v>184.00033620686366</v>
      </c>
      <c r="E52">
        <v>165.60030258617729</v>
      </c>
      <c r="F52">
        <v>100</v>
      </c>
      <c r="G52">
        <v>482.42681307654925</v>
      </c>
      <c r="H52">
        <v>216.82651049037196</v>
      </c>
    </row>
    <row r="53" spans="1:8">
      <c r="A53">
        <v>45</v>
      </c>
      <c r="B53">
        <v>181.72569988031276</v>
      </c>
      <c r="C53">
        <v>2.6161692300250068</v>
      </c>
      <c r="D53">
        <v>181.72569988031276</v>
      </c>
      <c r="E53">
        <v>163.55312989228148</v>
      </c>
      <c r="F53">
        <v>100</v>
      </c>
      <c r="G53">
        <v>475.42518433163332</v>
      </c>
      <c r="H53">
        <v>211.87205443935184</v>
      </c>
    </row>
    <row r="54" spans="1:8">
      <c r="A54">
        <v>46</v>
      </c>
      <c r="B54">
        <v>185.61115932288851</v>
      </c>
      <c r="C54">
        <v>2.7760927764945538</v>
      </c>
      <c r="D54">
        <v>185.61115932288851</v>
      </c>
      <c r="E54">
        <v>167.05004339059965</v>
      </c>
      <c r="F54">
        <v>100</v>
      </c>
      <c r="G54">
        <v>515.27379863305055</v>
      </c>
      <c r="H54">
        <v>248.22375524245089</v>
      </c>
    </row>
    <row r="55" spans="1:8">
      <c r="A55">
        <v>47</v>
      </c>
      <c r="B55">
        <v>160.09484052735581</v>
      </c>
      <c r="C55">
        <v>3.5955521858657247</v>
      </c>
      <c r="D55">
        <v>160.09484052735581</v>
      </c>
      <c r="E55">
        <v>144.08535647462023</v>
      </c>
      <c r="F55">
        <v>100</v>
      </c>
      <c r="G55">
        <v>575.62935380395879</v>
      </c>
      <c r="H55">
        <v>331.54399732933859</v>
      </c>
    </row>
    <row r="56" spans="1:8">
      <c r="A56">
        <v>48</v>
      </c>
      <c r="B56">
        <v>144.85584894287058</v>
      </c>
      <c r="C56">
        <v>3.4755496736661566</v>
      </c>
      <c r="D56">
        <v>144.85584894287058</v>
      </c>
      <c r="E56">
        <v>130.37026404858352</v>
      </c>
      <c r="F56">
        <v>100</v>
      </c>
      <c r="G56">
        <v>503.45369852202793</v>
      </c>
      <c r="H56">
        <v>273.08343447344441</v>
      </c>
    </row>
    <row r="57" spans="1:8">
      <c r="A57">
        <v>49</v>
      </c>
      <c r="B57">
        <v>113.4982700871933</v>
      </c>
      <c r="C57">
        <v>2.4260386884675849</v>
      </c>
      <c r="D57">
        <v>113.4982700871933</v>
      </c>
      <c r="E57">
        <v>102.14844307847397</v>
      </c>
      <c r="F57">
        <v>100</v>
      </c>
      <c r="G57">
        <v>275.35119430567414</v>
      </c>
      <c r="H57">
        <v>73.202751227200167</v>
      </c>
    </row>
    <row r="58" spans="1:8">
      <c r="A58">
        <v>50</v>
      </c>
      <c r="B58">
        <v>154.24619568586166</v>
      </c>
      <c r="C58">
        <v>2.658242664134749</v>
      </c>
      <c r="D58">
        <v>154.24619568586166</v>
      </c>
      <c r="E58">
        <v>138.8215761172755</v>
      </c>
      <c r="F58">
        <v>100</v>
      </c>
      <c r="G58">
        <v>410.02381815263476</v>
      </c>
      <c r="H58">
        <v>171.20224203535926</v>
      </c>
    </row>
    <row r="59" spans="1:8">
      <c r="A59">
        <v>51</v>
      </c>
      <c r="B59">
        <v>152.85254566921469</v>
      </c>
      <c r="C59">
        <v>3.5359841316803777</v>
      </c>
      <c r="D59">
        <v>152.85254566921469</v>
      </c>
      <c r="E59">
        <v>137.56729110229324</v>
      </c>
      <c r="F59">
        <v>100</v>
      </c>
      <c r="G59">
        <v>540.48417597329342</v>
      </c>
      <c r="H59">
        <v>302.91688487100021</v>
      </c>
    </row>
    <row r="60" spans="1:8">
      <c r="A60">
        <v>52</v>
      </c>
      <c r="B60">
        <v>160.36035736460025</v>
      </c>
      <c r="C60">
        <v>3.2313624680080189</v>
      </c>
      <c r="D60">
        <v>160.36035736460025</v>
      </c>
      <c r="E60">
        <v>144.32432162814024</v>
      </c>
      <c r="F60">
        <v>100</v>
      </c>
      <c r="G60">
        <v>518.18244014432253</v>
      </c>
      <c r="H60">
        <v>273.85811851618229</v>
      </c>
    </row>
    <row r="61" spans="1:8">
      <c r="A61">
        <v>53</v>
      </c>
      <c r="B61">
        <v>172.09147854202919</v>
      </c>
      <c r="C61">
        <v>3.242857265775613</v>
      </c>
      <c r="D61">
        <v>172.09147854202919</v>
      </c>
      <c r="E61">
        <v>154.88233068782628</v>
      </c>
      <c r="F61">
        <v>100</v>
      </c>
      <c r="G61">
        <v>558.0681015680874</v>
      </c>
      <c r="H61">
        <v>303.18577088026109</v>
      </c>
    </row>
    <row r="62" spans="1:8">
      <c r="A62">
        <v>54</v>
      </c>
      <c r="B62">
        <v>134.01161640587617</v>
      </c>
      <c r="C62">
        <v>3.1203687773276978</v>
      </c>
      <c r="D62">
        <v>134.01161640587617</v>
      </c>
      <c r="E62">
        <v>120.61045476528855</v>
      </c>
      <c r="F62">
        <v>100</v>
      </c>
      <c r="G62">
        <v>418.16566363211228</v>
      </c>
      <c r="H62">
        <v>197.55520886682373</v>
      </c>
    </row>
    <row r="63" spans="1:8">
      <c r="A63">
        <v>55</v>
      </c>
      <c r="B63">
        <v>145.43736138703244</v>
      </c>
      <c r="C63">
        <v>3.1361195263756287</v>
      </c>
      <c r="D63">
        <v>145.43736138703244</v>
      </c>
      <c r="E63">
        <v>130.89362524832919</v>
      </c>
      <c r="F63">
        <v>100</v>
      </c>
      <c r="G63">
        <v>456.1089489104213</v>
      </c>
      <c r="H63">
        <v>225.21532366209212</v>
      </c>
    </row>
    <row r="64" spans="1:8">
      <c r="A64">
        <v>56</v>
      </c>
      <c r="B64">
        <v>126.76923119768516</v>
      </c>
      <c r="C64">
        <v>2.4751986338278948</v>
      </c>
      <c r="D64">
        <v>126.76923119768516</v>
      </c>
      <c r="E64">
        <v>114.09230807791664</v>
      </c>
      <c r="F64">
        <v>100</v>
      </c>
      <c r="G64">
        <v>313.77902787192284</v>
      </c>
      <c r="H64">
        <v>99.686719794006194</v>
      </c>
    </row>
    <row r="65" spans="1:8">
      <c r="A65">
        <v>57</v>
      </c>
      <c r="B65">
        <v>168.84307134990846</v>
      </c>
      <c r="C65">
        <v>3.6976568324028198</v>
      </c>
      <c r="D65">
        <v>168.84307134990846</v>
      </c>
      <c r="E65">
        <v>151.95876421491761</v>
      </c>
      <c r="F65">
        <v>100</v>
      </c>
      <c r="G65">
        <v>624.32373638086585</v>
      </c>
      <c r="H65">
        <v>372.36497216594825</v>
      </c>
    </row>
    <row r="66" spans="1:8">
      <c r="A66">
        <v>58</v>
      </c>
      <c r="B66">
        <v>104.14743332240509</v>
      </c>
      <c r="C66">
        <v>2.5348453188082201</v>
      </c>
      <c r="D66">
        <v>104.14743332240509</v>
      </c>
      <c r="E66">
        <v>93.732689990164587</v>
      </c>
      <c r="F66">
        <v>100</v>
      </c>
      <c r="G66">
        <v>263.9976338231898</v>
      </c>
      <c r="H66">
        <v>70.264943833025214</v>
      </c>
    </row>
    <row r="67" spans="1:8">
      <c r="A67">
        <v>59</v>
      </c>
      <c r="B67">
        <v>133.19984144629174</v>
      </c>
      <c r="C67">
        <v>2.8473290503953961</v>
      </c>
      <c r="D67">
        <v>133.19984144629174</v>
      </c>
      <c r="E67">
        <v>119.87985730166257</v>
      </c>
      <c r="F67">
        <v>100</v>
      </c>
      <c r="G67">
        <v>379.26377805808721</v>
      </c>
      <c r="H67">
        <v>159.38392075642463</v>
      </c>
    </row>
    <row r="68" spans="1:8">
      <c r="A68">
        <v>60</v>
      </c>
      <c r="B68">
        <v>190.29259084598883</v>
      </c>
      <c r="C68">
        <v>3.2651837644260095</v>
      </c>
      <c r="D68">
        <v>190.29259084598883</v>
      </c>
      <c r="E68">
        <v>171.26333176138994</v>
      </c>
      <c r="F68">
        <v>100</v>
      </c>
      <c r="G68">
        <v>621.34027812088425</v>
      </c>
      <c r="H68">
        <v>350.07694635949429</v>
      </c>
    </row>
    <row r="69" spans="1:8">
      <c r="A69">
        <v>61</v>
      </c>
      <c r="B69">
        <v>124.83645983402577</v>
      </c>
      <c r="C69">
        <v>3.4229407839535986</v>
      </c>
      <c r="D69">
        <v>124.83645983402577</v>
      </c>
      <c r="E69">
        <v>112.35281385062319</v>
      </c>
      <c r="F69">
        <v>100</v>
      </c>
      <c r="G69">
        <v>427.30780969027211</v>
      </c>
      <c r="H69">
        <v>214.95499583964892</v>
      </c>
    </row>
    <row r="70" spans="1:8">
      <c r="A70">
        <v>62</v>
      </c>
      <c r="B70">
        <v>153.69049146927247</v>
      </c>
      <c r="C70">
        <v>2.6400588832510414</v>
      </c>
      <c r="D70">
        <v>153.69049146927247</v>
      </c>
      <c r="E70">
        <v>138.32144232234523</v>
      </c>
      <c r="F70">
        <v>100</v>
      </c>
      <c r="G70">
        <v>405.75194727467118</v>
      </c>
      <c r="H70">
        <v>167.43050495232595</v>
      </c>
    </row>
    <row r="71" spans="1:8">
      <c r="A71">
        <v>63</v>
      </c>
      <c r="B71">
        <v>198.9819773449552</v>
      </c>
      <c r="C71">
        <v>3.288034254723359</v>
      </c>
      <c r="D71">
        <v>198.9819773449552</v>
      </c>
      <c r="E71">
        <v>179.08377961045969</v>
      </c>
      <c r="F71">
        <v>100</v>
      </c>
      <c r="G71">
        <v>654.25955758280008</v>
      </c>
      <c r="H71">
        <v>375.17577797234037</v>
      </c>
    </row>
    <row r="72" spans="1:8">
      <c r="A72">
        <v>64</v>
      </c>
      <c r="B72">
        <v>156.86723910773804</v>
      </c>
      <c r="C72">
        <v>2.8113831892299279</v>
      </c>
      <c r="D72">
        <v>156.86723910773804</v>
      </c>
      <c r="E72">
        <v>141.18051519696425</v>
      </c>
      <c r="F72">
        <v>100</v>
      </c>
      <c r="G72">
        <v>441.01391896840624</v>
      </c>
      <c r="H72">
        <v>199.83340377144199</v>
      </c>
    </row>
    <row r="73" spans="1:8">
      <c r="A73">
        <v>65</v>
      </c>
      <c r="B73">
        <v>161.51650900574143</v>
      </c>
      <c r="C73">
        <v>2.69843388235057</v>
      </c>
      <c r="D73">
        <v>161.51650900574143</v>
      </c>
      <c r="E73">
        <v>145.36485810516729</v>
      </c>
      <c r="F73">
        <v>100</v>
      </c>
      <c r="G73">
        <v>435.84162046007367</v>
      </c>
      <c r="H73">
        <v>190.47676235490638</v>
      </c>
    </row>
    <row r="74" spans="1:8">
      <c r="A74">
        <v>66</v>
      </c>
      <c r="B74">
        <v>129.46338632311404</v>
      </c>
      <c r="C74">
        <v>2.8628026681759717</v>
      </c>
      <c r="D74">
        <v>129.46338632311404</v>
      </c>
      <c r="E74">
        <v>116.51704769080264</v>
      </c>
      <c r="F74">
        <v>100</v>
      </c>
      <c r="G74">
        <v>370.62812779690745</v>
      </c>
      <c r="H74">
        <v>154.11108010610479</v>
      </c>
    </row>
    <row r="75" spans="1:8">
      <c r="A75">
        <v>67</v>
      </c>
      <c r="B75">
        <v>209.62068606386623</v>
      </c>
      <c r="C75">
        <v>2.1344447493091652</v>
      </c>
      <c r="D75">
        <v>209.62068606386623</v>
      </c>
      <c r="E75">
        <v>188.65861745747961</v>
      </c>
      <c r="F75">
        <v>100</v>
      </c>
      <c r="G75">
        <v>447.42377271560417</v>
      </c>
      <c r="H75">
        <v>158.76515525812457</v>
      </c>
    </row>
    <row r="76" spans="1:8">
      <c r="A76">
        <v>68</v>
      </c>
      <c r="B76">
        <v>98.610225044003471</v>
      </c>
      <c r="C76">
        <v>2.4603485861766794</v>
      </c>
      <c r="D76">
        <v>98.610225044003471</v>
      </c>
      <c r="E76">
        <v>88.749202539603132</v>
      </c>
      <c r="F76">
        <v>100</v>
      </c>
      <c r="G76">
        <v>242.61552776957814</v>
      </c>
      <c r="H76">
        <v>53.866325229975004</v>
      </c>
    </row>
    <row r="77" spans="1:8">
      <c r="A77">
        <v>69</v>
      </c>
      <c r="B77">
        <v>187.93023918783246</v>
      </c>
      <c r="C77">
        <v>2.3860836328945823</v>
      </c>
      <c r="D77">
        <v>187.93023918783246</v>
      </c>
      <c r="E77">
        <v>169.13721526904922</v>
      </c>
      <c r="F77">
        <v>100</v>
      </c>
      <c r="G77">
        <v>448.41726785205105</v>
      </c>
      <c r="H77">
        <v>179.28005258300183</v>
      </c>
    </row>
    <row r="78" spans="1:8">
      <c r="A78">
        <v>70</v>
      </c>
      <c r="B78">
        <v>177.09420576267007</v>
      </c>
      <c r="C78">
        <v>2.7996045822185862</v>
      </c>
      <c r="D78">
        <v>177.09420576267007</v>
      </c>
      <c r="E78">
        <v>159.38478518640306</v>
      </c>
      <c r="F78">
        <v>100</v>
      </c>
      <c r="G78">
        <v>495.79374993753231</v>
      </c>
      <c r="H78">
        <v>236.40896475112925</v>
      </c>
    </row>
    <row r="79" spans="1:8">
      <c r="A79">
        <v>71</v>
      </c>
      <c r="B79">
        <v>178.78412644788611</v>
      </c>
      <c r="C79">
        <v>3.3186077101710194</v>
      </c>
      <c r="D79">
        <v>178.78412644788611</v>
      </c>
      <c r="E79">
        <v>160.90571380309751</v>
      </c>
      <c r="F79">
        <v>100</v>
      </c>
      <c r="G79">
        <v>593.3143804861453</v>
      </c>
      <c r="H79">
        <v>332.40866668304778</v>
      </c>
    </row>
    <row r="80" spans="1:8">
      <c r="A80">
        <v>72</v>
      </c>
      <c r="B80">
        <v>147.78155567815031</v>
      </c>
      <c r="C80">
        <v>2.5535031299392017</v>
      </c>
      <c r="D80">
        <v>147.78155567815031</v>
      </c>
      <c r="E80">
        <v>133.00340011033529</v>
      </c>
      <c r="F80">
        <v>100</v>
      </c>
      <c r="G80">
        <v>377.36066497144122</v>
      </c>
      <c r="H80">
        <v>144.35726486110593</v>
      </c>
    </row>
    <row r="81" spans="1:8">
      <c r="A81">
        <v>73</v>
      </c>
      <c r="B81">
        <v>170.5917688698417</v>
      </c>
      <c r="C81">
        <v>2.8205600119429843</v>
      </c>
      <c r="D81">
        <v>170.5917688698417</v>
      </c>
      <c r="E81">
        <v>153.53259198285753</v>
      </c>
      <c r="F81">
        <v>100</v>
      </c>
      <c r="G81">
        <v>481.16432164089554</v>
      </c>
      <c r="H81">
        <v>227.63172965803801</v>
      </c>
    </row>
    <row r="82" spans="1:8">
      <c r="A82">
        <v>74</v>
      </c>
      <c r="B82">
        <v>175.83027284603969</v>
      </c>
      <c r="C82">
        <v>1.8651529877736539</v>
      </c>
      <c r="D82">
        <v>175.83027284603969</v>
      </c>
      <c r="E82">
        <v>158.24724556143573</v>
      </c>
      <c r="F82">
        <v>100</v>
      </c>
      <c r="G82">
        <v>327.95035873984767</v>
      </c>
      <c r="H82">
        <v>69.70311317841194</v>
      </c>
    </row>
    <row r="83" spans="1:8">
      <c r="A83">
        <v>75</v>
      </c>
      <c r="B83">
        <v>118.19566857102821</v>
      </c>
      <c r="C83">
        <v>2.8766993957740721</v>
      </c>
      <c r="D83">
        <v>118.19566857102821</v>
      </c>
      <c r="E83">
        <v>106.37610171392539</v>
      </c>
      <c r="F83">
        <v>100</v>
      </c>
      <c r="G83">
        <v>340.01340836138934</v>
      </c>
      <c r="H83">
        <v>133.63730664746396</v>
      </c>
    </row>
    <row r="84" spans="1:8">
      <c r="A84">
        <v>76</v>
      </c>
      <c r="B84">
        <v>135.61169938728258</v>
      </c>
      <c r="C84">
        <v>2.2283763417942146</v>
      </c>
      <c r="D84">
        <v>135.61169938728258</v>
      </c>
      <c r="E84">
        <v>122.05052944855433</v>
      </c>
      <c r="F84">
        <v>100</v>
      </c>
      <c r="G84">
        <v>302.19390258512948</v>
      </c>
      <c r="H84">
        <v>80.14337313657515</v>
      </c>
    </row>
    <row r="85" spans="1:8">
      <c r="A85">
        <v>77</v>
      </c>
      <c r="B85">
        <v>183.51645346038924</v>
      </c>
      <c r="C85">
        <v>3.3480907423091195</v>
      </c>
      <c r="D85">
        <v>183.51645346038924</v>
      </c>
      <c r="E85">
        <v>165.16480811435034</v>
      </c>
      <c r="F85">
        <v>100</v>
      </c>
      <c r="G85">
        <v>614.42973889213158</v>
      </c>
      <c r="H85">
        <v>349.26493077778127</v>
      </c>
    </row>
    <row r="86" spans="1:8">
      <c r="A86">
        <v>78</v>
      </c>
      <c r="B86">
        <v>128.13400367358611</v>
      </c>
      <c r="C86">
        <v>2.3566336171400306</v>
      </c>
      <c r="D86">
        <v>128.13400367358611</v>
      </c>
      <c r="E86">
        <v>115.3206033062275</v>
      </c>
      <c r="F86">
        <v>100</v>
      </c>
      <c r="G86">
        <v>301.96490055591721</v>
      </c>
      <c r="H86">
        <v>86.644297249689714</v>
      </c>
    </row>
    <row r="87" spans="1:8">
      <c r="A87">
        <v>79</v>
      </c>
      <c r="B87">
        <v>149.82151147131111</v>
      </c>
      <c r="C87">
        <v>3.0337517359961428</v>
      </c>
      <c r="D87">
        <v>149.82151147131111</v>
      </c>
      <c r="E87">
        <v>134.83936032418001</v>
      </c>
      <c r="F87">
        <v>100</v>
      </c>
      <c r="G87">
        <v>454.52127051565611</v>
      </c>
      <c r="H87">
        <v>219.68191019147611</v>
      </c>
    </row>
    <row r="88" spans="1:8">
      <c r="A88">
        <v>80</v>
      </c>
      <c r="B88">
        <v>133.03384387778172</v>
      </c>
      <c r="C88">
        <v>2.6698601040493521</v>
      </c>
      <c r="D88">
        <v>133.03384387778172</v>
      </c>
      <c r="E88">
        <v>119.73045949000355</v>
      </c>
      <c r="F88">
        <v>100</v>
      </c>
      <c r="G88">
        <v>355.18175225761956</v>
      </c>
      <c r="H88">
        <v>135.451292767616</v>
      </c>
    </row>
    <row r="89" spans="1:8">
      <c r="A89">
        <v>81</v>
      </c>
      <c r="B89">
        <v>136.93695218241493</v>
      </c>
      <c r="C89">
        <v>2.9340238186828893</v>
      </c>
      <c r="D89">
        <v>136.93695218241493</v>
      </c>
      <c r="E89">
        <v>123.24325696417344</v>
      </c>
      <c r="F89">
        <v>100</v>
      </c>
      <c r="G89">
        <v>401.77627936104528</v>
      </c>
      <c r="H89">
        <v>178.53302239687184</v>
      </c>
    </row>
    <row r="90" spans="1:8">
      <c r="A90">
        <v>82</v>
      </c>
      <c r="B90">
        <v>120.67153284146011</v>
      </c>
      <c r="C90">
        <v>2.9902924515632452</v>
      </c>
      <c r="D90">
        <v>120.67153284146011</v>
      </c>
      <c r="E90">
        <v>108.6043795573141</v>
      </c>
      <c r="F90">
        <v>100</v>
      </c>
      <c r="G90">
        <v>360.84317377438441</v>
      </c>
      <c r="H90">
        <v>152.23879421707031</v>
      </c>
    </row>
    <row r="91" spans="1:8">
      <c r="A91">
        <v>83</v>
      </c>
      <c r="B91">
        <v>174.39144614129634</v>
      </c>
      <c r="C91">
        <v>3.0563210535630967</v>
      </c>
      <c r="D91">
        <v>174.39144614129634</v>
      </c>
      <c r="E91">
        <v>156.95230152716672</v>
      </c>
      <c r="F91">
        <v>100</v>
      </c>
      <c r="G91">
        <v>532.99624840295883</v>
      </c>
      <c r="H91">
        <v>276.04394687579213</v>
      </c>
    </row>
    <row r="92" spans="1:8">
      <c r="A92">
        <v>84</v>
      </c>
      <c r="B92">
        <v>137.70840282877285</v>
      </c>
      <c r="C92">
        <v>2.7287972765425712</v>
      </c>
      <c r="D92">
        <v>137.70840282877285</v>
      </c>
      <c r="E92">
        <v>123.93756254589556</v>
      </c>
      <c r="F92">
        <v>100</v>
      </c>
      <c r="G92">
        <v>375.77831459618267</v>
      </c>
      <c r="H92">
        <v>151.84075205028711</v>
      </c>
    </row>
    <row r="93" spans="1:8">
      <c r="A93">
        <v>85</v>
      </c>
      <c r="B93">
        <v>148.86956025496201</v>
      </c>
      <c r="C93">
        <v>2.9191371869940181</v>
      </c>
      <c r="D93">
        <v>148.86956025496201</v>
      </c>
      <c r="E93">
        <v>133.98260422946581</v>
      </c>
      <c r="F93">
        <v>100</v>
      </c>
      <c r="G93">
        <v>434.57066935170627</v>
      </c>
      <c r="H93">
        <v>200.58806512224047</v>
      </c>
    </row>
    <row r="94" spans="1:8">
      <c r="A94">
        <v>86</v>
      </c>
      <c r="B94">
        <v>166.34957307625555</v>
      </c>
      <c r="C94">
        <v>3.1811796446709391</v>
      </c>
      <c r="D94">
        <v>166.34957307625555</v>
      </c>
      <c r="E94">
        <v>149.71461576863001</v>
      </c>
      <c r="F94">
        <v>100</v>
      </c>
      <c r="G94">
        <v>529.18787576988507</v>
      </c>
      <c r="H94">
        <v>279.47326000125508</v>
      </c>
    </row>
    <row r="95" spans="1:8">
      <c r="A95">
        <v>87</v>
      </c>
      <c r="B95">
        <v>146.75239743254627</v>
      </c>
      <c r="C95">
        <v>3.0363430435500174</v>
      </c>
      <c r="D95">
        <v>146.75239743254627</v>
      </c>
      <c r="E95">
        <v>132.07715768929165</v>
      </c>
      <c r="F95">
        <v>100</v>
      </c>
      <c r="G95">
        <v>445.59062106859932</v>
      </c>
      <c r="H95">
        <v>213.51346337930767</v>
      </c>
    </row>
    <row r="96" spans="1:8">
      <c r="A96">
        <v>88</v>
      </c>
      <c r="B96">
        <v>159.1184378715941</v>
      </c>
      <c r="C96">
        <v>3.495706496010818</v>
      </c>
      <c r="D96">
        <v>159.1184378715941</v>
      </c>
      <c r="E96">
        <v>143.2065940844347</v>
      </c>
      <c r="F96">
        <v>100</v>
      </c>
      <c r="G96">
        <v>556.23135690282527</v>
      </c>
      <c r="H96">
        <v>313.02476281839057</v>
      </c>
    </row>
    <row r="97" spans="1:8">
      <c r="A97">
        <v>89</v>
      </c>
      <c r="B97">
        <v>169.70414487403696</v>
      </c>
      <c r="C97">
        <v>3.1057669377519002</v>
      </c>
      <c r="D97">
        <v>169.70414487403696</v>
      </c>
      <c r="E97">
        <v>152.73373038663325</v>
      </c>
      <c r="F97">
        <v>100</v>
      </c>
      <c r="G97">
        <v>527.06152234924264</v>
      </c>
      <c r="H97">
        <v>274.32779196260935</v>
      </c>
    </row>
    <row r="98" spans="1:8">
      <c r="A98">
        <v>90</v>
      </c>
      <c r="B98">
        <v>180.18587466799661</v>
      </c>
      <c r="C98">
        <v>3.1669389156915955</v>
      </c>
      <c r="D98">
        <v>180.18587466799661</v>
      </c>
      <c r="E98">
        <v>162.16728720119696</v>
      </c>
      <c r="F98">
        <v>100</v>
      </c>
      <c r="G98">
        <v>570.63765854400697</v>
      </c>
      <c r="H98">
        <v>308.47037134281004</v>
      </c>
    </row>
    <row r="99" spans="1:8">
      <c r="A99">
        <v>91</v>
      </c>
      <c r="B99">
        <v>115.65428407672037</v>
      </c>
      <c r="C99">
        <v>3.9542289792259235</v>
      </c>
      <c r="D99">
        <v>115.65428407672037</v>
      </c>
      <c r="E99">
        <v>104.08885566904834</v>
      </c>
      <c r="F99">
        <v>100</v>
      </c>
      <c r="G99">
        <v>457.32352166779498</v>
      </c>
      <c r="H99">
        <v>253.23466599874664</v>
      </c>
    </row>
    <row r="100" spans="1:8">
      <c r="A100">
        <v>92</v>
      </c>
      <c r="B100">
        <v>141.10746685885519</v>
      </c>
      <c r="C100">
        <v>2.3035306710547854</v>
      </c>
      <c r="D100">
        <v>141.10746685885519</v>
      </c>
      <c r="E100">
        <v>126.99672017296967</v>
      </c>
      <c r="F100">
        <v>100</v>
      </c>
      <c r="G100">
        <v>325.0453778242196</v>
      </c>
      <c r="H100">
        <v>98.048657651249925</v>
      </c>
    </row>
    <row r="101" spans="1:8">
      <c r="A101">
        <v>93</v>
      </c>
      <c r="B101">
        <v>158.15143160061101</v>
      </c>
      <c r="C101">
        <v>2.8580023288377432</v>
      </c>
      <c r="D101">
        <v>158.15143160061101</v>
      </c>
      <c r="E101">
        <v>142.33628844054991</v>
      </c>
      <c r="F101">
        <v>100</v>
      </c>
      <c r="G101">
        <v>451.99715982356929</v>
      </c>
      <c r="H101">
        <v>209.66087138301938</v>
      </c>
    </row>
    <row r="102" spans="1:8">
      <c r="A102">
        <v>94</v>
      </c>
      <c r="B102">
        <v>135.25440428310762</v>
      </c>
      <c r="C102">
        <v>2.2949091739422993</v>
      </c>
      <c r="D102">
        <v>135.25440428310762</v>
      </c>
      <c r="E102">
        <v>121.72896385479686</v>
      </c>
      <c r="F102">
        <v>100</v>
      </c>
      <c r="G102">
        <v>310.39657320540431</v>
      </c>
      <c r="H102">
        <v>88.667609350607449</v>
      </c>
    </row>
    <row r="103" spans="1:8">
      <c r="A103">
        <v>95</v>
      </c>
      <c r="B103">
        <v>165.89956237277266</v>
      </c>
      <c r="C103">
        <v>3.9223325772947311</v>
      </c>
      <c r="D103">
        <v>165.89956237277266</v>
      </c>
      <c r="E103">
        <v>149.30960613549541</v>
      </c>
      <c r="F103">
        <v>100</v>
      </c>
      <c r="G103">
        <v>650.71325805366541</v>
      </c>
      <c r="H103">
        <v>401.40365191817</v>
      </c>
    </row>
    <row r="104" spans="1:8">
      <c r="A104">
        <v>96</v>
      </c>
      <c r="B104">
        <v>165.05419470698126</v>
      </c>
      <c r="C104">
        <v>2.9056813056850297</v>
      </c>
      <c r="D104">
        <v>165.05419470698126</v>
      </c>
      <c r="E104">
        <v>148.54877523628315</v>
      </c>
      <c r="F104">
        <v>100</v>
      </c>
      <c r="G104">
        <v>479.59488798497244</v>
      </c>
      <c r="H104">
        <v>231.0461127486893</v>
      </c>
    </row>
    <row r="105" spans="1:8">
      <c r="A105">
        <v>97</v>
      </c>
      <c r="B105">
        <v>84.096488362925925</v>
      </c>
      <c r="C105">
        <v>3.5665108233103981</v>
      </c>
      <c r="D105">
        <v>84.096488362925925</v>
      </c>
      <c r="E105">
        <v>75.686839526633335</v>
      </c>
      <c r="F105">
        <v>100</v>
      </c>
      <c r="G105">
        <v>299.93103594877226</v>
      </c>
      <c r="H105">
        <v>124.24419642213893</v>
      </c>
    </row>
    <row r="106" spans="1:8">
      <c r="A106">
        <v>98</v>
      </c>
      <c r="B106">
        <v>108.27164300222839</v>
      </c>
      <c r="C106">
        <v>3.3035850665304096</v>
      </c>
      <c r="D106">
        <v>108.27164300222839</v>
      </c>
      <c r="E106">
        <v>97.444478702005554</v>
      </c>
      <c r="F106">
        <v>100</v>
      </c>
      <c r="G106">
        <v>357.68458295087345</v>
      </c>
      <c r="H106">
        <v>160.24010424886791</v>
      </c>
    </row>
    <row r="107" spans="1:8">
      <c r="A107">
        <v>99</v>
      </c>
      <c r="B107">
        <v>195.07199211571606</v>
      </c>
      <c r="C107">
        <v>2.1953311882203428</v>
      </c>
      <c r="D107">
        <v>195.07199211571606</v>
      </c>
      <c r="E107">
        <v>175.56479290414447</v>
      </c>
      <c r="F107">
        <v>100</v>
      </c>
      <c r="G107">
        <v>428.24762823990426</v>
      </c>
      <c r="H107">
        <v>152.68283533575979</v>
      </c>
    </row>
    <row r="108" spans="1:8">
      <c r="A108">
        <v>100</v>
      </c>
      <c r="B108">
        <v>192.80135622095202</v>
      </c>
      <c r="C108">
        <v>2.8333620471880883</v>
      </c>
      <c r="D108">
        <v>192.80135622095202</v>
      </c>
      <c r="E108">
        <v>173.52122059885681</v>
      </c>
      <c r="F108">
        <v>100</v>
      </c>
      <c r="G108">
        <v>546.2760453628365</v>
      </c>
      <c r="H108">
        <v>272.75482476397968</v>
      </c>
    </row>
    <row r="110" spans="1:8">
      <c r="A110" t="s">
        <v>40</v>
      </c>
    </row>
    <row r="111" spans="1:8">
      <c r="A111" t="s">
        <v>41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  <c r="E111" t="str">
        <f>IF(ISBLANK($E110)=TRUE,"",_xll.EDF(E9:E108,$E110))</f>
        <v/>
      </c>
      <c r="F111" t="str">
        <f>IF(ISBLANK($F110)=TRUE,"",_xll.EDF(F9:F108,$F110))</f>
        <v/>
      </c>
      <c r="G111" t="str">
        <f>IF(ISBLANK($G110)=TRUE,"",_xll.EDF(G9:G108,$G110))</f>
        <v/>
      </c>
      <c r="H111" t="str">
        <f>IF(ISBLANK($H110)=TRUE,"",_xll.EDF(H9:H108,$H110))</f>
        <v/>
      </c>
    </row>
    <row r="112" spans="1:8">
      <c r="A112" t="s">
        <v>42</v>
      </c>
    </row>
    <row r="113" spans="1:8">
      <c r="A113" t="s">
        <v>43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  <c r="E113" t="str">
        <f>IF(ISBLANK($E112)=TRUE,"",_xll.EDF(E9:E108,$E112))</f>
        <v/>
      </c>
      <c r="F113" t="str">
        <f>IF(ISBLANK($F112)=TRUE,"",_xll.EDF(F9:F108,$F112))</f>
        <v/>
      </c>
      <c r="G113" t="str">
        <f>IF(ISBLANK($G112)=TRUE,"",_xll.EDF(G9:G108,$G112))</f>
        <v/>
      </c>
      <c r="H113" t="str">
        <f>IF(ISBLANK($H112)=TRUE,"",_xll.EDF(H9:H108,$H112))</f>
        <v/>
      </c>
    </row>
    <row r="114" spans="1:8">
      <c r="A114" t="s">
        <v>44</v>
      </c>
    </row>
    <row r="115" spans="1:8">
      <c r="A115" t="s">
        <v>45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  <c r="E115" t="str">
        <f>IF(ISBLANK($E114)=TRUE,"",_xll.EDF(E9:E108,$E114))</f>
        <v/>
      </c>
      <c r="F115" t="str">
        <f>IF(ISBLANK($F114)=TRUE,"",_xll.EDF(F9:F108,$F114))</f>
        <v/>
      </c>
      <c r="G115" t="str">
        <f>IF(ISBLANK($G114)=TRUE,"",_xll.EDF(G9:G108,$G114))</f>
        <v/>
      </c>
      <c r="H115" t="str">
        <f>IF(ISBLANK($H114)=TRUE,"",_xll.EDF(H9:H108,$H114))</f>
        <v/>
      </c>
    </row>
    <row r="116" spans="1:8">
      <c r="A116" t="s">
        <v>46</v>
      </c>
    </row>
    <row r="117" spans="1:8">
      <c r="A117" t="s">
        <v>47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  <c r="E117" t="str">
        <f>IF(ISBLANK($E116)=TRUE,"",_xll.EDF(E9:E108,$E116))</f>
        <v/>
      </c>
      <c r="F117" t="str">
        <f>IF(ISBLANK($F116)=TRUE,"",_xll.EDF(F9:F108,$F116))</f>
        <v/>
      </c>
      <c r="G117" t="str">
        <f>IF(ISBLANK($G116)=TRUE,"",_xll.EDF(G9:G108,$G116))</f>
        <v/>
      </c>
      <c r="H117" t="str">
        <f>IF(ISBLANK($H116)=TRUE,"",_xll.EDF(H9:H108,$H116))</f>
        <v/>
      </c>
    </row>
    <row r="118" spans="1:8">
      <c r="A118" t="s">
        <v>48</v>
      </c>
    </row>
    <row r="119" spans="1:8">
      <c r="A119" t="s">
        <v>49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  <c r="E119" t="str">
        <f>IF(ISBLANK($E118)=TRUE,"",_xll.EDF(E9:E108,$E118))</f>
        <v/>
      </c>
      <c r="F119" t="str">
        <f>IF(ISBLANK($F118)=TRUE,"",_xll.EDF(F9:F108,$F118))</f>
        <v/>
      </c>
      <c r="G119" t="str">
        <f>IF(ISBLANK($G118)=TRUE,"",_xll.EDF(G9:G108,$G118))</f>
        <v/>
      </c>
      <c r="H119" t="str">
        <f>IF(ISBLANK($H118)=TRUE,"",_xll.EDF(H9:H108,$H118))</f>
        <v/>
      </c>
    </row>
  </sheetData>
  <sheetCalcPr fullCalcOnLoad="1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019"/>
  <sheetViews>
    <sheetView topLeftCell="AH1" workbookViewId="0">
      <selection activeCell="AQ2" sqref="AQ2"/>
    </sheetView>
  </sheetViews>
  <sheetFormatPr defaultRowHeight="12"/>
  <cols>
    <col min="1" max="23" width="26" customWidth="1"/>
  </cols>
  <sheetData>
    <row r="1" spans="1:44">
      <c r="A1" t="s">
        <v>55</v>
      </c>
      <c r="D1" t="s">
        <v>57</v>
      </c>
      <c r="G1" t="s">
        <v>58</v>
      </c>
      <c r="J1" t="s">
        <v>59</v>
      </c>
      <c r="M1" t="s">
        <v>60</v>
      </c>
      <c r="P1" t="s">
        <v>61</v>
      </c>
      <c r="S1" t="s">
        <v>62</v>
      </c>
      <c r="V1" t="s">
        <v>63</v>
      </c>
    </row>
    <row r="2" spans="1:44">
      <c r="A2" t="s">
        <v>39</v>
      </c>
      <c r="B2" s="2" t="s">
        <v>56</v>
      </c>
      <c r="D2" t="s">
        <v>39</v>
      </c>
      <c r="E2" t="s">
        <v>56</v>
      </c>
      <c r="G2" t="s">
        <v>39</v>
      </c>
      <c r="H2" s="2" t="s">
        <v>56</v>
      </c>
      <c r="J2" t="s">
        <v>39</v>
      </c>
      <c r="K2" t="s">
        <v>56</v>
      </c>
      <c r="M2" t="s">
        <v>39</v>
      </c>
      <c r="N2" t="s">
        <v>56</v>
      </c>
      <c r="P2" t="s">
        <v>39</v>
      </c>
      <c r="Q2" t="str">
        <f ca="1">ADDRESS(ROW(Model!$B$19),COLUMN(Model!$B$19),4,,_xll.WSNAME(Model!$B$19))</f>
        <v>Model!B19</v>
      </c>
      <c r="S2" t="s">
        <v>39</v>
      </c>
      <c r="T2" t="str">
        <f ca="1">ADDRESS(ROW(Model!$B$19),COLUMN(Model!$B$19),4,,_xll.WSNAME(Model!$B$19))</f>
        <v>Model!B19</v>
      </c>
      <c r="V2" t="s">
        <v>39</v>
      </c>
      <c r="W2" t="str">
        <f ca="1">ADDRESS(ROW(Model!$B$19),COLUMN(Model!$B$19),4,,_xll.WSNAME(Model!$B$19))</f>
        <v>Model!B19</v>
      </c>
      <c r="AB2" t="str">
        <f>'Iter No Test'!$H$8</f>
        <v>Profit</v>
      </c>
      <c r="AC2" t="s">
        <v>31</v>
      </c>
      <c r="AE2" t="str">
        <f>'Iter No Test'!$K$8</f>
        <v>Profit</v>
      </c>
      <c r="AF2" t="s">
        <v>31</v>
      </c>
      <c r="AH2" t="str">
        <f>'Iter No Test'!$N$8</f>
        <v>Profit</v>
      </c>
      <c r="AI2" t="s">
        <v>31</v>
      </c>
      <c r="AK2" t="str">
        <f>'Iter No Test'!$Q$8</f>
        <v>Profit</v>
      </c>
      <c r="AL2" t="s">
        <v>31</v>
      </c>
      <c r="AN2" t="str">
        <f>'Iter No Test'!$T$8</f>
        <v>Profit</v>
      </c>
      <c r="AO2" t="s">
        <v>31</v>
      </c>
      <c r="AQ2" t="str">
        <f>'Iter No Test'!$W$8</f>
        <v>Profit</v>
      </c>
      <c r="AR2" t="s">
        <v>31</v>
      </c>
    </row>
    <row r="3" spans="1:44">
      <c r="A3" t="s">
        <v>5</v>
      </c>
      <c r="B3" s="1">
        <v>213.98429776358381</v>
      </c>
      <c r="D3" t="s">
        <v>5</v>
      </c>
      <c r="E3">
        <v>214.33362123206575</v>
      </c>
      <c r="G3" t="s">
        <v>5</v>
      </c>
      <c r="H3" s="1">
        <v>217.61235215941196</v>
      </c>
      <c r="J3" t="s">
        <v>5</v>
      </c>
      <c r="K3">
        <v>215.48186071490562</v>
      </c>
      <c r="M3" t="s">
        <v>5</v>
      </c>
      <c r="N3">
        <v>215.04741059678062</v>
      </c>
      <c r="P3" t="s">
        <v>5</v>
      </c>
      <c r="Q3">
        <f>AVERAGE(Q9:Q508)</f>
        <v>214.33771993132476</v>
      </c>
      <c r="S3" t="s">
        <v>5</v>
      </c>
      <c r="T3">
        <f>AVERAGE(T9:T1008)</f>
        <v>215.21388718741744</v>
      </c>
      <c r="V3" t="s">
        <v>5</v>
      </c>
      <c r="W3">
        <f>AVERAGE(W9:W5008)</f>
        <v>214.99680481531558</v>
      </c>
      <c r="AB3">
        <f>SMALL('Iter No Test'!$H$9:$H$83,1)</f>
        <v>8.6755667424252323</v>
      </c>
      <c r="AC3">
        <v>0</v>
      </c>
      <c r="AE3">
        <f>SMALL('Iter No Test'!$K$9:$K$108,1)</f>
        <v>32.729006717280626</v>
      </c>
      <c r="AF3">
        <v>0</v>
      </c>
      <c r="AH3">
        <f>SMALL('Iter No Test'!$N$9:$N$208,1)</f>
        <v>32.66771821967312</v>
      </c>
      <c r="AI3">
        <v>0</v>
      </c>
      <c r="AK3">
        <f>SMALL('Iter No Test'!$Q$9:$Q$508,1)</f>
        <v>6.0029979735061971</v>
      </c>
      <c r="AL3">
        <v>0</v>
      </c>
      <c r="AN3">
        <f>SMALL('Iter No Test'!$T$9:$T$1008,1)</f>
        <v>-14.470678075758528</v>
      </c>
      <c r="AO3">
        <v>0</v>
      </c>
      <c r="AQ3">
        <f>SMALL('Iter No Test'!$W$9:$W$5008,1)</f>
        <v>-48.966575167730802</v>
      </c>
      <c r="AR3">
        <v>0</v>
      </c>
    </row>
    <row r="4" spans="1:44">
      <c r="A4" t="s">
        <v>16</v>
      </c>
      <c r="B4">
        <v>86.713417053078004</v>
      </c>
      <c r="D4" t="s">
        <v>16</v>
      </c>
      <c r="E4">
        <v>83.956260618783759</v>
      </c>
      <c r="G4" t="s">
        <v>16</v>
      </c>
      <c r="H4">
        <v>94.76694485870928</v>
      </c>
      <c r="J4" t="s">
        <v>16</v>
      </c>
      <c r="K4">
        <v>87.056023972926909</v>
      </c>
      <c r="M4" t="s">
        <v>16</v>
      </c>
      <c r="N4">
        <v>85.936677230915095</v>
      </c>
      <c r="P4" t="s">
        <v>16</v>
      </c>
      <c r="Q4">
        <f>STDEV(Q9:Q508)</f>
        <v>84.334223245980041</v>
      </c>
      <c r="S4" t="s">
        <v>16</v>
      </c>
      <c r="T4">
        <f>STDEV(T9:T1008)</f>
        <v>87.17842097491274</v>
      </c>
      <c r="V4" t="s">
        <v>16</v>
      </c>
      <c r="W4">
        <f>STDEV(W9:W5008)</f>
        <v>86.380333175957787</v>
      </c>
      <c r="AB4">
        <f>SMALL('Iter No Test'!$H$9:$H$83,2)</f>
        <v>53.340393410241631</v>
      </c>
      <c r="AC4">
        <f>1/(COUNT('Iter No Test'!$H$9:$H$83)-1)+$AC$3</f>
        <v>1.3513513513513514E-2</v>
      </c>
      <c r="AE4">
        <f>SMALL('Iter No Test'!$K$9:$K$108,2)</f>
        <v>53.866325229975004</v>
      </c>
      <c r="AF4">
        <f>1/(COUNT('Iter No Test'!$K$9:$K$108)-1)+$AF$3</f>
        <v>1.0101010101010102E-2</v>
      </c>
      <c r="AH4">
        <f>SMALL('Iter No Test'!$N$9:$N$208,2)</f>
        <v>38.112933893184689</v>
      </c>
      <c r="AI4">
        <f>1/(COUNT('Iter No Test'!$N$9:$N$208)-1)+$AI$3</f>
        <v>5.0251256281407036E-3</v>
      </c>
      <c r="AK4">
        <f>SMALL('Iter No Test'!$Q$9:$Q$508,2)</f>
        <v>13.331684263445595</v>
      </c>
      <c r="AL4">
        <f>1/(COUNT('Iter No Test'!$Q$9:$Q$508)-1)+$AL$3</f>
        <v>2.004008016032064E-3</v>
      </c>
      <c r="AN4">
        <f>SMALL('Iter No Test'!$T$9:$T$1008,2)</f>
        <v>-12.192275639518584</v>
      </c>
      <c r="AO4">
        <f>1/(COUNT('Iter No Test'!$T$9:$T$1008)-1)+$AO$3</f>
        <v>1.001001001001001E-3</v>
      </c>
      <c r="AQ4">
        <f>SMALL('Iter No Test'!$W$9:$W$5008,2)</f>
        <v>-33.631303029724506</v>
      </c>
      <c r="AR4">
        <f>1/(COUNT('Iter No Test'!$W$9:$W$5008)-1)+$AR$3</f>
        <v>2.0004000800160032E-4</v>
      </c>
    </row>
    <row r="5" spans="1:44">
      <c r="A5" t="s">
        <v>17</v>
      </c>
      <c r="B5">
        <v>40.52326173431733</v>
      </c>
      <c r="D5" t="s">
        <v>17</v>
      </c>
      <c r="E5">
        <v>39.170831032561935</v>
      </c>
      <c r="G5" t="s">
        <v>17</v>
      </c>
      <c r="H5">
        <v>43.548513638273505</v>
      </c>
      <c r="J5" t="s">
        <v>17</v>
      </c>
      <c r="K5">
        <v>40.400627544286351</v>
      </c>
      <c r="M5" t="s">
        <v>17</v>
      </c>
      <c r="N5">
        <v>39.961735411010629</v>
      </c>
      <c r="P5" t="s">
        <v>17</v>
      </c>
      <c r="Q5">
        <f>100*Q4/Q3</f>
        <v>39.346421746485547</v>
      </c>
      <c r="S5" t="s">
        <v>17</v>
      </c>
      <c r="T5">
        <f>100*T4/T3</f>
        <v>40.507804637622684</v>
      </c>
      <c r="V5" t="s">
        <v>17</v>
      </c>
      <c r="W5">
        <f>100*W4/W3</f>
        <v>40.177496242402</v>
      </c>
      <c r="AB5">
        <f>SMALL('Iter No Test'!$H$9:$H$83,3)</f>
        <v>68.923669740430043</v>
      </c>
      <c r="AC5">
        <f>1/(COUNT('Iter No Test'!$H$9:$H$83)-1)+$AC$4</f>
        <v>2.7027027027027029E-2</v>
      </c>
      <c r="AE5">
        <f>SMALL('Iter No Test'!$K$9:$K$108,3)</f>
        <v>69.70311317841194</v>
      </c>
      <c r="AF5">
        <f>1/(COUNT('Iter No Test'!$K$9:$K$108)-1)+$AF$4</f>
        <v>2.0202020202020204E-2</v>
      </c>
      <c r="AH5">
        <f>SMALL('Iter No Test'!$N$9:$N$208,3)</f>
        <v>42.428253111063299</v>
      </c>
      <c r="AI5">
        <f>1/(COUNT('Iter No Test'!$N$9:$N$208)-1)+$AI$4</f>
        <v>1.0050251256281407E-2</v>
      </c>
      <c r="AK5">
        <f>SMALL('Iter No Test'!$Q$9:$Q$508,3)</f>
        <v>26.298530131168775</v>
      </c>
      <c r="AL5">
        <f>1/(COUNT('Iter No Test'!$Q$9:$Q$508)-1)+$AL$4</f>
        <v>4.0080160320641279E-3</v>
      </c>
      <c r="AN5">
        <f>SMALL('Iter No Test'!$T$9:$T$1008,3)</f>
        <v>0.69551877713102783</v>
      </c>
      <c r="AO5">
        <f>1/(COUNT('Iter No Test'!$T$9:$T$1008)-1)+$AO$4</f>
        <v>2.002002002002002E-3</v>
      </c>
      <c r="AQ5">
        <f>SMALL('Iter No Test'!$W$9:$W$5008,3)</f>
        <v>-25.84507911821288</v>
      </c>
      <c r="AR5">
        <f>1/(COUNT('Iter No Test'!$W$9:$W$5008)-1)+$AR$4</f>
        <v>4.0008001600320064E-4</v>
      </c>
    </row>
    <row r="6" spans="1:44">
      <c r="A6" t="s">
        <v>18</v>
      </c>
      <c r="B6" s="1">
        <v>68.34753390582091</v>
      </c>
      <c r="D6" t="s">
        <v>18</v>
      </c>
      <c r="E6">
        <v>51.647198717800222</v>
      </c>
      <c r="G6" t="s">
        <v>18</v>
      </c>
      <c r="H6" s="1">
        <v>8.6755667424252323</v>
      </c>
      <c r="J6" t="s">
        <v>18</v>
      </c>
      <c r="K6">
        <v>32.729006717280626</v>
      </c>
      <c r="M6" t="s">
        <v>18</v>
      </c>
      <c r="N6">
        <v>32.66771821967312</v>
      </c>
      <c r="P6" t="s">
        <v>18</v>
      </c>
      <c r="Q6">
        <f>MIN(Q9:Q508)</f>
        <v>6.0029979735061971</v>
      </c>
      <c r="S6" t="s">
        <v>18</v>
      </c>
      <c r="T6">
        <f>MIN(T9:T1008)</f>
        <v>-14.470678075758528</v>
      </c>
      <c r="V6" t="s">
        <v>18</v>
      </c>
      <c r="W6">
        <f>MIN(W9:W5008)</f>
        <v>-48.966575167730802</v>
      </c>
      <c r="AB6">
        <f>SMALL('Iter No Test'!$H$9:$H$83,4)</f>
        <v>71.85682484393908</v>
      </c>
      <c r="AC6">
        <f>1/(COUNT('Iter No Test'!$H$9:$H$83)-1)+$AC$5</f>
        <v>4.0540540540540543E-2</v>
      </c>
      <c r="AE6">
        <f>SMALL('Iter No Test'!$K$9:$K$108,4)</f>
        <v>70.264943833025214</v>
      </c>
      <c r="AF6">
        <f>1/(COUNT('Iter No Test'!$K$9:$K$108)-1)+$AF$5</f>
        <v>3.0303030303030304E-2</v>
      </c>
      <c r="AH6">
        <f>SMALL('Iter No Test'!$N$9:$N$208,4)</f>
        <v>52.996800266559745</v>
      </c>
      <c r="AI6">
        <f>1/(COUNT('Iter No Test'!$N$9:$N$208)-1)+$AI$5</f>
        <v>1.507537688442211E-2</v>
      </c>
      <c r="AK6">
        <f>SMALL('Iter No Test'!$Q$9:$Q$508,4)</f>
        <v>34.209582992420877</v>
      </c>
      <c r="AL6">
        <f>1/(COUNT('Iter No Test'!$Q$9:$Q$508)-1)+$AL$5</f>
        <v>6.0120240480961915E-3</v>
      </c>
      <c r="AN6">
        <f>SMALL('Iter No Test'!$T$9:$T$1008,4)</f>
        <v>16.16767720709214</v>
      </c>
      <c r="AO6">
        <f>1/(COUNT('Iter No Test'!$T$9:$T$1008)-1)+$AO$5</f>
        <v>3.003003003003003E-3</v>
      </c>
      <c r="AQ6">
        <f>SMALL('Iter No Test'!$W$9:$W$5008,4)</f>
        <v>-17.990702386754919</v>
      </c>
      <c r="AR6">
        <f>1/(COUNT('Iter No Test'!$W$9:$W$5008)-1)+$AR$5</f>
        <v>6.0012002400480096E-4</v>
      </c>
    </row>
    <row r="7" spans="1:44">
      <c r="A7" t="s">
        <v>19</v>
      </c>
      <c r="B7" s="1">
        <v>373.05881945473652</v>
      </c>
      <c r="D7" t="s">
        <v>19</v>
      </c>
      <c r="E7">
        <v>423.35009834277878</v>
      </c>
      <c r="G7" t="s">
        <v>19</v>
      </c>
      <c r="H7" s="1">
        <v>466.70807407657981</v>
      </c>
      <c r="J7" t="s">
        <v>19</v>
      </c>
      <c r="K7">
        <v>418.08520781231459</v>
      </c>
      <c r="M7" t="s">
        <v>19</v>
      </c>
      <c r="N7">
        <v>492.95774408514535</v>
      </c>
      <c r="P7" t="s">
        <v>19</v>
      </c>
      <c r="Q7">
        <f>MAX(Q9:Q508)</f>
        <v>482.1235596442217</v>
      </c>
      <c r="S7" t="s">
        <v>19</v>
      </c>
      <c r="T7">
        <f>MAX(T9:T1008)</f>
        <v>575.40246067141879</v>
      </c>
      <c r="V7" t="s">
        <v>19</v>
      </c>
      <c r="W7">
        <f>MAX(W9:W5008)</f>
        <v>652.44174702172313</v>
      </c>
      <c r="AB7">
        <f>SMALL('Iter No Test'!$H$9:$H$83,5)</f>
        <v>83.274018971965219</v>
      </c>
      <c r="AC7">
        <f>1/(COUNT('Iter No Test'!$H$9:$H$83)-1)+$AC$6</f>
        <v>5.4054054054054057E-2</v>
      </c>
      <c r="AE7">
        <f>SMALL('Iter No Test'!$K$9:$K$108,5)</f>
        <v>73.202751227200167</v>
      </c>
      <c r="AF7">
        <f>1/(COUNT('Iter No Test'!$K$9:$K$108)-1)+$AF$6</f>
        <v>4.0404040404040407E-2</v>
      </c>
      <c r="AH7">
        <f>SMALL('Iter No Test'!$N$9:$N$208,5)</f>
        <v>60.33809494866216</v>
      </c>
      <c r="AI7">
        <f>1/(COUNT('Iter No Test'!$N$9:$N$208)-1)+$AI$6</f>
        <v>2.0100502512562814E-2</v>
      </c>
      <c r="AK7">
        <f>SMALL('Iter No Test'!$Q$9:$Q$508,5)</f>
        <v>39.857381450115014</v>
      </c>
      <c r="AL7">
        <f>1/(COUNT('Iter No Test'!$Q$9:$Q$508)-1)+$AL$6</f>
        <v>8.0160320641282558E-3</v>
      </c>
      <c r="AN7">
        <f>SMALL('Iter No Test'!$T$9:$T$1008,5)</f>
        <v>16.611136575108787</v>
      </c>
      <c r="AO7">
        <f>1/(COUNT('Iter No Test'!$T$9:$T$1008)-1)+$AO$6</f>
        <v>4.004004004004004E-3</v>
      </c>
      <c r="AQ7">
        <f>SMALL('Iter No Test'!$W$9:$W$5008,5)</f>
        <v>-12.863866510431677</v>
      </c>
      <c r="AR7">
        <f>1/(COUNT('Iter No Test'!$W$9:$W$5008)-1)+$AR$6</f>
        <v>8.0016003200640128E-4</v>
      </c>
    </row>
    <row r="8" spans="1:44">
      <c r="A8" t="s">
        <v>20</v>
      </c>
      <c r="B8" t="s">
        <v>14</v>
      </c>
      <c r="D8" t="s">
        <v>20</v>
      </c>
      <c r="E8" t="s">
        <v>14</v>
      </c>
      <c r="G8" t="s">
        <v>20</v>
      </c>
      <c r="H8" t="s">
        <v>14</v>
      </c>
      <c r="J8" t="s">
        <v>20</v>
      </c>
      <c r="K8" t="s">
        <v>14</v>
      </c>
      <c r="M8" t="s">
        <v>20</v>
      </c>
      <c r="N8" t="s">
        <v>14</v>
      </c>
      <c r="P8" t="s">
        <v>20</v>
      </c>
      <c r="Q8" t="str">
        <f>Model!$A$19</f>
        <v>Profit</v>
      </c>
      <c r="S8" t="s">
        <v>20</v>
      </c>
      <c r="T8" t="str">
        <f>Model!$A$19</f>
        <v>Profit</v>
      </c>
      <c r="V8" t="s">
        <v>20</v>
      </c>
      <c r="W8" t="str">
        <f>Model!$A$19</f>
        <v>Profit</v>
      </c>
      <c r="AB8">
        <f>SMALL('Iter No Test'!$H$9:$H$83,6)</f>
        <v>84.82487586997317</v>
      </c>
      <c r="AC8">
        <f>1/(COUNT('Iter No Test'!$H$9:$H$83)-1)+$AC$7</f>
        <v>6.7567567567567571E-2</v>
      </c>
      <c r="AE8">
        <f>SMALL('Iter No Test'!$K$9:$K$108,6)</f>
        <v>77.260005872614016</v>
      </c>
      <c r="AF8">
        <f>1/(COUNT('Iter No Test'!$K$9:$K$108)-1)+$AF$7</f>
        <v>5.0505050505050511E-2</v>
      </c>
      <c r="AH8">
        <f>SMALL('Iter No Test'!$N$9:$N$208,6)</f>
        <v>64.927585173980262</v>
      </c>
      <c r="AI8">
        <f>1/(COUNT('Iter No Test'!$N$9:$N$208)-1)+$AI$7</f>
        <v>2.5125628140703519E-2</v>
      </c>
      <c r="AK8">
        <f>SMALL('Iter No Test'!$Q$9:$Q$508,6)</f>
        <v>53.171746475597118</v>
      </c>
      <c r="AL8">
        <f>1/(COUNT('Iter No Test'!$Q$9:$Q$508)-1)+$AL$7</f>
        <v>1.002004008016032E-2</v>
      </c>
      <c r="AN8">
        <f>SMALL('Iter No Test'!$T$9:$T$1008,6)</f>
        <v>16.90454780358418</v>
      </c>
      <c r="AO8">
        <f>1/(COUNT('Iter No Test'!$T$9:$T$1008)-1)+$AO$7</f>
        <v>5.005005005005005E-3</v>
      </c>
      <c r="AQ8">
        <f>SMALL('Iter No Test'!$W$9:$W$5008,6)</f>
        <v>-8.2400170628322087</v>
      </c>
      <c r="AR8">
        <f>1/(COUNT('Iter No Test'!$W$9:$W$5008)-1)+$AR$7</f>
        <v>1.0002000400080016E-3</v>
      </c>
    </row>
    <row r="9" spans="1:44">
      <c r="A9">
        <v>1</v>
      </c>
      <c r="B9" s="1">
        <v>212.20155950903975</v>
      </c>
      <c r="D9">
        <v>1</v>
      </c>
      <c r="E9">
        <v>160.83305958206461</v>
      </c>
      <c r="G9">
        <v>1</v>
      </c>
      <c r="H9" s="1">
        <v>198.62006037258556</v>
      </c>
      <c r="J9">
        <v>1</v>
      </c>
      <c r="K9">
        <v>334.99460000427183</v>
      </c>
      <c r="M9">
        <v>1</v>
      </c>
      <c r="N9">
        <v>192.63184993096209</v>
      </c>
      <c r="P9">
        <v>1</v>
      </c>
      <c r="Q9">
        <v>114.37909579093511</v>
      </c>
      <c r="S9">
        <v>1</v>
      </c>
      <c r="T9">
        <v>217.82094499769724</v>
      </c>
      <c r="V9">
        <v>1</v>
      </c>
      <c r="W9">
        <v>139.83929561995777</v>
      </c>
      <c r="AB9">
        <f>SMALL('Iter No Test'!$H$9:$H$83,7)</f>
        <v>111.52733839789475</v>
      </c>
      <c r="AC9">
        <f>1/(COUNT('Iter No Test'!$H$9:$H$83)-1)+$AC$8</f>
        <v>8.1081081081081086E-2</v>
      </c>
      <c r="AE9">
        <f>SMALL('Iter No Test'!$K$9:$K$108,7)</f>
        <v>80.14337313657515</v>
      </c>
      <c r="AF9">
        <f>1/(COUNT('Iter No Test'!$K$9:$K$108)-1)+$AF$8</f>
        <v>6.0606060606060615E-2</v>
      </c>
      <c r="AH9">
        <f>SMALL('Iter No Test'!$N$9:$N$208,7)</f>
        <v>67.155004866863607</v>
      </c>
      <c r="AI9">
        <f>1/(COUNT('Iter No Test'!$N$9:$N$208)-1)+$AI$8</f>
        <v>3.0150753768844223E-2</v>
      </c>
      <c r="AK9">
        <f>SMALL('Iter No Test'!$Q$9:$Q$508,7)</f>
        <v>53.361051016442715</v>
      </c>
      <c r="AL9">
        <f>1/(COUNT('Iter No Test'!$Q$9:$Q$508)-1)+$AL$8</f>
        <v>1.2024048096192385E-2</v>
      </c>
      <c r="AN9">
        <f>SMALL('Iter No Test'!$T$9:$T$1008,7)</f>
        <v>19.632623444919062</v>
      </c>
      <c r="AO9">
        <f>1/(COUNT('Iter No Test'!$T$9:$T$1008)-1)+$AO$8</f>
        <v>6.006006006006006E-3</v>
      </c>
      <c r="AQ9">
        <f>SMALL('Iter No Test'!$W$9:$W$5008,7)</f>
        <v>-1.6854059086602717</v>
      </c>
      <c r="AR9">
        <f>1/(COUNT('Iter No Test'!$W$9:$W$5008)-1)+$AR$8</f>
        <v>1.2002400480096019E-3</v>
      </c>
    </row>
    <row r="10" spans="1:44">
      <c r="A10">
        <v>2</v>
      </c>
      <c r="B10" s="1">
        <v>247.33182754826166</v>
      </c>
      <c r="D10">
        <v>2</v>
      </c>
      <c r="E10">
        <v>103.37013485176887</v>
      </c>
      <c r="G10">
        <v>2</v>
      </c>
      <c r="H10" s="1">
        <v>216.42482218484594</v>
      </c>
      <c r="J10">
        <v>2</v>
      </c>
      <c r="K10">
        <v>184.4655610623667</v>
      </c>
      <c r="M10">
        <v>2</v>
      </c>
      <c r="N10">
        <v>127.19950001598707</v>
      </c>
      <c r="P10">
        <v>2</v>
      </c>
      <c r="Q10">
        <v>129.77510915866253</v>
      </c>
      <c r="S10">
        <v>2</v>
      </c>
      <c r="T10">
        <v>249.18839651770699</v>
      </c>
      <c r="V10">
        <v>2</v>
      </c>
      <c r="W10">
        <v>160.22602690210286</v>
      </c>
      <c r="AB10">
        <f>SMALL('Iter No Test'!$H$9:$H$83,8)</f>
        <v>111.53850172841754</v>
      </c>
      <c r="AC10">
        <f>1/(COUNT('Iter No Test'!$H$9:$H$83)-1)+$AC$9</f>
        <v>9.45945945945946E-2</v>
      </c>
      <c r="AE10">
        <f>SMALL('Iter No Test'!$K$9:$K$108,8)</f>
        <v>86.644297249689714</v>
      </c>
      <c r="AF10">
        <f>1/(COUNT('Iter No Test'!$K$9:$K$108)-1)+$AF$9</f>
        <v>7.0707070707070718E-2</v>
      </c>
      <c r="AH10">
        <f>SMALL('Iter No Test'!$N$9:$N$208,8)</f>
        <v>68.763761794651103</v>
      </c>
      <c r="AI10">
        <f>1/(COUNT('Iter No Test'!$N$9:$N$208)-1)+$AI$9</f>
        <v>3.5175879396984924E-2</v>
      </c>
      <c r="AK10">
        <f>SMALL('Iter No Test'!$Q$9:$Q$508,8)</f>
        <v>55.337093726379379</v>
      </c>
      <c r="AL10">
        <f>1/(COUNT('Iter No Test'!$Q$9:$Q$508)-1)+$AL$9</f>
        <v>1.4028056112224449E-2</v>
      </c>
      <c r="AN10">
        <f>SMALL('Iter No Test'!$T$9:$T$1008,8)</f>
        <v>28.955271985144108</v>
      </c>
      <c r="AO10">
        <f>1/(COUNT('Iter No Test'!$T$9:$T$1008)-1)+$AO$9</f>
        <v>7.0070070070070069E-3</v>
      </c>
      <c r="AQ10">
        <f>SMALL('Iter No Test'!$W$9:$W$5008,8)</f>
        <v>2.2432731899781828</v>
      </c>
      <c r="AR10">
        <f>1/(COUNT('Iter No Test'!$W$9:$W$5008)-1)+$AR$9</f>
        <v>1.4002800560112022E-3</v>
      </c>
    </row>
    <row r="11" spans="1:44">
      <c r="A11">
        <v>3</v>
      </c>
      <c r="B11" s="1">
        <v>219.08901562718751</v>
      </c>
      <c r="D11">
        <v>3</v>
      </c>
      <c r="E11">
        <v>226.20301697928664</v>
      </c>
      <c r="G11">
        <v>3</v>
      </c>
      <c r="H11" s="1">
        <v>396.78690201719121</v>
      </c>
      <c r="J11">
        <v>3</v>
      </c>
      <c r="K11">
        <v>215.51276951314867</v>
      </c>
      <c r="M11">
        <v>3</v>
      </c>
      <c r="N11">
        <v>276.58688647989493</v>
      </c>
      <c r="P11">
        <v>3</v>
      </c>
      <c r="Q11">
        <v>215.51599686486949</v>
      </c>
      <c r="S11">
        <v>3</v>
      </c>
      <c r="T11">
        <v>302.42535757920996</v>
      </c>
      <c r="V11">
        <v>3</v>
      </c>
      <c r="W11">
        <v>189.27674630900825</v>
      </c>
      <c r="AB11">
        <f>SMALL('Iter No Test'!$H$9:$H$83,9)</f>
        <v>111.9427465373446</v>
      </c>
      <c r="AC11">
        <f>1/(COUNT('Iter No Test'!$H$9:$H$83)-1)+$AC$10</f>
        <v>0.10810810810810811</v>
      </c>
      <c r="AE11">
        <f>SMALL('Iter No Test'!$K$9:$K$108,9)</f>
        <v>88.667609350607449</v>
      </c>
      <c r="AF11">
        <f>1/(COUNT('Iter No Test'!$K$9:$K$108)-1)+$AF$10</f>
        <v>8.0808080808080815E-2</v>
      </c>
      <c r="AH11">
        <f>SMALL('Iter No Test'!$N$9:$N$208,9)</f>
        <v>71.578073503115462</v>
      </c>
      <c r="AI11">
        <f>1/(COUNT('Iter No Test'!$N$9:$N$208)-1)+$AI$10</f>
        <v>4.0201005025125629E-2</v>
      </c>
      <c r="AK11">
        <f>SMALL('Iter No Test'!$Q$9:$Q$508,9)</f>
        <v>56.600435948749208</v>
      </c>
      <c r="AL11">
        <f>1/(COUNT('Iter No Test'!$Q$9:$Q$508)-1)+$AL$10</f>
        <v>1.6032064128256512E-2</v>
      </c>
      <c r="AN11">
        <f>SMALL('Iter No Test'!$T$9:$T$1008,9)</f>
        <v>36.973364647509939</v>
      </c>
      <c r="AO11">
        <f>1/(COUNT('Iter No Test'!$T$9:$T$1008)-1)+$AO$10</f>
        <v>8.0080080080080079E-3</v>
      </c>
      <c r="AQ11">
        <f>SMALL('Iter No Test'!$W$9:$W$5008,9)</f>
        <v>5.2950238148514046</v>
      </c>
      <c r="AR11">
        <f>1/(COUNT('Iter No Test'!$W$9:$W$5008)-1)+$AR$10</f>
        <v>1.6003200640128026E-3</v>
      </c>
    </row>
    <row r="12" spans="1:44">
      <c r="A12">
        <v>4</v>
      </c>
      <c r="B12" s="1">
        <v>278.68885734179139</v>
      </c>
      <c r="D12">
        <v>4</v>
      </c>
      <c r="E12">
        <v>193.64798972445379</v>
      </c>
      <c r="G12">
        <v>4</v>
      </c>
      <c r="H12" s="1">
        <v>318.47800680772889</v>
      </c>
      <c r="J12">
        <v>4</v>
      </c>
      <c r="K12">
        <v>244.69700799842013</v>
      </c>
      <c r="M12">
        <v>4</v>
      </c>
      <c r="N12">
        <v>298.46674474767826</v>
      </c>
      <c r="P12">
        <v>4</v>
      </c>
      <c r="Q12">
        <v>247.22257211795807</v>
      </c>
      <c r="S12">
        <v>4</v>
      </c>
      <c r="T12">
        <v>343.40552812040528</v>
      </c>
      <c r="V12">
        <v>4</v>
      </c>
      <c r="W12">
        <v>369.56851331582175</v>
      </c>
      <c r="AB12">
        <f>SMALL('Iter No Test'!$H$9:$H$83,10)</f>
        <v>112.59087790701504</v>
      </c>
      <c r="AC12">
        <f>1/(COUNT('Iter No Test'!$H$9:$H$83)-1)+$AC$11</f>
        <v>0.12162162162162163</v>
      </c>
      <c r="AE12">
        <f>SMALL('Iter No Test'!$K$9:$K$108,10)</f>
        <v>98.048657651249925</v>
      </c>
      <c r="AF12">
        <f>1/(COUNT('Iter No Test'!$K$9:$K$108)-1)+$AF$11</f>
        <v>9.0909090909090912E-2</v>
      </c>
      <c r="AH12">
        <f>SMALL('Iter No Test'!$N$9:$N$208,10)</f>
        <v>73.014189255250898</v>
      </c>
      <c r="AI12">
        <f>1/(COUNT('Iter No Test'!$N$9:$N$208)-1)+$AI$11</f>
        <v>4.5226130653266333E-2</v>
      </c>
      <c r="AK12">
        <f>SMALL('Iter No Test'!$Q$9:$Q$508,10)</f>
        <v>56.735542008189881</v>
      </c>
      <c r="AL12">
        <f>1/(COUNT('Iter No Test'!$Q$9:$Q$508)-1)+$AL$11</f>
        <v>1.8036072144288574E-2</v>
      </c>
      <c r="AN12">
        <f>SMALL('Iter No Test'!$T$9:$T$1008,10)</f>
        <v>38.961291567860101</v>
      </c>
      <c r="AO12">
        <f>1/(COUNT('Iter No Test'!$T$9:$T$1008)-1)+$AO$11</f>
        <v>9.0090090090090089E-3</v>
      </c>
      <c r="AQ12">
        <f>SMALL('Iter No Test'!$W$9:$W$5008,10)</f>
        <v>7.9684706307831021</v>
      </c>
      <c r="AR12">
        <f>1/(COUNT('Iter No Test'!$W$9:$W$5008)-1)+$AR$11</f>
        <v>1.8003600720144029E-3</v>
      </c>
    </row>
    <row r="13" spans="1:44">
      <c r="A13">
        <v>5</v>
      </c>
      <c r="B13" s="1">
        <v>325.07022443836911</v>
      </c>
      <c r="D13">
        <v>5</v>
      </c>
      <c r="E13">
        <v>323.6222434110191</v>
      </c>
      <c r="G13">
        <v>5</v>
      </c>
      <c r="H13" s="1">
        <v>355.46472795944851</v>
      </c>
      <c r="J13">
        <v>5</v>
      </c>
      <c r="K13">
        <v>379.28827415720889</v>
      </c>
      <c r="M13">
        <v>5</v>
      </c>
      <c r="N13">
        <v>299.05844510215655</v>
      </c>
      <c r="P13">
        <v>5</v>
      </c>
      <c r="Q13">
        <v>319.17557424728307</v>
      </c>
      <c r="S13">
        <v>5</v>
      </c>
      <c r="T13">
        <v>430.28755841625468</v>
      </c>
      <c r="V13">
        <v>5</v>
      </c>
      <c r="W13">
        <v>186.10673595860754</v>
      </c>
      <c r="AB13">
        <f>SMALL('Iter No Test'!$H$9:$H$83,11)</f>
        <v>120.11963124105421</v>
      </c>
      <c r="AC13">
        <f>1/(COUNT('Iter No Test'!$H$9:$H$83)-1)+$AC$12</f>
        <v>0.13513513513513514</v>
      </c>
      <c r="AE13">
        <f>SMALL('Iter No Test'!$K$9:$K$108,11)</f>
        <v>99.686719794006194</v>
      </c>
      <c r="AF13">
        <f>1/(COUNT('Iter No Test'!$K$9:$K$108)-1)+$AF$12</f>
        <v>0.10101010101010101</v>
      </c>
      <c r="AH13">
        <f>SMALL('Iter No Test'!$N$9:$N$208,11)</f>
        <v>83.245369638985892</v>
      </c>
      <c r="AI13">
        <f>1/(COUNT('Iter No Test'!$N$9:$N$208)-1)+$AI$12</f>
        <v>5.0251256281407038E-2</v>
      </c>
      <c r="AK13">
        <f>SMALL('Iter No Test'!$Q$9:$Q$508,11)</f>
        <v>63.791544201679031</v>
      </c>
      <c r="AL13">
        <f>1/(COUNT('Iter No Test'!$Q$9:$Q$508)-1)+$AL$12</f>
        <v>2.0040080160320637E-2</v>
      </c>
      <c r="AN13">
        <f>SMALL('Iter No Test'!$T$9:$T$1008,11)</f>
        <v>41.242881481517401</v>
      </c>
      <c r="AO13">
        <f>1/(COUNT('Iter No Test'!$T$9:$T$1008)-1)+$AO$12</f>
        <v>1.001001001001001E-2</v>
      </c>
      <c r="AQ13">
        <f>SMALL('Iter No Test'!$W$9:$W$5008,11)</f>
        <v>8.1709001967484198</v>
      </c>
      <c r="AR13">
        <f>1/(COUNT('Iter No Test'!$W$9:$W$5008)-1)+$AR$12</f>
        <v>2.0004000800160032E-3</v>
      </c>
    </row>
    <row r="14" spans="1:44">
      <c r="A14">
        <v>6</v>
      </c>
      <c r="B14" s="1">
        <v>373.05881945473652</v>
      </c>
      <c r="D14">
        <v>6</v>
      </c>
      <c r="E14">
        <v>243.55430998530611</v>
      </c>
      <c r="G14">
        <v>6</v>
      </c>
      <c r="H14" s="1">
        <v>273.15026199923199</v>
      </c>
      <c r="J14">
        <v>6</v>
      </c>
      <c r="K14">
        <v>263.01658216132671</v>
      </c>
      <c r="M14">
        <v>6</v>
      </c>
      <c r="N14">
        <v>226.95347353460005</v>
      </c>
      <c r="P14">
        <v>6</v>
      </c>
      <c r="Q14">
        <v>175.58902514122224</v>
      </c>
      <c r="S14">
        <v>6</v>
      </c>
      <c r="T14">
        <v>290.89241700824311</v>
      </c>
      <c r="V14">
        <v>6</v>
      </c>
      <c r="W14">
        <v>175.74560273768313</v>
      </c>
      <c r="AB14">
        <f>SMALL('Iter No Test'!$H$9:$H$83,12)</f>
        <v>130.77375444933784</v>
      </c>
      <c r="AC14">
        <f>1/(COUNT('Iter No Test'!$H$9:$H$83)-1)+$AC$13</f>
        <v>0.14864864864864866</v>
      </c>
      <c r="AE14">
        <f>SMALL('Iter No Test'!$K$9:$K$108,12)</f>
        <v>109.88288230794136</v>
      </c>
      <c r="AF14">
        <f>1/(COUNT('Iter No Test'!$K$9:$K$108)-1)+$AF$13</f>
        <v>0.1111111111111111</v>
      </c>
      <c r="AH14">
        <f>SMALL('Iter No Test'!$N$9:$N$208,12)</f>
        <v>83.564157498594412</v>
      </c>
      <c r="AI14">
        <f>1/(COUNT('Iter No Test'!$N$9:$N$208)-1)+$AI$13</f>
        <v>5.5276381909547742E-2</v>
      </c>
      <c r="AK14">
        <f>SMALL('Iter No Test'!$Q$9:$Q$508,12)</f>
        <v>70.740664378143222</v>
      </c>
      <c r="AL14">
        <f>1/(COUNT('Iter No Test'!$Q$9:$Q$508)-1)+$AL$13</f>
        <v>2.20440881763527E-2</v>
      </c>
      <c r="AN14">
        <f>SMALL('Iter No Test'!$T$9:$T$1008,12)</f>
        <v>43.234620239456774</v>
      </c>
      <c r="AO14">
        <f>1/(COUNT('Iter No Test'!$T$9:$T$1008)-1)+$AO$13</f>
        <v>1.1011011011011011E-2</v>
      </c>
      <c r="AQ14">
        <f>SMALL('Iter No Test'!$W$9:$W$5008,12)</f>
        <v>8.869050960936022</v>
      </c>
      <c r="AR14">
        <f>1/(COUNT('Iter No Test'!$W$9:$W$5008)-1)+$AR$13</f>
        <v>2.2004400880176033E-3</v>
      </c>
    </row>
    <row r="15" spans="1:44">
      <c r="A15">
        <v>7</v>
      </c>
      <c r="B15" s="1">
        <v>110.17333921780923</v>
      </c>
      <c r="D15">
        <v>7</v>
      </c>
      <c r="E15">
        <v>188.428468228306</v>
      </c>
      <c r="G15">
        <v>7</v>
      </c>
      <c r="H15" s="1">
        <v>83.274018971965219</v>
      </c>
      <c r="J15">
        <v>7</v>
      </c>
      <c r="K15">
        <v>77.260005872614016</v>
      </c>
      <c r="M15">
        <v>7</v>
      </c>
      <c r="N15">
        <v>139.91682866380151</v>
      </c>
      <c r="P15">
        <v>7</v>
      </c>
      <c r="Q15">
        <v>112.83038735320469</v>
      </c>
      <c r="S15">
        <v>7</v>
      </c>
      <c r="T15">
        <v>55.14683669339496</v>
      </c>
      <c r="V15">
        <v>7</v>
      </c>
      <c r="W15">
        <v>110.8908215930245</v>
      </c>
      <c r="AB15">
        <f>SMALL('Iter No Test'!$H$9:$H$83,13)</f>
        <v>131.35648112209532</v>
      </c>
      <c r="AC15">
        <f>1/(COUNT('Iter No Test'!$H$9:$H$83)-1)+$AC$14</f>
        <v>0.16216216216216217</v>
      </c>
      <c r="AE15">
        <f>SMALL('Iter No Test'!$K$9:$K$108,13)</f>
        <v>111.41293365368861</v>
      </c>
      <c r="AF15">
        <f>1/(COUNT('Iter No Test'!$K$9:$K$108)-1)+$AF$14</f>
        <v>0.1212121212121212</v>
      </c>
      <c r="AH15">
        <f>SMALL('Iter No Test'!$N$9:$N$208,13)</f>
        <v>85.806687086976439</v>
      </c>
      <c r="AI15">
        <f>1/(COUNT('Iter No Test'!$N$9:$N$208)-1)+$AI$14</f>
        <v>6.0301507537688447E-2</v>
      </c>
      <c r="AK15">
        <f>SMALL('Iter No Test'!$Q$9:$Q$508,13)</f>
        <v>70.958584311993377</v>
      </c>
      <c r="AL15">
        <f>1/(COUNT('Iter No Test'!$Q$9:$Q$508)-1)+$AL$14</f>
        <v>2.4048096192384762E-2</v>
      </c>
      <c r="AN15">
        <f>SMALL('Iter No Test'!$T$9:$T$1008,13)</f>
        <v>45.510535614025997</v>
      </c>
      <c r="AO15">
        <f>1/(COUNT('Iter No Test'!$T$9:$T$1008)-1)+$AO$14</f>
        <v>1.2012012012012012E-2</v>
      </c>
      <c r="AQ15">
        <f>SMALL('Iter No Test'!$W$9:$W$5008,13)</f>
        <v>10.937277895556534</v>
      </c>
      <c r="AR15">
        <f>1/(COUNT('Iter No Test'!$W$9:$W$5008)-1)+$AR$14</f>
        <v>2.4004800960192038E-3</v>
      </c>
    </row>
    <row r="16" spans="1:44">
      <c r="A16">
        <v>8</v>
      </c>
      <c r="B16" s="1">
        <v>260.38160810182649</v>
      </c>
      <c r="D16">
        <v>8</v>
      </c>
      <c r="E16">
        <v>102.37532002549416</v>
      </c>
      <c r="G16">
        <v>8</v>
      </c>
      <c r="H16" s="1">
        <v>152.4587688003171</v>
      </c>
      <c r="J16">
        <v>8</v>
      </c>
      <c r="K16">
        <v>208.87427817970718</v>
      </c>
      <c r="M16">
        <v>8</v>
      </c>
      <c r="N16">
        <v>195.21115303867774</v>
      </c>
      <c r="P16">
        <v>8</v>
      </c>
      <c r="Q16">
        <v>228.32640755956447</v>
      </c>
      <c r="S16">
        <v>8</v>
      </c>
      <c r="T16">
        <v>190.60589449042982</v>
      </c>
      <c r="V16">
        <v>8</v>
      </c>
      <c r="W16">
        <v>195.33734372793805</v>
      </c>
      <c r="AB16">
        <f>SMALL('Iter No Test'!$H$9:$H$83,14)</f>
        <v>144.4158814028853</v>
      </c>
      <c r="AC16">
        <f>1/(COUNT('Iter No Test'!$H$9:$H$83)-1)+$AC$15</f>
        <v>0.17567567567567569</v>
      </c>
      <c r="AE16">
        <f>SMALL('Iter No Test'!$K$9:$K$108,14)</f>
        <v>121.26498639310583</v>
      </c>
      <c r="AF16">
        <f>1/(COUNT('Iter No Test'!$K$9:$K$108)-1)+$AF$15</f>
        <v>0.1313131313131313</v>
      </c>
      <c r="AH16">
        <f>SMALL('Iter No Test'!$N$9:$N$208,14)</f>
        <v>87.5862976030173</v>
      </c>
      <c r="AI16">
        <f>1/(COUNT('Iter No Test'!$N$9:$N$208)-1)+$AI$15</f>
        <v>6.5326633165829151E-2</v>
      </c>
      <c r="AK16">
        <f>SMALL('Iter No Test'!$Q$9:$Q$508,14)</f>
        <v>72.562664994197917</v>
      </c>
      <c r="AL16">
        <f>1/(COUNT('Iter No Test'!$Q$9:$Q$508)-1)+$AL$15</f>
        <v>2.6052104208416825E-2</v>
      </c>
      <c r="AN16">
        <f>SMALL('Iter No Test'!$T$9:$T$1008,14)</f>
        <v>46.372094838296192</v>
      </c>
      <c r="AO16">
        <f>1/(COUNT('Iter No Test'!$T$9:$T$1008)-1)+$AO$15</f>
        <v>1.3013013013013013E-2</v>
      </c>
      <c r="AQ16">
        <f>SMALL('Iter No Test'!$W$9:$W$5008,14)</f>
        <v>13.188949363526703</v>
      </c>
      <c r="AR16">
        <f>1/(COUNT('Iter No Test'!$W$9:$W$5008)-1)+$AR$15</f>
        <v>2.6005201040208044E-3</v>
      </c>
    </row>
    <row r="17" spans="1:44">
      <c r="A17">
        <v>9</v>
      </c>
      <c r="B17" s="1">
        <v>312.15095742895971</v>
      </c>
      <c r="D17">
        <v>9</v>
      </c>
      <c r="E17">
        <v>376.12154213259913</v>
      </c>
      <c r="G17">
        <v>9</v>
      </c>
      <c r="H17" s="1">
        <v>454.65333616816065</v>
      </c>
      <c r="J17">
        <v>9</v>
      </c>
      <c r="K17">
        <v>364.56424825469333</v>
      </c>
      <c r="M17">
        <v>9</v>
      </c>
      <c r="N17">
        <v>396.91104411163167</v>
      </c>
      <c r="P17">
        <v>9</v>
      </c>
      <c r="Q17">
        <v>342.4553446592214</v>
      </c>
      <c r="S17">
        <v>9</v>
      </c>
      <c r="T17">
        <v>294.55099963664827</v>
      </c>
      <c r="V17">
        <v>9</v>
      </c>
      <c r="W17">
        <v>303.46339042289145</v>
      </c>
      <c r="AB17">
        <f>SMALL('Iter No Test'!$H$9:$H$83,15)</f>
        <v>144.4407011332051</v>
      </c>
      <c r="AC17">
        <f>1/(COUNT('Iter No Test'!$H$9:$H$83)-1)+$AC$16</f>
        <v>0.1891891891891892</v>
      </c>
      <c r="AE17">
        <f>SMALL('Iter No Test'!$K$9:$K$108,15)</f>
        <v>124.24419642213893</v>
      </c>
      <c r="AF17">
        <f>1/(COUNT('Iter No Test'!$K$9:$K$108)-1)+$AF$16</f>
        <v>0.14141414141414141</v>
      </c>
      <c r="AH17">
        <f>SMALL('Iter No Test'!$N$9:$N$208,15)</f>
        <v>88.297932891039565</v>
      </c>
      <c r="AI17">
        <f>1/(COUNT('Iter No Test'!$N$9:$N$208)-1)+$AI$16</f>
        <v>7.0351758793969849E-2</v>
      </c>
      <c r="AK17">
        <f>SMALL('Iter No Test'!$Q$9:$Q$508,15)</f>
        <v>73.91606253114827</v>
      </c>
      <c r="AL17">
        <f>1/(COUNT('Iter No Test'!$Q$9:$Q$508)-1)+$AL$16</f>
        <v>2.8056112224448888E-2</v>
      </c>
      <c r="AN17">
        <f>SMALL('Iter No Test'!$T$9:$T$1008,15)</f>
        <v>48.943766570404847</v>
      </c>
      <c r="AO17">
        <f>1/(COUNT('Iter No Test'!$T$9:$T$1008)-1)+$AO$16</f>
        <v>1.4014014014014014E-2</v>
      </c>
      <c r="AQ17">
        <f>SMALL('Iter No Test'!$W$9:$W$5008,15)</f>
        <v>13.207991568773224</v>
      </c>
      <c r="AR17">
        <f>1/(COUNT('Iter No Test'!$W$9:$W$5008)-1)+$AR$16</f>
        <v>2.8005601120224049E-3</v>
      </c>
    </row>
    <row r="18" spans="1:44">
      <c r="A18">
        <v>10</v>
      </c>
      <c r="B18" s="1">
        <v>136.07386689336892</v>
      </c>
      <c r="D18">
        <v>10</v>
      </c>
      <c r="E18">
        <v>260.56699233997813</v>
      </c>
      <c r="G18">
        <v>10</v>
      </c>
      <c r="H18" s="1">
        <v>247.47405310128138</v>
      </c>
      <c r="J18">
        <v>10</v>
      </c>
      <c r="K18">
        <v>154.49944339957273</v>
      </c>
      <c r="M18">
        <v>10</v>
      </c>
      <c r="N18">
        <v>272.66909850713319</v>
      </c>
      <c r="P18">
        <v>10</v>
      </c>
      <c r="Q18">
        <v>279.47416558377387</v>
      </c>
      <c r="S18">
        <v>10</v>
      </c>
      <c r="T18">
        <v>287.81798518318288</v>
      </c>
      <c r="V18">
        <v>10</v>
      </c>
      <c r="W18">
        <v>195.03796825247923</v>
      </c>
      <c r="AB18">
        <f>SMALL('Iter No Test'!$H$9:$H$83,16)</f>
        <v>147.76249768450174</v>
      </c>
      <c r="AC18">
        <f>1/(COUNT('Iter No Test'!$H$9:$H$83)-1)+$AC$17</f>
        <v>0.20270270270270271</v>
      </c>
      <c r="AE18">
        <f>SMALL('Iter No Test'!$K$9:$K$108,16)</f>
        <v>127.52826318058987</v>
      </c>
      <c r="AF18">
        <f>1/(COUNT('Iter No Test'!$K$9:$K$108)-1)+$AF$17</f>
        <v>0.15151515151515152</v>
      </c>
      <c r="AH18">
        <f>SMALL('Iter No Test'!$N$9:$N$208,16)</f>
        <v>94.562810012777192</v>
      </c>
      <c r="AI18">
        <f>1/(COUNT('Iter No Test'!$N$9:$N$208)-1)+$AI$17</f>
        <v>7.5376884422110546E-2</v>
      </c>
      <c r="AK18">
        <f>SMALL('Iter No Test'!$Q$9:$Q$508,16)</f>
        <v>74.947892397941473</v>
      </c>
      <c r="AL18">
        <f>1/(COUNT('Iter No Test'!$Q$9:$Q$508)-1)+$AL$17</f>
        <v>3.006012024048095E-2</v>
      </c>
      <c r="AN18">
        <f>SMALL('Iter No Test'!$T$9:$T$1008,16)</f>
        <v>48.950531272495475</v>
      </c>
      <c r="AO18">
        <f>1/(COUNT('Iter No Test'!$T$9:$T$1008)-1)+$AO$17</f>
        <v>1.5015015015015015E-2</v>
      </c>
      <c r="AQ18">
        <f>SMALL('Iter No Test'!$W$9:$W$5008,16)</f>
        <v>13.486631766823052</v>
      </c>
      <c r="AR18">
        <f>1/(COUNT('Iter No Test'!$W$9:$W$5008)-1)+$AR$17</f>
        <v>3.0006001200240055E-3</v>
      </c>
    </row>
    <row r="19" spans="1:44">
      <c r="A19">
        <v>11</v>
      </c>
      <c r="B19" s="1">
        <v>226.36911471230513</v>
      </c>
      <c r="D19">
        <v>11</v>
      </c>
      <c r="E19">
        <v>316.20083556103071</v>
      </c>
      <c r="G19">
        <v>11</v>
      </c>
      <c r="H19" s="1">
        <v>299.08036095956516</v>
      </c>
      <c r="J19">
        <v>11</v>
      </c>
      <c r="K19">
        <v>246.38982592485965</v>
      </c>
      <c r="M19">
        <v>11</v>
      </c>
      <c r="N19">
        <v>258.61176345121521</v>
      </c>
      <c r="P19">
        <v>11</v>
      </c>
      <c r="Q19">
        <v>233.29313565786887</v>
      </c>
      <c r="S19">
        <v>11</v>
      </c>
      <c r="T19">
        <v>201.80695446189213</v>
      </c>
      <c r="V19">
        <v>11</v>
      </c>
      <c r="W19">
        <v>280.49076040317334</v>
      </c>
      <c r="AB19">
        <f>SMALL('Iter No Test'!$H$9:$H$83,17)</f>
        <v>149.53762032636052</v>
      </c>
      <c r="AC19">
        <f>1/(COUNT('Iter No Test'!$H$9:$H$83)-1)+$AC$18</f>
        <v>0.21621621621621623</v>
      </c>
      <c r="AE19">
        <f>SMALL('Iter No Test'!$K$9:$K$108,17)</f>
        <v>129.81674309942261</v>
      </c>
      <c r="AF19">
        <f>1/(COUNT('Iter No Test'!$K$9:$K$108)-1)+$AF$18</f>
        <v>0.16161616161616163</v>
      </c>
      <c r="AH19">
        <f>SMALL('Iter No Test'!$N$9:$N$208,17)</f>
        <v>95.369115819418596</v>
      </c>
      <c r="AI19">
        <f>1/(COUNT('Iter No Test'!$N$9:$N$208)-1)+$AI$18</f>
        <v>8.0402010050251244E-2</v>
      </c>
      <c r="AK19">
        <f>SMALL('Iter No Test'!$Q$9:$Q$508,17)</f>
        <v>75.136335003929602</v>
      </c>
      <c r="AL19">
        <f>1/(COUNT('Iter No Test'!$Q$9:$Q$508)-1)+$AL$18</f>
        <v>3.2064128256513016E-2</v>
      </c>
      <c r="AN19">
        <f>SMALL('Iter No Test'!$T$9:$T$1008,17)</f>
        <v>49.080015239302</v>
      </c>
      <c r="AO19">
        <f>1/(COUNT('Iter No Test'!$T$9:$T$1008)-1)+$AO$18</f>
        <v>1.6016016016016016E-2</v>
      </c>
      <c r="AQ19">
        <f>SMALL('Iter No Test'!$W$9:$W$5008,17)</f>
        <v>14.729905048832279</v>
      </c>
      <c r="AR19">
        <f>1/(COUNT('Iter No Test'!$W$9:$W$5008)-1)+$AR$18</f>
        <v>3.200640128025606E-3</v>
      </c>
    </row>
    <row r="20" spans="1:44">
      <c r="A20">
        <v>12</v>
      </c>
      <c r="B20" s="1">
        <v>232.99346918094071</v>
      </c>
      <c r="D20">
        <v>12</v>
      </c>
      <c r="E20">
        <v>188.87954764685244</v>
      </c>
      <c r="G20">
        <v>12</v>
      </c>
      <c r="H20" s="1">
        <v>194.51087063189556</v>
      </c>
      <c r="J20">
        <v>12</v>
      </c>
      <c r="K20">
        <v>127.52826318058987</v>
      </c>
      <c r="M20">
        <v>12</v>
      </c>
      <c r="N20">
        <v>137.3217957889299</v>
      </c>
      <c r="P20">
        <v>12</v>
      </c>
      <c r="Q20">
        <v>178.80532725110515</v>
      </c>
      <c r="S20">
        <v>12</v>
      </c>
      <c r="T20">
        <v>152.43876700329844</v>
      </c>
      <c r="V20">
        <v>12</v>
      </c>
      <c r="W20">
        <v>166.61216214930431</v>
      </c>
      <c r="AB20">
        <f>SMALL('Iter No Test'!$H$9:$H$83,18)</f>
        <v>152.4587688003171</v>
      </c>
      <c r="AC20">
        <f>1/(COUNT('Iter No Test'!$H$9:$H$83)-1)+$AC$19</f>
        <v>0.22972972972972974</v>
      </c>
      <c r="AE20">
        <f>SMALL('Iter No Test'!$K$9:$K$108,18)</f>
        <v>133.32370747395896</v>
      </c>
      <c r="AF20">
        <f>1/(COUNT('Iter No Test'!$K$9:$K$108)-1)+$AF$19</f>
        <v>0.17171717171717174</v>
      </c>
      <c r="AH20">
        <f>SMALL('Iter No Test'!$N$9:$N$208,18)</f>
        <v>100.56632105966884</v>
      </c>
      <c r="AI20">
        <f>1/(COUNT('Iter No Test'!$N$9:$N$208)-1)+$AI$19</f>
        <v>8.5427135678391941E-2</v>
      </c>
      <c r="AK20">
        <f>SMALL('Iter No Test'!$Q$9:$Q$508,18)</f>
        <v>77.566710444043181</v>
      </c>
      <c r="AL20">
        <f>1/(COUNT('Iter No Test'!$Q$9:$Q$508)-1)+$AL$19</f>
        <v>3.4068136272545083E-2</v>
      </c>
      <c r="AN20">
        <f>SMALL('Iter No Test'!$T$9:$T$1008,18)</f>
        <v>49.526301647079649</v>
      </c>
      <c r="AO20">
        <f>1/(COUNT('Iter No Test'!$T$9:$T$1008)-1)+$AO$19</f>
        <v>1.7017017017017015E-2</v>
      </c>
      <c r="AQ20">
        <f>SMALL('Iter No Test'!$W$9:$W$5008,18)</f>
        <v>15.492316482467515</v>
      </c>
      <c r="AR20">
        <f>1/(COUNT('Iter No Test'!$W$9:$W$5008)-1)+$AR$19</f>
        <v>3.4006801360272065E-3</v>
      </c>
    </row>
    <row r="21" spans="1:44">
      <c r="A21">
        <v>13</v>
      </c>
      <c r="B21" s="1">
        <v>111.00015379127072</v>
      </c>
      <c r="D21">
        <v>13</v>
      </c>
      <c r="E21">
        <v>321.4189349046535</v>
      </c>
      <c r="G21">
        <v>13</v>
      </c>
      <c r="H21" s="1">
        <v>273.33512646116469</v>
      </c>
      <c r="J21">
        <v>13</v>
      </c>
      <c r="K21">
        <v>336.81564199761863</v>
      </c>
      <c r="M21">
        <v>13</v>
      </c>
      <c r="N21">
        <v>341.94407191890605</v>
      </c>
      <c r="P21">
        <v>13</v>
      </c>
      <c r="Q21">
        <v>371.86901429961938</v>
      </c>
      <c r="S21">
        <v>13</v>
      </c>
      <c r="T21">
        <v>262.55932703886396</v>
      </c>
      <c r="V21">
        <v>13</v>
      </c>
      <c r="W21">
        <v>311.07528244165678</v>
      </c>
      <c r="AB21">
        <f>SMALL('Iter No Test'!$H$9:$H$83,19)</f>
        <v>152.60576484572084</v>
      </c>
      <c r="AC21">
        <f>1/(COUNT('Iter No Test'!$H$9:$H$83)-1)+$AC$20</f>
        <v>0.24324324324324326</v>
      </c>
      <c r="AE21">
        <f>SMALL('Iter No Test'!$K$9:$K$108,19)</f>
        <v>133.63730664746396</v>
      </c>
      <c r="AF21">
        <f>1/(COUNT('Iter No Test'!$K$9:$K$108)-1)+$AF$20</f>
        <v>0.18181818181818185</v>
      </c>
      <c r="AH21">
        <f>SMALL('Iter No Test'!$N$9:$N$208,19)</f>
        <v>101.59944521168175</v>
      </c>
      <c r="AI21">
        <f>1/(COUNT('Iter No Test'!$N$9:$N$208)-1)+$AI$20</f>
        <v>9.0452261306532639E-2</v>
      </c>
      <c r="AK21">
        <f>SMALL('Iter No Test'!$Q$9:$Q$508,19)</f>
        <v>78.380241683156541</v>
      </c>
      <c r="AL21">
        <f>1/(COUNT('Iter No Test'!$Q$9:$Q$508)-1)+$AL$20</f>
        <v>3.6072144288577149E-2</v>
      </c>
      <c r="AN21">
        <f>SMALL('Iter No Test'!$T$9:$T$1008,19)</f>
        <v>50.512568979517553</v>
      </c>
      <c r="AO21">
        <f>1/(COUNT('Iter No Test'!$T$9:$T$1008)-1)+$AO$20</f>
        <v>1.8018018018018014E-2</v>
      </c>
      <c r="AQ21">
        <f>SMALL('Iter No Test'!$W$9:$W$5008,19)</f>
        <v>16.572561340708461</v>
      </c>
      <c r="AR21">
        <f>1/(COUNT('Iter No Test'!$W$9:$W$5008)-1)+$AR$20</f>
        <v>3.6007201440288071E-3</v>
      </c>
    </row>
    <row r="22" spans="1:44">
      <c r="A22">
        <v>14</v>
      </c>
      <c r="B22" s="1">
        <v>68.34753390582091</v>
      </c>
      <c r="D22">
        <v>14</v>
      </c>
      <c r="E22">
        <v>123.22894774025703</v>
      </c>
      <c r="G22">
        <v>14</v>
      </c>
      <c r="H22" s="1">
        <v>111.52733839789475</v>
      </c>
      <c r="J22">
        <v>14</v>
      </c>
      <c r="K22">
        <v>111.41293365368861</v>
      </c>
      <c r="M22">
        <v>14</v>
      </c>
      <c r="N22">
        <v>112.43123675546599</v>
      </c>
      <c r="P22">
        <v>14</v>
      </c>
      <c r="Q22">
        <v>88.716295415182998</v>
      </c>
      <c r="S22">
        <v>14</v>
      </c>
      <c r="T22">
        <v>165.62653850308618</v>
      </c>
      <c r="V22">
        <v>14</v>
      </c>
      <c r="W22">
        <v>56.325511759234558</v>
      </c>
      <c r="AB22">
        <f>SMALL('Iter No Test'!$H$9:$H$83,20)</f>
        <v>153.3356163747298</v>
      </c>
      <c r="AC22">
        <f>1/(COUNT('Iter No Test'!$H$9:$H$83)-1)+$AC$21</f>
        <v>0.2567567567567568</v>
      </c>
      <c r="AE22">
        <f>SMALL('Iter No Test'!$K$9:$K$108,20)</f>
        <v>135.451292767616</v>
      </c>
      <c r="AF22">
        <f>1/(COUNT('Iter No Test'!$K$9:$K$108)-1)+$AF$21</f>
        <v>0.19191919191919196</v>
      </c>
      <c r="AH22">
        <f>SMALL('Iter No Test'!$N$9:$N$208,20)</f>
        <v>102.4985418077808</v>
      </c>
      <c r="AI22">
        <f>1/(COUNT('Iter No Test'!$N$9:$N$208)-1)+$AI$21</f>
        <v>9.5477386934673336E-2</v>
      </c>
      <c r="AK22">
        <f>SMALL('Iter No Test'!$Q$9:$Q$508,20)</f>
        <v>80.748641376497162</v>
      </c>
      <c r="AL22">
        <f>1/(COUNT('Iter No Test'!$Q$9:$Q$508)-1)+$AL$21</f>
        <v>3.8076152304609215E-2</v>
      </c>
      <c r="AN22">
        <f>SMALL('Iter No Test'!$T$9:$T$1008,20)</f>
        <v>52.53070363477643</v>
      </c>
      <c r="AO22">
        <f>1/(COUNT('Iter No Test'!$T$9:$T$1008)-1)+$AO$21</f>
        <v>1.9019019019019014E-2</v>
      </c>
      <c r="AQ22">
        <f>SMALL('Iter No Test'!$W$9:$W$5008,20)</f>
        <v>18.700770844803472</v>
      </c>
      <c r="AR22">
        <f>1/(COUNT('Iter No Test'!$W$9:$W$5008)-1)+$AR$21</f>
        <v>3.8007601520304076E-3</v>
      </c>
    </row>
    <row r="23" spans="1:44">
      <c r="A23">
        <v>15</v>
      </c>
      <c r="B23" s="1">
        <v>227.71440979591875</v>
      </c>
      <c r="D23">
        <v>15</v>
      </c>
      <c r="E23">
        <v>164.78423816689894</v>
      </c>
      <c r="G23">
        <v>15</v>
      </c>
      <c r="H23" s="1">
        <v>130.77375444933784</v>
      </c>
      <c r="J23">
        <v>15</v>
      </c>
      <c r="K23">
        <v>202.14253551061302</v>
      </c>
      <c r="M23">
        <v>15</v>
      </c>
      <c r="N23">
        <v>133.72154315141438</v>
      </c>
      <c r="P23">
        <v>15</v>
      </c>
      <c r="Q23">
        <v>176.43458976583048</v>
      </c>
      <c r="S23">
        <v>15</v>
      </c>
      <c r="T23">
        <v>165.96484819568204</v>
      </c>
      <c r="V23">
        <v>15</v>
      </c>
      <c r="W23">
        <v>156.70838986620726</v>
      </c>
      <c r="AB23">
        <f>SMALL('Iter No Test'!$H$9:$H$83,21)</f>
        <v>153.38854785809127</v>
      </c>
      <c r="AC23">
        <f>1/(COUNT('Iter No Test'!$H$9:$H$83)-1)+$AC$22</f>
        <v>0.27027027027027029</v>
      </c>
      <c r="AE23">
        <f>SMALL('Iter No Test'!$K$9:$K$108,21)</f>
        <v>144.35726486110593</v>
      </c>
      <c r="AF23">
        <f>1/(COUNT('Iter No Test'!$K$9:$K$108)-1)+$AF$22</f>
        <v>0.20202020202020207</v>
      </c>
      <c r="AH23">
        <f>SMALL('Iter No Test'!$N$9:$N$208,21)</f>
        <v>105.99235730679459</v>
      </c>
      <c r="AI23">
        <f>1/(COUNT('Iter No Test'!$N$9:$N$208)-1)+$AI$22</f>
        <v>0.10050251256281403</v>
      </c>
      <c r="AK23">
        <f>SMALL('Iter No Test'!$Q$9:$Q$508,21)</f>
        <v>83.933840198968227</v>
      </c>
      <c r="AL23">
        <f>1/(COUNT('Iter No Test'!$Q$9:$Q$508)-1)+$AL$22</f>
        <v>4.0080160320641281E-2</v>
      </c>
      <c r="AN23">
        <f>SMALL('Iter No Test'!$T$9:$T$1008,21)</f>
        <v>52.900146109467073</v>
      </c>
      <c r="AO23">
        <f>1/(COUNT('Iter No Test'!$T$9:$T$1008)-1)+$AO$22</f>
        <v>2.0020020020020013E-2</v>
      </c>
      <c r="AQ23">
        <f>SMALL('Iter No Test'!$W$9:$W$5008,21)</f>
        <v>19.114779677326823</v>
      </c>
      <c r="AR23">
        <f>1/(COUNT('Iter No Test'!$W$9:$W$5008)-1)+$AR$22</f>
        <v>4.0008001600320081E-3</v>
      </c>
    </row>
    <row r="24" spans="1:44">
      <c r="A24">
        <v>16</v>
      </c>
      <c r="B24" s="1">
        <v>152.92226771653762</v>
      </c>
      <c r="D24">
        <v>16</v>
      </c>
      <c r="E24">
        <v>271.34006343073736</v>
      </c>
      <c r="G24">
        <v>16</v>
      </c>
      <c r="H24" s="1">
        <v>265.65304944151103</v>
      </c>
      <c r="J24">
        <v>16</v>
      </c>
      <c r="K24">
        <v>264.8146962547417</v>
      </c>
      <c r="M24">
        <v>16</v>
      </c>
      <c r="N24">
        <v>267.73550359346166</v>
      </c>
      <c r="P24">
        <v>16</v>
      </c>
      <c r="Q24">
        <v>177.18020369049341</v>
      </c>
      <c r="S24">
        <v>16</v>
      </c>
      <c r="T24">
        <v>203.75364101965954</v>
      </c>
      <c r="V24">
        <v>16</v>
      </c>
      <c r="W24">
        <v>142.59180019810265</v>
      </c>
      <c r="AB24">
        <f>SMALL('Iter No Test'!$H$9:$H$83,22)</f>
        <v>158.72526759648522</v>
      </c>
      <c r="AC24">
        <f>1/(COUNT('Iter No Test'!$H$9:$H$83)-1)+$AC$23</f>
        <v>0.28378378378378377</v>
      </c>
      <c r="AE24">
        <f>SMALL('Iter No Test'!$K$9:$K$108,22)</f>
        <v>147.15637696861205</v>
      </c>
      <c r="AF24">
        <f>1/(COUNT('Iter No Test'!$K$9:$K$108)-1)+$AF$23</f>
        <v>0.21212121212121218</v>
      </c>
      <c r="AH24">
        <f>SMALL('Iter No Test'!$N$9:$N$208,22)</f>
        <v>109.34361499501883</v>
      </c>
      <c r="AI24">
        <f>1/(COUNT('Iter No Test'!$N$9:$N$208)-1)+$AI$23</f>
        <v>0.10552763819095473</v>
      </c>
      <c r="AK24">
        <f>SMALL('Iter No Test'!$Q$9:$Q$508,22)</f>
        <v>84.894404619395118</v>
      </c>
      <c r="AL24">
        <f>1/(COUNT('Iter No Test'!$Q$9:$Q$508)-1)+$AL$23</f>
        <v>4.2084168336673347E-2</v>
      </c>
      <c r="AN24">
        <f>SMALL('Iter No Test'!$T$9:$T$1008,22)</f>
        <v>53.165076439788365</v>
      </c>
      <c r="AO24">
        <f>1/(COUNT('Iter No Test'!$T$9:$T$1008)-1)+$AO$23</f>
        <v>2.1021021021021012E-2</v>
      </c>
      <c r="AQ24">
        <f>SMALL('Iter No Test'!$W$9:$W$5008,22)</f>
        <v>21.584185751102424</v>
      </c>
      <c r="AR24">
        <f>1/(COUNT('Iter No Test'!$W$9:$W$5008)-1)+$AR$23</f>
        <v>4.2008401680336087E-3</v>
      </c>
    </row>
    <row r="25" spans="1:44">
      <c r="A25">
        <v>17</v>
      </c>
      <c r="B25" s="1">
        <v>112.03162448334538</v>
      </c>
      <c r="D25">
        <v>17</v>
      </c>
      <c r="E25">
        <v>256.66488026866409</v>
      </c>
      <c r="G25">
        <v>17</v>
      </c>
      <c r="H25" s="1">
        <v>323.10380967709352</v>
      </c>
      <c r="J25">
        <v>17</v>
      </c>
      <c r="K25">
        <v>232.05420372321038</v>
      </c>
      <c r="M25">
        <v>17</v>
      </c>
      <c r="N25">
        <v>289.0714818906207</v>
      </c>
      <c r="P25">
        <v>17</v>
      </c>
      <c r="Q25">
        <v>55.337093726379379</v>
      </c>
      <c r="S25">
        <v>17</v>
      </c>
      <c r="T25">
        <v>216.67084053068606</v>
      </c>
      <c r="V25">
        <v>17</v>
      </c>
      <c r="W25">
        <v>333.06166241910495</v>
      </c>
      <c r="AB25">
        <f>SMALL('Iter No Test'!$H$9:$H$83,23)</f>
        <v>160.95147150890062</v>
      </c>
      <c r="AC25">
        <f>1/(COUNT('Iter No Test'!$H$9:$H$83)-1)+$AC$24</f>
        <v>0.29729729729729726</v>
      </c>
      <c r="AE25">
        <f>SMALL('Iter No Test'!$K$9:$K$108,23)</f>
        <v>150.41522767995511</v>
      </c>
      <c r="AF25">
        <f>1/(COUNT('Iter No Test'!$K$9:$K$108)-1)+$AF$24</f>
        <v>0.22222222222222229</v>
      </c>
      <c r="AH25">
        <f>SMALL('Iter No Test'!$N$9:$N$208,23)</f>
        <v>112.43123675546599</v>
      </c>
      <c r="AI25">
        <f>1/(COUNT('Iter No Test'!$N$9:$N$208)-1)+$AI$24</f>
        <v>0.11055276381909543</v>
      </c>
      <c r="AK25">
        <f>SMALL('Iter No Test'!$Q$9:$Q$508,23)</f>
        <v>85.257349134275671</v>
      </c>
      <c r="AL25">
        <f>1/(COUNT('Iter No Test'!$Q$9:$Q$508)-1)+$AL$24</f>
        <v>4.4088176352705413E-2</v>
      </c>
      <c r="AN25">
        <f>SMALL('Iter No Test'!$T$9:$T$1008,23)</f>
        <v>53.932655004378205</v>
      </c>
      <c r="AO25">
        <f>1/(COUNT('Iter No Test'!$T$9:$T$1008)-1)+$AO$24</f>
        <v>2.2022022022022011E-2</v>
      </c>
      <c r="AQ25">
        <f>SMALL('Iter No Test'!$W$9:$W$5008,23)</f>
        <v>24.738352438364316</v>
      </c>
      <c r="AR25">
        <f>1/(COUNT('Iter No Test'!$W$9:$W$5008)-1)+$AR$24</f>
        <v>4.4008801760352092E-3</v>
      </c>
    </row>
    <row r="26" spans="1:44">
      <c r="A26">
        <v>18</v>
      </c>
      <c r="B26" s="1">
        <v>122.06748843480412</v>
      </c>
      <c r="D26">
        <v>18</v>
      </c>
      <c r="E26">
        <v>246.87477734988042</v>
      </c>
      <c r="G26">
        <v>18</v>
      </c>
      <c r="H26" s="1">
        <v>297.86108851720473</v>
      </c>
      <c r="J26">
        <v>18</v>
      </c>
      <c r="K26">
        <v>194.98759408159526</v>
      </c>
      <c r="M26">
        <v>18</v>
      </c>
      <c r="N26">
        <v>337.24380877520105</v>
      </c>
      <c r="P26">
        <v>18</v>
      </c>
      <c r="Q26">
        <v>245.84769305726073</v>
      </c>
      <c r="S26">
        <v>18</v>
      </c>
      <c r="T26">
        <v>247.01983801185756</v>
      </c>
      <c r="V26">
        <v>18</v>
      </c>
      <c r="W26">
        <v>218.95990569364631</v>
      </c>
      <c r="AB26">
        <f>SMALL('Iter No Test'!$H$9:$H$83,24)</f>
        <v>162.9147324067894</v>
      </c>
      <c r="AC26">
        <f>1/(COUNT('Iter No Test'!$H$9:$H$83)-1)+$AC$25</f>
        <v>0.31081081081081074</v>
      </c>
      <c r="AE26">
        <f>SMALL('Iter No Test'!$K$9:$K$108,24)</f>
        <v>151.84075205028711</v>
      </c>
      <c r="AF26">
        <f>1/(COUNT('Iter No Test'!$K$9:$K$108)-1)+$AF$25</f>
        <v>0.2323232323232324</v>
      </c>
      <c r="AH26">
        <f>SMALL('Iter No Test'!$N$9:$N$208,24)</f>
        <v>116.78100909288287</v>
      </c>
      <c r="AI26">
        <f>1/(COUNT('Iter No Test'!$N$9:$N$208)-1)+$AI$25</f>
        <v>0.11557788944723613</v>
      </c>
      <c r="AK26">
        <f>SMALL('Iter No Test'!$Q$9:$Q$508,24)</f>
        <v>87.114023912780993</v>
      </c>
      <c r="AL26">
        <f>1/(COUNT('Iter No Test'!$Q$9:$Q$508)-1)+$AL$25</f>
        <v>4.6092184368737479E-2</v>
      </c>
      <c r="AN26">
        <f>SMALL('Iter No Test'!$T$9:$T$1008,24)</f>
        <v>55.14683669339496</v>
      </c>
      <c r="AO26">
        <f>1/(COUNT('Iter No Test'!$T$9:$T$1008)-1)+$AO$25</f>
        <v>2.3023023023023011E-2</v>
      </c>
      <c r="AQ26">
        <f>SMALL('Iter No Test'!$W$9:$W$5008,24)</f>
        <v>26.158232728139083</v>
      </c>
      <c r="AR26">
        <f>1/(COUNT('Iter No Test'!$W$9:$W$5008)-1)+$AR$25</f>
        <v>4.6009201840368098E-3</v>
      </c>
    </row>
    <row r="27" spans="1:44">
      <c r="A27">
        <v>19</v>
      </c>
      <c r="B27" s="1">
        <v>306.37960749238766</v>
      </c>
      <c r="D27">
        <v>19</v>
      </c>
      <c r="E27">
        <v>268.98449175300982</v>
      </c>
      <c r="G27">
        <v>19</v>
      </c>
      <c r="H27" s="1">
        <v>8.6755667424252323</v>
      </c>
      <c r="J27">
        <v>19</v>
      </c>
      <c r="K27">
        <v>191.62453423183456</v>
      </c>
      <c r="M27">
        <v>19</v>
      </c>
      <c r="N27">
        <v>353.43263654838194</v>
      </c>
      <c r="P27">
        <v>19</v>
      </c>
      <c r="Q27">
        <v>233.86610880071839</v>
      </c>
      <c r="S27">
        <v>19</v>
      </c>
      <c r="T27">
        <v>320.25811301917383</v>
      </c>
      <c r="V27">
        <v>19</v>
      </c>
      <c r="W27">
        <v>229.93163886113581</v>
      </c>
      <c r="AB27">
        <f>SMALL('Iter No Test'!$H$9:$H$83,25)</f>
        <v>163.26436920657747</v>
      </c>
      <c r="AC27">
        <f>1/(COUNT('Iter No Test'!$H$9:$H$83)-1)+$AC$26</f>
        <v>0.32432432432432423</v>
      </c>
      <c r="AE27">
        <f>SMALL('Iter No Test'!$K$9:$K$108,25)</f>
        <v>152.23879421707031</v>
      </c>
      <c r="AF27">
        <f>1/(COUNT('Iter No Test'!$K$9:$K$108)-1)+$AF$26</f>
        <v>0.24242424242424251</v>
      </c>
      <c r="AH27">
        <f>SMALL('Iter No Test'!$N$9:$N$208,25)</f>
        <v>121.23678284585412</v>
      </c>
      <c r="AI27">
        <f>1/(COUNT('Iter No Test'!$N$9:$N$208)-1)+$AI$26</f>
        <v>0.12060301507537682</v>
      </c>
      <c r="AK27">
        <f>SMALL('Iter No Test'!$Q$9:$Q$508,25)</f>
        <v>87.740540760983606</v>
      </c>
      <c r="AL27">
        <f>1/(COUNT('Iter No Test'!$Q$9:$Q$508)-1)+$AL$26</f>
        <v>4.8096192384769546E-2</v>
      </c>
      <c r="AN27">
        <f>SMALL('Iter No Test'!$T$9:$T$1008,25)</f>
        <v>56.382774185963683</v>
      </c>
      <c r="AO27">
        <f>1/(COUNT('Iter No Test'!$T$9:$T$1008)-1)+$AO$26</f>
        <v>2.402402402402401E-2</v>
      </c>
      <c r="AQ27">
        <f>SMALL('Iter No Test'!$W$9:$W$5008,25)</f>
        <v>26.265799412891766</v>
      </c>
      <c r="AR27">
        <f>1/(COUNT('Iter No Test'!$W$9:$W$5008)-1)+$AR$26</f>
        <v>4.8009601920384103E-3</v>
      </c>
    </row>
    <row r="28" spans="1:44">
      <c r="A28">
        <v>20</v>
      </c>
      <c r="B28" s="1">
        <v>315.59744743698502</v>
      </c>
      <c r="D28">
        <v>20</v>
      </c>
      <c r="E28">
        <v>221.49700844302913</v>
      </c>
      <c r="G28">
        <v>20</v>
      </c>
      <c r="H28" s="1">
        <v>232.20024526176053</v>
      </c>
      <c r="J28">
        <v>20</v>
      </c>
      <c r="K28">
        <v>268.09923983113276</v>
      </c>
      <c r="M28">
        <v>20</v>
      </c>
      <c r="N28">
        <v>171.77022018093339</v>
      </c>
      <c r="P28">
        <v>20</v>
      </c>
      <c r="Q28">
        <v>240.06885229259146</v>
      </c>
      <c r="S28">
        <v>20</v>
      </c>
      <c r="T28">
        <v>372.97618641819531</v>
      </c>
      <c r="V28">
        <v>20</v>
      </c>
      <c r="W28">
        <v>203.55899398754366</v>
      </c>
      <c r="AB28">
        <f>SMALL('Iter No Test'!$H$9:$H$83,26)</f>
        <v>167.54256973187779</v>
      </c>
      <c r="AC28">
        <f>1/(COUNT('Iter No Test'!$H$9:$H$83)-1)+$AC$27</f>
        <v>0.33783783783783772</v>
      </c>
      <c r="AE28">
        <f>SMALL('Iter No Test'!$K$9:$K$108,26)</f>
        <v>152.68283533575979</v>
      </c>
      <c r="AF28">
        <f>1/(COUNT('Iter No Test'!$K$9:$K$108)-1)+$AF$27</f>
        <v>0.2525252525252526</v>
      </c>
      <c r="AH28">
        <f>SMALL('Iter No Test'!$N$9:$N$208,26)</f>
        <v>122.52204587991645</v>
      </c>
      <c r="AI28">
        <f>1/(COUNT('Iter No Test'!$N$9:$N$208)-1)+$AI$27</f>
        <v>0.12562814070351752</v>
      </c>
      <c r="AK28">
        <f>SMALL('Iter No Test'!$Q$9:$Q$508,26)</f>
        <v>88.698099921575874</v>
      </c>
      <c r="AL28">
        <f>1/(COUNT('Iter No Test'!$Q$9:$Q$508)-1)+$AL$27</f>
        <v>5.0100200400801612E-2</v>
      </c>
      <c r="AN28">
        <f>SMALL('Iter No Test'!$T$9:$T$1008,26)</f>
        <v>57.277265953336084</v>
      </c>
      <c r="AO28">
        <f>1/(COUNT('Iter No Test'!$T$9:$T$1008)-1)+$AO$27</f>
        <v>2.5025025025025009E-2</v>
      </c>
      <c r="AQ28">
        <f>SMALL('Iter No Test'!$W$9:$W$5008,26)</f>
        <v>26.268736637106542</v>
      </c>
      <c r="AR28">
        <f>1/(COUNT('Iter No Test'!$W$9:$W$5008)-1)+$AR$27</f>
        <v>5.0010002000400108E-3</v>
      </c>
    </row>
    <row r="29" spans="1:44">
      <c r="A29">
        <v>21</v>
      </c>
      <c r="B29" s="1">
        <v>198.58925154368984</v>
      </c>
      <c r="D29">
        <v>21</v>
      </c>
      <c r="E29">
        <v>101.68224089231938</v>
      </c>
      <c r="G29">
        <v>21</v>
      </c>
      <c r="H29" s="1">
        <v>175.19959045536851</v>
      </c>
      <c r="J29">
        <v>21</v>
      </c>
      <c r="K29">
        <v>32.729006717280626</v>
      </c>
      <c r="M29">
        <v>21</v>
      </c>
      <c r="N29">
        <v>237.7549405668604</v>
      </c>
      <c r="P29">
        <v>21</v>
      </c>
      <c r="Q29">
        <v>150.99988286131568</v>
      </c>
      <c r="S29">
        <v>21</v>
      </c>
      <c r="T29">
        <v>137.40535916541964</v>
      </c>
      <c r="V29">
        <v>21</v>
      </c>
      <c r="W29">
        <v>133.14581661934091</v>
      </c>
      <c r="AB29">
        <f>SMALL('Iter No Test'!$H$9:$H$83,27)</f>
        <v>170.28239027368693</v>
      </c>
      <c r="AC29">
        <f>1/(COUNT('Iter No Test'!$H$9:$H$83)-1)+$AC$28</f>
        <v>0.3513513513513512</v>
      </c>
      <c r="AE29">
        <f>SMALL('Iter No Test'!$K$9:$K$108,27)</f>
        <v>154.11108010610479</v>
      </c>
      <c r="AF29">
        <f>1/(COUNT('Iter No Test'!$K$9:$K$108)-1)+$AF$28</f>
        <v>0.26262626262626271</v>
      </c>
      <c r="AH29">
        <f>SMALL('Iter No Test'!$N$9:$N$208,27)</f>
        <v>124.85889020566802</v>
      </c>
      <c r="AI29">
        <f>1/(COUNT('Iter No Test'!$N$9:$N$208)-1)+$AI$28</f>
        <v>0.13065326633165822</v>
      </c>
      <c r="AK29">
        <f>SMALL('Iter No Test'!$Q$9:$Q$508,27)</f>
        <v>88.716295415182998</v>
      </c>
      <c r="AL29">
        <f>1/(COUNT('Iter No Test'!$Q$9:$Q$508)-1)+$AL$28</f>
        <v>5.2104208416833678E-2</v>
      </c>
      <c r="AN29">
        <f>SMALL('Iter No Test'!$T$9:$T$1008,27)</f>
        <v>57.465682388844058</v>
      </c>
      <c r="AO29">
        <f>1/(COUNT('Iter No Test'!$T$9:$T$1008)-1)+$AO$28</f>
        <v>2.6026026026026008E-2</v>
      </c>
      <c r="AQ29">
        <f>SMALL('Iter No Test'!$W$9:$W$5008,27)</f>
        <v>28.115944871217422</v>
      </c>
      <c r="AR29">
        <f>1/(COUNT('Iter No Test'!$W$9:$W$5008)-1)+$AR$28</f>
        <v>5.2010402080416114E-3</v>
      </c>
    </row>
    <row r="30" spans="1:44">
      <c r="A30">
        <v>22</v>
      </c>
      <c r="B30" s="1">
        <v>93.491178791757349</v>
      </c>
      <c r="D30">
        <v>22</v>
      </c>
      <c r="E30">
        <v>150.85022653564437</v>
      </c>
      <c r="G30">
        <v>22</v>
      </c>
      <c r="H30" s="1">
        <v>144.4407011332051</v>
      </c>
      <c r="J30">
        <v>22</v>
      </c>
      <c r="K30">
        <v>150.41522767995511</v>
      </c>
      <c r="M30">
        <v>22</v>
      </c>
      <c r="N30">
        <v>232.54672909221745</v>
      </c>
      <c r="P30">
        <v>22</v>
      </c>
      <c r="Q30">
        <v>259.59875312079004</v>
      </c>
      <c r="S30">
        <v>22</v>
      </c>
      <c r="T30">
        <v>362.89209935723261</v>
      </c>
      <c r="V30">
        <v>22</v>
      </c>
      <c r="W30">
        <v>375.45960371644378</v>
      </c>
      <c r="AB30">
        <f>SMALL('Iter No Test'!$H$9:$H$83,28)</f>
        <v>175.19959045536851</v>
      </c>
      <c r="AC30">
        <f>1/(COUNT('Iter No Test'!$H$9:$H$83)-1)+$AC$29</f>
        <v>0.36486486486486469</v>
      </c>
      <c r="AE30">
        <f>SMALL('Iter No Test'!$K$9:$K$108,28)</f>
        <v>154.49944339957273</v>
      </c>
      <c r="AF30">
        <f>1/(COUNT('Iter No Test'!$K$9:$K$108)-1)+$AF$29</f>
        <v>0.27272727272727282</v>
      </c>
      <c r="AH30">
        <f>SMALL('Iter No Test'!$N$9:$N$208,28)</f>
        <v>125.43978267379387</v>
      </c>
      <c r="AI30">
        <f>1/(COUNT('Iter No Test'!$N$9:$N$208)-1)+$AI$29</f>
        <v>0.13567839195979892</v>
      </c>
      <c r="AK30">
        <f>SMALL('Iter No Test'!$Q$9:$Q$508,28)</f>
        <v>91.246997752918261</v>
      </c>
      <c r="AL30">
        <f>1/(COUNT('Iter No Test'!$Q$9:$Q$508)-1)+$AL$29</f>
        <v>5.4108216432865744E-2</v>
      </c>
      <c r="AN30">
        <f>SMALL('Iter No Test'!$T$9:$T$1008,28)</f>
        <v>60.485985332276343</v>
      </c>
      <c r="AO30">
        <f>1/(COUNT('Iter No Test'!$T$9:$T$1008)-1)+$AO$29</f>
        <v>2.7027027027027008E-2</v>
      </c>
      <c r="AQ30">
        <f>SMALL('Iter No Test'!$W$9:$W$5008,28)</f>
        <v>28.610308963344067</v>
      </c>
      <c r="AR30">
        <f>1/(COUNT('Iter No Test'!$W$9:$W$5008)-1)+$AR$29</f>
        <v>5.4010802160432119E-3</v>
      </c>
    </row>
    <row r="31" spans="1:44">
      <c r="A31">
        <v>23</v>
      </c>
      <c r="B31" s="1">
        <v>323.97630561378082</v>
      </c>
      <c r="D31">
        <v>23</v>
      </c>
      <c r="E31">
        <v>224.92903541198356</v>
      </c>
      <c r="G31">
        <v>23</v>
      </c>
      <c r="H31" s="1">
        <v>120.11963124105421</v>
      </c>
      <c r="J31">
        <v>23</v>
      </c>
      <c r="K31">
        <v>216.55206383489735</v>
      </c>
      <c r="M31">
        <v>23</v>
      </c>
      <c r="N31">
        <v>42.428253111063299</v>
      </c>
      <c r="P31">
        <v>23</v>
      </c>
      <c r="Q31">
        <v>135.46493007040607</v>
      </c>
      <c r="S31">
        <v>23</v>
      </c>
      <c r="T31">
        <v>165.92587158127253</v>
      </c>
      <c r="V31">
        <v>23</v>
      </c>
      <c r="W31">
        <v>208.08381637923233</v>
      </c>
      <c r="AB31">
        <f>SMALL('Iter No Test'!$H$9:$H$83,29)</f>
        <v>175.71826091973585</v>
      </c>
      <c r="AC31">
        <f>1/(COUNT('Iter No Test'!$H$9:$H$83)-1)+$AC$30</f>
        <v>0.37837837837837818</v>
      </c>
      <c r="AE31">
        <f>SMALL('Iter No Test'!$K$9:$K$108,29)</f>
        <v>155.4446908278556</v>
      </c>
      <c r="AF31">
        <f>1/(COUNT('Iter No Test'!$K$9:$K$108)-1)+$AF$30</f>
        <v>0.28282828282828293</v>
      </c>
      <c r="AH31">
        <f>SMALL('Iter No Test'!$N$9:$N$208,29)</f>
        <v>125.4534910024218</v>
      </c>
      <c r="AI31">
        <f>1/(COUNT('Iter No Test'!$N$9:$N$208)-1)+$AI$30</f>
        <v>0.14070351758793961</v>
      </c>
      <c r="AK31">
        <f>SMALL('Iter No Test'!$Q$9:$Q$508,29)</f>
        <v>92.964403737241923</v>
      </c>
      <c r="AL31">
        <f>1/(COUNT('Iter No Test'!$Q$9:$Q$508)-1)+$AL$30</f>
        <v>5.611222444889781E-2</v>
      </c>
      <c r="AN31">
        <f>SMALL('Iter No Test'!$T$9:$T$1008,29)</f>
        <v>65.123018935655324</v>
      </c>
      <c r="AO31">
        <f>1/(COUNT('Iter No Test'!$T$9:$T$1008)-1)+$AO$30</f>
        <v>2.8028028028028007E-2</v>
      </c>
      <c r="AQ31">
        <f>SMALL('Iter No Test'!$W$9:$W$5008,29)</f>
        <v>28.883373759336209</v>
      </c>
      <c r="AR31">
        <f>1/(COUNT('Iter No Test'!$W$9:$W$5008)-1)+$AR$30</f>
        <v>5.6011202240448124E-3</v>
      </c>
    </row>
    <row r="32" spans="1:44">
      <c r="A32">
        <v>24</v>
      </c>
      <c r="B32" s="1">
        <v>251.43048596241348</v>
      </c>
      <c r="D32">
        <v>24</v>
      </c>
      <c r="E32">
        <v>52.641351137047593</v>
      </c>
      <c r="G32">
        <v>24</v>
      </c>
      <c r="H32" s="1">
        <v>112.59087790701504</v>
      </c>
      <c r="J32">
        <v>24</v>
      </c>
      <c r="K32">
        <v>133.32370747395896</v>
      </c>
      <c r="M32">
        <v>24</v>
      </c>
      <c r="N32">
        <v>109.34361499501883</v>
      </c>
      <c r="P32">
        <v>24</v>
      </c>
      <c r="Q32">
        <v>53.171746475597118</v>
      </c>
      <c r="S32">
        <v>24</v>
      </c>
      <c r="T32">
        <v>193.85019833589303</v>
      </c>
      <c r="V32">
        <v>24</v>
      </c>
      <c r="W32">
        <v>103.22655051512882</v>
      </c>
      <c r="AB32">
        <f>SMALL('Iter No Test'!$H$9:$H$83,30)</f>
        <v>177.41736216957779</v>
      </c>
      <c r="AC32">
        <f>1/(COUNT('Iter No Test'!$H$9:$H$83)-1)+$AC$31</f>
        <v>0.39189189189189166</v>
      </c>
      <c r="AE32">
        <f>SMALL('Iter No Test'!$K$9:$K$108,30)</f>
        <v>158.76515525812457</v>
      </c>
      <c r="AF32">
        <f>1/(COUNT('Iter No Test'!$K$9:$K$108)-1)+$AF$31</f>
        <v>0.29292929292929304</v>
      </c>
      <c r="AH32">
        <f>SMALL('Iter No Test'!$N$9:$N$208,30)</f>
        <v>127.19950001598707</v>
      </c>
      <c r="AI32">
        <f>1/(COUNT('Iter No Test'!$N$9:$N$208)-1)+$AI$31</f>
        <v>0.14572864321608031</v>
      </c>
      <c r="AK32">
        <f>SMALL('Iter No Test'!$Q$9:$Q$508,30)</f>
        <v>93.47633161771671</v>
      </c>
      <c r="AL32">
        <f>1/(COUNT('Iter No Test'!$Q$9:$Q$508)-1)+$AL$31</f>
        <v>5.8116232464929876E-2</v>
      </c>
      <c r="AN32">
        <f>SMALL('Iter No Test'!$T$9:$T$1008,30)</f>
        <v>66.241737410876297</v>
      </c>
      <c r="AO32">
        <f>1/(COUNT('Iter No Test'!$T$9:$T$1008)-1)+$AO$31</f>
        <v>2.9029029029029006E-2</v>
      </c>
      <c r="AQ32">
        <f>SMALL('Iter No Test'!$W$9:$W$5008,30)</f>
        <v>29.680922461449171</v>
      </c>
      <c r="AR32">
        <f>1/(COUNT('Iter No Test'!$W$9:$W$5008)-1)+$AR$31</f>
        <v>5.801160232046413E-3</v>
      </c>
    </row>
    <row r="33" spans="1:44">
      <c r="A33">
        <v>25</v>
      </c>
      <c r="B33" s="1">
        <v>132.47702966628762</v>
      </c>
      <c r="D33">
        <v>25</v>
      </c>
      <c r="E33">
        <v>339.74908049361267</v>
      </c>
      <c r="G33">
        <v>25</v>
      </c>
      <c r="H33" s="1">
        <v>363.58930766531626</v>
      </c>
      <c r="J33">
        <v>25</v>
      </c>
      <c r="K33">
        <v>276.76951655704983</v>
      </c>
      <c r="M33">
        <v>25</v>
      </c>
      <c r="N33">
        <v>243.14408520207382</v>
      </c>
      <c r="P33">
        <v>25</v>
      </c>
      <c r="Q33">
        <v>195.96202998781132</v>
      </c>
      <c r="S33">
        <v>25</v>
      </c>
      <c r="T33">
        <v>384.88296277765778</v>
      </c>
      <c r="V33">
        <v>25</v>
      </c>
      <c r="W33">
        <v>177.95563299466522</v>
      </c>
      <c r="AB33">
        <f>SMALL('Iter No Test'!$H$9:$H$83,31)</f>
        <v>187.1402277067898</v>
      </c>
      <c r="AC33">
        <f>1/(COUNT('Iter No Test'!$H$9:$H$83)-1)+$AC$32</f>
        <v>0.40540540540540515</v>
      </c>
      <c r="AE33">
        <f>SMALL('Iter No Test'!$K$9:$K$108,31)</f>
        <v>159.31279811721777</v>
      </c>
      <c r="AF33">
        <f>1/(COUNT('Iter No Test'!$K$9:$K$108)-1)+$AF$32</f>
        <v>0.30303030303030315</v>
      </c>
      <c r="AH33">
        <f>SMALL('Iter No Test'!$N$9:$N$208,31)</f>
        <v>127.54739547254971</v>
      </c>
      <c r="AI33">
        <f>1/(COUNT('Iter No Test'!$N$9:$N$208)-1)+$AI$32</f>
        <v>0.15075376884422101</v>
      </c>
      <c r="AK33">
        <f>SMALL('Iter No Test'!$Q$9:$Q$508,31)</f>
        <v>93.659187099534705</v>
      </c>
      <c r="AL33">
        <f>1/(COUNT('Iter No Test'!$Q$9:$Q$508)-1)+$AL$32</f>
        <v>6.0120240480961942E-2</v>
      </c>
      <c r="AN33">
        <f>SMALL('Iter No Test'!$T$9:$T$1008,31)</f>
        <v>66.67133275996909</v>
      </c>
      <c r="AO33">
        <f>1/(COUNT('Iter No Test'!$T$9:$T$1008)-1)+$AO$32</f>
        <v>3.0030030030030005E-2</v>
      </c>
      <c r="AQ33">
        <f>SMALL('Iter No Test'!$W$9:$W$5008,31)</f>
        <v>29.953301959133668</v>
      </c>
      <c r="AR33">
        <f>1/(COUNT('Iter No Test'!$W$9:$W$5008)-1)+$AR$32</f>
        <v>6.0012002400480135E-3</v>
      </c>
    </row>
    <row r="34" spans="1:44">
      <c r="D34">
        <v>26</v>
      </c>
      <c r="E34">
        <v>282.05398106316602</v>
      </c>
      <c r="G34">
        <v>26</v>
      </c>
      <c r="H34" s="1">
        <v>221.05318294375803</v>
      </c>
      <c r="J34">
        <v>26</v>
      </c>
      <c r="K34">
        <v>193.65139529469684</v>
      </c>
      <c r="M34">
        <v>26</v>
      </c>
      <c r="N34">
        <v>142.39936107420894</v>
      </c>
      <c r="P34">
        <v>26</v>
      </c>
      <c r="Q34">
        <v>215.30856053789179</v>
      </c>
      <c r="S34">
        <v>26</v>
      </c>
      <c r="T34">
        <v>217.35481329653697</v>
      </c>
      <c r="V34">
        <v>26</v>
      </c>
      <c r="W34">
        <v>185.92469232818536</v>
      </c>
      <c r="AB34">
        <f>SMALL('Iter No Test'!$H$9:$H$83,32)</f>
        <v>189.16966082159485</v>
      </c>
      <c r="AC34">
        <f>1/(COUNT('Iter No Test'!$H$9:$H$83)-1)+$AC$33</f>
        <v>0.41891891891891864</v>
      </c>
      <c r="AE34">
        <f>SMALL('Iter No Test'!$K$9:$K$108,32)</f>
        <v>159.38392075642463</v>
      </c>
      <c r="AF34">
        <f>1/(COUNT('Iter No Test'!$K$9:$K$108)-1)+$AF$33</f>
        <v>0.31313131313131326</v>
      </c>
      <c r="AH34">
        <f>SMALL('Iter No Test'!$N$9:$N$208,32)</f>
        <v>128.35141068105096</v>
      </c>
      <c r="AI34">
        <f>1/(COUNT('Iter No Test'!$N$9:$N$208)-1)+$AI$33</f>
        <v>0.15577889447236171</v>
      </c>
      <c r="AK34">
        <f>SMALL('Iter No Test'!$Q$9:$Q$508,32)</f>
        <v>93.936941018803637</v>
      </c>
      <c r="AL34">
        <f>1/(COUNT('Iter No Test'!$Q$9:$Q$508)-1)+$AL$33</f>
        <v>6.2124248496994008E-2</v>
      </c>
      <c r="AN34">
        <f>SMALL('Iter No Test'!$T$9:$T$1008,32)</f>
        <v>67.029054598891349</v>
      </c>
      <c r="AO34">
        <f>1/(COUNT('Iter No Test'!$T$9:$T$1008)-1)+$AO$33</f>
        <v>3.1031031031031005E-2</v>
      </c>
      <c r="AQ34">
        <f>SMALL('Iter No Test'!$W$9:$W$5008,32)</f>
        <v>30.151783000502604</v>
      </c>
      <c r="AR34">
        <f>1/(COUNT('Iter No Test'!$W$9:$W$5008)-1)+$AR$33</f>
        <v>6.2012402480496141E-3</v>
      </c>
    </row>
    <row r="35" spans="1:44">
      <c r="D35">
        <v>27</v>
      </c>
      <c r="E35">
        <v>261.34907928146094</v>
      </c>
      <c r="G35">
        <v>27</v>
      </c>
      <c r="H35" s="1">
        <v>206.92185255594171</v>
      </c>
      <c r="J35">
        <v>27</v>
      </c>
      <c r="K35">
        <v>129.81674309942261</v>
      </c>
      <c r="M35">
        <v>27</v>
      </c>
      <c r="N35">
        <v>199.06871535669563</v>
      </c>
      <c r="P35">
        <v>27</v>
      </c>
      <c r="Q35">
        <v>208.49641019083455</v>
      </c>
      <c r="S35">
        <v>27</v>
      </c>
      <c r="T35">
        <v>207.95593873495136</v>
      </c>
      <c r="V35">
        <v>27</v>
      </c>
      <c r="W35">
        <v>207.12902231406017</v>
      </c>
      <c r="AB35">
        <f>SMALL('Iter No Test'!$H$9:$H$83,33)</f>
        <v>190.89153956271463</v>
      </c>
      <c r="AC35">
        <f>1/(COUNT('Iter No Test'!$H$9:$H$83)-1)+$AC$34</f>
        <v>0.43243243243243212</v>
      </c>
      <c r="AE35">
        <f>SMALL('Iter No Test'!$K$9:$K$108,33)</f>
        <v>160.24010424886791</v>
      </c>
      <c r="AF35">
        <f>1/(COUNT('Iter No Test'!$K$9:$K$108)-1)+$AF$34</f>
        <v>0.32323232323232337</v>
      </c>
      <c r="AH35">
        <f>SMALL('Iter No Test'!$N$9:$N$208,33)</f>
        <v>128.60611509264569</v>
      </c>
      <c r="AI35">
        <f>1/(COUNT('Iter No Test'!$N$9:$N$208)-1)+$AI$34</f>
        <v>0.1608040201005024</v>
      </c>
      <c r="AK35">
        <f>SMALL('Iter No Test'!$Q$9:$Q$508,33)</f>
        <v>93.969534975743159</v>
      </c>
      <c r="AL35">
        <f>1/(COUNT('Iter No Test'!$Q$9:$Q$508)-1)+$AL$34</f>
        <v>6.4128256513026075E-2</v>
      </c>
      <c r="AN35">
        <f>SMALL('Iter No Test'!$T$9:$T$1008,33)</f>
        <v>67.496100966626457</v>
      </c>
      <c r="AO35">
        <f>1/(COUNT('Iter No Test'!$T$9:$T$1008)-1)+$AO$34</f>
        <v>3.2032032032032004E-2</v>
      </c>
      <c r="AQ35">
        <f>SMALL('Iter No Test'!$W$9:$W$5008,33)</f>
        <v>30.353028290416148</v>
      </c>
      <c r="AR35">
        <f>1/(COUNT('Iter No Test'!$W$9:$W$5008)-1)+$AR$34</f>
        <v>6.4012802560512146E-3</v>
      </c>
    </row>
    <row r="36" spans="1:44">
      <c r="A36" t="s">
        <v>30</v>
      </c>
      <c r="B36" t="s">
        <v>31</v>
      </c>
      <c r="D36">
        <v>28</v>
      </c>
      <c r="E36">
        <v>168.96065628486235</v>
      </c>
      <c r="G36">
        <v>28</v>
      </c>
      <c r="H36" s="1">
        <v>257.04006442737386</v>
      </c>
      <c r="J36">
        <v>28</v>
      </c>
      <c r="K36">
        <v>155.4446908278556</v>
      </c>
      <c r="M36">
        <v>28</v>
      </c>
      <c r="N36">
        <v>175.03196354952581</v>
      </c>
      <c r="P36">
        <v>28</v>
      </c>
      <c r="Q36">
        <v>134.55526325707265</v>
      </c>
      <c r="S36">
        <v>28</v>
      </c>
      <c r="T36">
        <v>177.97862229556281</v>
      </c>
      <c r="V36">
        <v>28</v>
      </c>
      <c r="W36">
        <v>183.64801812841307</v>
      </c>
      <c r="AB36">
        <f>SMALL('Iter No Test'!$H$9:$H$83,34)</f>
        <v>194.51087063189556</v>
      </c>
      <c r="AC36">
        <f>1/(COUNT('Iter No Test'!$H$9:$H$83)-1)+$AC$35</f>
        <v>0.44594594594594561</v>
      </c>
      <c r="AE36">
        <f>SMALL('Iter No Test'!$K$9:$K$108,34)</f>
        <v>167.43050495232595</v>
      </c>
      <c r="AF36">
        <f>1/(COUNT('Iter No Test'!$K$9:$K$108)-1)+$AF$35</f>
        <v>0.33333333333333348</v>
      </c>
      <c r="AH36">
        <f>SMALL('Iter No Test'!$N$9:$N$208,34)</f>
        <v>133.72154315141438</v>
      </c>
      <c r="AI36">
        <f>1/(COUNT('Iter No Test'!$N$9:$N$208)-1)+$AI$35</f>
        <v>0.1658291457286431</v>
      </c>
      <c r="AK36">
        <f>SMALL('Iter No Test'!$Q$9:$Q$508,34)</f>
        <v>94.323276804236116</v>
      </c>
      <c r="AL36">
        <f>1/(COUNT('Iter No Test'!$Q$9:$Q$508)-1)+$AL$35</f>
        <v>6.6132264529058141E-2</v>
      </c>
      <c r="AN36">
        <f>SMALL('Iter No Test'!$T$9:$T$1008,34)</f>
        <v>67.664168314352011</v>
      </c>
      <c r="AO36">
        <f>1/(COUNT('Iter No Test'!$T$9:$T$1008)-1)+$AO$35</f>
        <v>3.3033033033033003E-2</v>
      </c>
      <c r="AQ36">
        <f>SMALL('Iter No Test'!$W$9:$W$5008,34)</f>
        <v>30.759694456163771</v>
      </c>
      <c r="AR36">
        <f>1/(COUNT('Iter No Test'!$W$9:$W$5008)-1)+$AR$35</f>
        <v>6.6013202640528151E-3</v>
      </c>
    </row>
    <row r="37" spans="1:44">
      <c r="A37">
        <f>SMALL('Iter No Test'!$B$9:$B$33,1)</f>
        <v>68.34753390582091</v>
      </c>
      <c r="B37">
        <v>0</v>
      </c>
      <c r="D37">
        <v>29</v>
      </c>
      <c r="E37">
        <v>423.35009834277878</v>
      </c>
      <c r="G37">
        <v>29</v>
      </c>
      <c r="H37" s="1">
        <v>238.38208746862412</v>
      </c>
      <c r="J37">
        <v>29</v>
      </c>
      <c r="K37">
        <v>262.9878472946516</v>
      </c>
      <c r="M37">
        <v>29</v>
      </c>
      <c r="N37">
        <v>423.93271095799645</v>
      </c>
      <c r="P37">
        <v>29</v>
      </c>
      <c r="Q37">
        <v>183.01588581157586</v>
      </c>
      <c r="S37">
        <v>29</v>
      </c>
      <c r="T37">
        <v>166.86048759349421</v>
      </c>
      <c r="V37">
        <v>29</v>
      </c>
      <c r="W37">
        <v>243.19209853508886</v>
      </c>
      <c r="AB37">
        <f>SMALL('Iter No Test'!$H$9:$H$83,35)</f>
        <v>198.62006037258556</v>
      </c>
      <c r="AC37">
        <f>1/(COUNT('Iter No Test'!$H$9:$H$83)-1)+$AC$36</f>
        <v>0.4594594594594591</v>
      </c>
      <c r="AE37">
        <f>SMALL('Iter No Test'!$K$9:$K$108,35)</f>
        <v>171.20224203535926</v>
      </c>
      <c r="AF37">
        <f>1/(COUNT('Iter No Test'!$K$9:$K$108)-1)+$AF$36</f>
        <v>0.34343434343434359</v>
      </c>
      <c r="AH37">
        <f>SMALL('Iter No Test'!$N$9:$N$208,35)</f>
        <v>137.3217957889299</v>
      </c>
      <c r="AI37">
        <f>1/(COUNT('Iter No Test'!$N$9:$N$208)-1)+$AI$36</f>
        <v>0.1708542713567838</v>
      </c>
      <c r="AK37">
        <f>SMALL('Iter No Test'!$Q$9:$Q$508,35)</f>
        <v>94.390238896279115</v>
      </c>
      <c r="AL37">
        <f>1/(COUNT('Iter No Test'!$Q$9:$Q$508)-1)+$AL$36</f>
        <v>6.8136272545090207E-2</v>
      </c>
      <c r="AN37">
        <f>SMALL('Iter No Test'!$T$9:$T$1008,35)</f>
        <v>68.248570302739267</v>
      </c>
      <c r="AO37">
        <f>1/(COUNT('Iter No Test'!$T$9:$T$1008)-1)+$AO$36</f>
        <v>3.4034034034034003E-2</v>
      </c>
      <c r="AQ37">
        <f>SMALL('Iter No Test'!$W$9:$W$5008,35)</f>
        <v>30.89743587239272</v>
      </c>
      <c r="AR37">
        <f>1/(COUNT('Iter No Test'!$W$9:$W$5008)-1)+$AR$36</f>
        <v>6.8013602720544157E-3</v>
      </c>
    </row>
    <row r="38" spans="1:44">
      <c r="A38">
        <f>SMALL('Iter No Test'!$B$9:$B$33,2)</f>
        <v>93.491178791757349</v>
      </c>
      <c r="B38">
        <f>1/(COUNT('Iter No Test'!$B$9:$B$33)-1)+$B$37</f>
        <v>4.1666666666666664E-2</v>
      </c>
      <c r="D38">
        <v>30</v>
      </c>
      <c r="E38">
        <v>114.82770462912644</v>
      </c>
      <c r="G38">
        <v>30</v>
      </c>
      <c r="H38" s="1">
        <v>152.60576484572084</v>
      </c>
      <c r="J38">
        <v>30</v>
      </c>
      <c r="K38">
        <v>239.17690021278221</v>
      </c>
      <c r="M38">
        <v>30</v>
      </c>
      <c r="N38">
        <v>349.22495654454451</v>
      </c>
      <c r="P38">
        <v>30</v>
      </c>
      <c r="Q38">
        <v>206.57603157406024</v>
      </c>
      <c r="S38">
        <v>30</v>
      </c>
      <c r="T38">
        <v>206.20063638546</v>
      </c>
      <c r="V38">
        <v>30</v>
      </c>
      <c r="W38">
        <v>219.80650189464586</v>
      </c>
      <c r="AB38">
        <f>SMALL('Iter No Test'!$H$9:$H$83,36)</f>
        <v>202.53959008953979</v>
      </c>
      <c r="AC38">
        <f>1/(COUNT('Iter No Test'!$H$9:$H$83)-1)+$AC$37</f>
        <v>0.47297297297297258</v>
      </c>
      <c r="AE38">
        <f>SMALL('Iter No Test'!$K$9:$K$108,36)</f>
        <v>178.53302239687184</v>
      </c>
      <c r="AF38">
        <f>1/(COUNT('Iter No Test'!$K$9:$K$108)-1)+$AF$37</f>
        <v>0.3535353535353537</v>
      </c>
      <c r="AH38">
        <f>SMALL('Iter No Test'!$N$9:$N$208,36)</f>
        <v>138.46036116755991</v>
      </c>
      <c r="AI38">
        <f>1/(COUNT('Iter No Test'!$N$9:$N$208)-1)+$AI$37</f>
        <v>0.1758793969849245</v>
      </c>
      <c r="AK38">
        <f>SMALL('Iter No Test'!$Q$9:$Q$508,36)</f>
        <v>94.78633910677263</v>
      </c>
      <c r="AL38">
        <f>1/(COUNT('Iter No Test'!$Q$9:$Q$508)-1)+$AL$37</f>
        <v>7.0140280561122273E-2</v>
      </c>
      <c r="AN38">
        <f>SMALL('Iter No Test'!$T$9:$T$1008,36)</f>
        <v>68.328614172469301</v>
      </c>
      <c r="AO38">
        <f>1/(COUNT('Iter No Test'!$T$9:$T$1008)-1)+$AO$37</f>
        <v>3.5035035035035002E-2</v>
      </c>
      <c r="AQ38">
        <f>SMALL('Iter No Test'!$W$9:$W$5008,36)</f>
        <v>31.167079807533767</v>
      </c>
      <c r="AR38">
        <f>1/(COUNT('Iter No Test'!$W$9:$W$5008)-1)+$AR$37</f>
        <v>7.0014002800560162E-3</v>
      </c>
    </row>
    <row r="39" spans="1:44">
      <c r="A39">
        <f>SMALL('Iter No Test'!$B$9:$B$33,3)</f>
        <v>110.17333921780923</v>
      </c>
      <c r="B39">
        <f>1/(COUNT('Iter No Test'!$B$9:$B$33)-1)+$B$38</f>
        <v>8.3333333333333329E-2</v>
      </c>
      <c r="D39">
        <v>31</v>
      </c>
      <c r="E39">
        <v>167.27397331408102</v>
      </c>
      <c r="G39">
        <v>31</v>
      </c>
      <c r="H39" s="1">
        <v>111.53850172841754</v>
      </c>
      <c r="J39">
        <v>31</v>
      </c>
      <c r="K39">
        <v>187.98585567507348</v>
      </c>
      <c r="M39">
        <v>31</v>
      </c>
      <c r="N39">
        <v>202.02659006027244</v>
      </c>
      <c r="P39">
        <v>31</v>
      </c>
      <c r="Q39">
        <v>174.66782502910215</v>
      </c>
      <c r="S39">
        <v>31</v>
      </c>
      <c r="T39">
        <v>240.32311862018861</v>
      </c>
      <c r="V39">
        <v>31</v>
      </c>
      <c r="W39">
        <v>71.496033399720474</v>
      </c>
      <c r="AB39">
        <f>SMALL('Iter No Test'!$H$9:$H$83,37)</f>
        <v>204.99411035678588</v>
      </c>
      <c r="AC39">
        <f>1/(COUNT('Iter No Test'!$H$9:$H$83)-1)+$AC$38</f>
        <v>0.48648648648648607</v>
      </c>
      <c r="AE39">
        <f>SMALL('Iter No Test'!$K$9:$K$108,37)</f>
        <v>179.28005258300183</v>
      </c>
      <c r="AF39">
        <f>1/(COUNT('Iter No Test'!$K$9:$K$108)-1)+$AF$38</f>
        <v>0.36363636363636381</v>
      </c>
      <c r="AH39">
        <f>SMALL('Iter No Test'!$N$9:$N$208,37)</f>
        <v>138.59405923409179</v>
      </c>
      <c r="AI39">
        <f>1/(COUNT('Iter No Test'!$N$9:$N$208)-1)+$AI$38</f>
        <v>0.18090452261306519</v>
      </c>
      <c r="AK39">
        <f>SMALL('Iter No Test'!$Q$9:$Q$508,37)</f>
        <v>95.350988512546337</v>
      </c>
      <c r="AL39">
        <f>1/(COUNT('Iter No Test'!$Q$9:$Q$508)-1)+$AL$38</f>
        <v>7.2144288577154339E-2</v>
      </c>
      <c r="AN39">
        <f>SMALL('Iter No Test'!$T$9:$T$1008,37)</f>
        <v>68.37920356249748</v>
      </c>
      <c r="AO39">
        <f>1/(COUNT('Iter No Test'!$T$9:$T$1008)-1)+$AO$38</f>
        <v>3.6036036036036001E-2</v>
      </c>
      <c r="AQ39">
        <f>SMALL('Iter No Test'!$W$9:$W$5008,37)</f>
        <v>32.123352950117891</v>
      </c>
      <c r="AR39">
        <f>1/(COUNT('Iter No Test'!$W$9:$W$5008)-1)+$AR$38</f>
        <v>7.2014402880576167E-3</v>
      </c>
    </row>
    <row r="40" spans="1:44">
      <c r="A40">
        <f>SMALL('Iter No Test'!$B$9:$B$33,4)</f>
        <v>111.00015379127072</v>
      </c>
      <c r="B40">
        <f>1/(COUNT('Iter No Test'!$B$9:$B$33)-1)+$B$39</f>
        <v>0.125</v>
      </c>
      <c r="D40">
        <v>32</v>
      </c>
      <c r="E40">
        <v>162.95629055781455</v>
      </c>
      <c r="G40">
        <v>32</v>
      </c>
      <c r="H40" s="1">
        <v>111.9427465373446</v>
      </c>
      <c r="J40">
        <v>32</v>
      </c>
      <c r="K40">
        <v>159.31279811721777</v>
      </c>
      <c r="M40">
        <v>32</v>
      </c>
      <c r="N40">
        <v>190.1571615211686</v>
      </c>
      <c r="P40">
        <v>32</v>
      </c>
      <c r="Q40">
        <v>129.76317474354866</v>
      </c>
      <c r="S40">
        <v>32</v>
      </c>
      <c r="T40">
        <v>182.44068903301169</v>
      </c>
      <c r="V40">
        <v>32</v>
      </c>
      <c r="W40">
        <v>177.80663343222838</v>
      </c>
      <c r="AB40">
        <f>SMALL('Iter No Test'!$H$9:$H$83,38)</f>
        <v>206.92185255594171</v>
      </c>
      <c r="AC40">
        <f>1/(COUNT('Iter No Test'!$H$9:$H$83)-1)+$AC$39</f>
        <v>0.49999999999999956</v>
      </c>
      <c r="AE40">
        <f>SMALL('Iter No Test'!$K$9:$K$108,38)</f>
        <v>184.4655610623667</v>
      </c>
      <c r="AF40">
        <f>1/(COUNT('Iter No Test'!$K$9:$K$108)-1)+$AF$39</f>
        <v>0.37373737373737392</v>
      </c>
      <c r="AH40">
        <f>SMALL('Iter No Test'!$N$9:$N$208,38)</f>
        <v>139.80129360899133</v>
      </c>
      <c r="AI40">
        <f>1/(COUNT('Iter No Test'!$N$9:$N$208)-1)+$AI$39</f>
        <v>0.18592964824120589</v>
      </c>
      <c r="AK40">
        <f>SMALL('Iter No Test'!$Q$9:$Q$508,38)</f>
        <v>96.308994822186321</v>
      </c>
      <c r="AL40">
        <f>1/(COUNT('Iter No Test'!$Q$9:$Q$508)-1)+$AL$39</f>
        <v>7.4148296593186405E-2</v>
      </c>
      <c r="AN40">
        <f>SMALL('Iter No Test'!$T$9:$T$1008,38)</f>
        <v>68.522027051511415</v>
      </c>
      <c r="AO40">
        <f>1/(COUNT('Iter No Test'!$T$9:$T$1008)-1)+$AO$39</f>
        <v>3.7037037037037E-2</v>
      </c>
      <c r="AQ40">
        <f>SMALL('Iter No Test'!$W$9:$W$5008,38)</f>
        <v>32.242390066445054</v>
      </c>
      <c r="AR40">
        <f>1/(COUNT('Iter No Test'!$W$9:$W$5008)-1)+$AR$39</f>
        <v>7.4014802960592173E-3</v>
      </c>
    </row>
    <row r="41" spans="1:44">
      <c r="A41">
        <f>SMALL('Iter No Test'!$B$9:$B$33,5)</f>
        <v>112.03162448334538</v>
      </c>
      <c r="B41">
        <f>1/(COUNT('Iter No Test'!$B$9:$B$33)-1)+$B$40</f>
        <v>0.16666666666666666</v>
      </c>
      <c r="D41">
        <v>33</v>
      </c>
      <c r="E41">
        <v>183.11531613479661</v>
      </c>
      <c r="G41">
        <v>33</v>
      </c>
      <c r="H41" s="1">
        <v>256.02799438198713</v>
      </c>
      <c r="J41">
        <v>33</v>
      </c>
      <c r="K41">
        <v>109.88288230794136</v>
      </c>
      <c r="M41">
        <v>33</v>
      </c>
      <c r="N41">
        <v>139.80129360899133</v>
      </c>
      <c r="P41">
        <v>33</v>
      </c>
      <c r="Q41">
        <v>232.14284655336974</v>
      </c>
      <c r="S41">
        <v>33</v>
      </c>
      <c r="T41">
        <v>122.03264225206028</v>
      </c>
      <c r="V41">
        <v>33</v>
      </c>
      <c r="W41">
        <v>131.57558830464751</v>
      </c>
      <c r="AB41">
        <f>SMALL('Iter No Test'!$H$9:$H$83,39)</f>
        <v>216.42482218484594</v>
      </c>
      <c r="AC41">
        <f>1/(COUNT('Iter No Test'!$H$9:$H$83)-1)+$AC$40</f>
        <v>0.51351351351351304</v>
      </c>
      <c r="AE41">
        <f>SMALL('Iter No Test'!$K$9:$K$108,39)</f>
        <v>187.98585567507348</v>
      </c>
      <c r="AF41">
        <f>1/(COUNT('Iter No Test'!$K$9:$K$108)-1)+$AF$40</f>
        <v>0.38383838383838403</v>
      </c>
      <c r="AH41">
        <f>SMALL('Iter No Test'!$N$9:$N$208,39)</f>
        <v>139.91682866380151</v>
      </c>
      <c r="AI41">
        <f>1/(COUNT('Iter No Test'!$N$9:$N$208)-1)+$AI$40</f>
        <v>0.19095477386934659</v>
      </c>
      <c r="AK41">
        <f>SMALL('Iter No Test'!$Q$9:$Q$508,39)</f>
        <v>97.869642427696078</v>
      </c>
      <c r="AL41">
        <f>1/(COUNT('Iter No Test'!$Q$9:$Q$508)-1)+$AL$40</f>
        <v>7.6152304609218471E-2</v>
      </c>
      <c r="AN41">
        <f>SMALL('Iter No Test'!$T$9:$T$1008,39)</f>
        <v>70.68604736800836</v>
      </c>
      <c r="AO41">
        <f>1/(COUNT('Iter No Test'!$T$9:$T$1008)-1)+$AO$40</f>
        <v>3.8038038038038E-2</v>
      </c>
      <c r="AQ41">
        <f>SMALL('Iter No Test'!$W$9:$W$5008,39)</f>
        <v>32.868153165706616</v>
      </c>
      <c r="AR41">
        <f>1/(COUNT('Iter No Test'!$W$9:$W$5008)-1)+$AR$40</f>
        <v>7.6015203040608178E-3</v>
      </c>
    </row>
    <row r="42" spans="1:44">
      <c r="A42">
        <f>SMALL('Iter No Test'!$B$9:$B$33,6)</f>
        <v>122.06748843480412</v>
      </c>
      <c r="B42">
        <f>1/(COUNT('Iter No Test'!$B$9:$B$33)-1)+$B$41</f>
        <v>0.20833333333333331</v>
      </c>
      <c r="D42">
        <v>34</v>
      </c>
      <c r="E42">
        <v>333.25618861141788</v>
      </c>
      <c r="G42">
        <v>34</v>
      </c>
      <c r="H42" s="1">
        <v>405.52521633779122</v>
      </c>
      <c r="J42">
        <v>34</v>
      </c>
      <c r="K42">
        <v>312.66898314766348</v>
      </c>
      <c r="M42">
        <v>34</v>
      </c>
      <c r="N42">
        <v>397.04018216543119</v>
      </c>
      <c r="P42">
        <v>34</v>
      </c>
      <c r="Q42">
        <v>213.85246356055561</v>
      </c>
      <c r="S42">
        <v>34</v>
      </c>
      <c r="T42">
        <v>93.769860184290479</v>
      </c>
      <c r="V42">
        <v>34</v>
      </c>
      <c r="W42">
        <v>343.89659798366449</v>
      </c>
      <c r="AB42">
        <f>SMALL('Iter No Test'!$H$9:$H$83,40)</f>
        <v>216.93517432393733</v>
      </c>
      <c r="AC42">
        <f>1/(COUNT('Iter No Test'!$H$9:$H$83)-1)+$AC$41</f>
        <v>0.52702702702702653</v>
      </c>
      <c r="AE42">
        <f>SMALL('Iter No Test'!$K$9:$K$108,40)</f>
        <v>190.47676235490638</v>
      </c>
      <c r="AF42">
        <f>1/(COUNT('Iter No Test'!$K$9:$K$108)-1)+$AF$41</f>
        <v>0.39393939393939414</v>
      </c>
      <c r="AH42">
        <f>SMALL('Iter No Test'!$N$9:$N$208,40)</f>
        <v>142.39936107420894</v>
      </c>
      <c r="AI42">
        <f>1/(COUNT('Iter No Test'!$N$9:$N$208)-1)+$AI$41</f>
        <v>0.19597989949748729</v>
      </c>
      <c r="AK42">
        <f>SMALL('Iter No Test'!$Q$9:$Q$508,40)</f>
        <v>98.033603131876504</v>
      </c>
      <c r="AL42">
        <f>1/(COUNT('Iter No Test'!$Q$9:$Q$508)-1)+$AL$41</f>
        <v>7.8156312625250537E-2</v>
      </c>
      <c r="AN42">
        <f>SMALL('Iter No Test'!$T$9:$T$1008,40)</f>
        <v>71.358761776374166</v>
      </c>
      <c r="AO42">
        <f>1/(COUNT('Iter No Test'!$T$9:$T$1008)-1)+$AO$41</f>
        <v>3.9039039039038999E-2</v>
      </c>
      <c r="AQ42">
        <f>SMALL('Iter No Test'!$W$9:$W$5008,40)</f>
        <v>33.547854777038239</v>
      </c>
      <c r="AR42">
        <f>1/(COUNT('Iter No Test'!$W$9:$W$5008)-1)+$AR$41</f>
        <v>7.8015603120624184E-3</v>
      </c>
    </row>
    <row r="43" spans="1:44">
      <c r="A43">
        <f>SMALL('Iter No Test'!$B$9:$B$33,7)</f>
        <v>132.47702966628762</v>
      </c>
      <c r="B43">
        <f>1/(COUNT('Iter No Test'!$B$9:$B$33)-1)+$B$42</f>
        <v>0.24999999999999997</v>
      </c>
      <c r="D43">
        <v>35</v>
      </c>
      <c r="E43">
        <v>204.65723902970484</v>
      </c>
      <c r="G43">
        <v>35</v>
      </c>
      <c r="H43" s="1">
        <v>299.25493392224439</v>
      </c>
      <c r="J43">
        <v>35</v>
      </c>
      <c r="K43">
        <v>317.55634873375493</v>
      </c>
      <c r="M43">
        <v>35</v>
      </c>
      <c r="N43">
        <v>306.25032134821026</v>
      </c>
      <c r="P43">
        <v>35</v>
      </c>
      <c r="Q43">
        <v>93.659187099534705</v>
      </c>
      <c r="S43">
        <v>35</v>
      </c>
      <c r="T43">
        <v>227.37568525666973</v>
      </c>
      <c r="V43">
        <v>35</v>
      </c>
      <c r="W43">
        <v>219.5757800830296</v>
      </c>
      <c r="AB43">
        <f>SMALL('Iter No Test'!$H$9:$H$83,41)</f>
        <v>217.85311077964607</v>
      </c>
      <c r="AC43">
        <f>1/(COUNT('Iter No Test'!$H$9:$H$83)-1)+$AC$42</f>
        <v>0.54054054054054002</v>
      </c>
      <c r="AE43">
        <f>SMALL('Iter No Test'!$K$9:$K$108,41)</f>
        <v>191.62453423183456</v>
      </c>
      <c r="AF43">
        <f>1/(COUNT('Iter No Test'!$K$9:$K$108)-1)+$AF$42</f>
        <v>0.40404040404040426</v>
      </c>
      <c r="AH43">
        <f>SMALL('Iter No Test'!$N$9:$N$208,41)</f>
        <v>143.03209945154825</v>
      </c>
      <c r="AI43">
        <f>1/(COUNT('Iter No Test'!$N$9:$N$208)-1)+$AI$42</f>
        <v>0.20100502512562798</v>
      </c>
      <c r="AK43">
        <f>SMALL('Iter No Test'!$Q$9:$Q$508,41)</f>
        <v>100.73425017457367</v>
      </c>
      <c r="AL43">
        <f>1/(COUNT('Iter No Test'!$Q$9:$Q$508)-1)+$AL$42</f>
        <v>8.0160320641282604E-2</v>
      </c>
      <c r="AN43">
        <f>SMALL('Iter No Test'!$T$9:$T$1008,41)</f>
        <v>72.539514212666205</v>
      </c>
      <c r="AO43">
        <f>1/(COUNT('Iter No Test'!$T$9:$T$1008)-1)+$AO$42</f>
        <v>4.0040040040039998E-2</v>
      </c>
      <c r="AQ43">
        <f>SMALL('Iter No Test'!$W$9:$W$5008,41)</f>
        <v>35.344116149723661</v>
      </c>
      <c r="AR43">
        <f>1/(COUNT('Iter No Test'!$W$9:$W$5008)-1)+$AR$42</f>
        <v>8.001600320064018E-3</v>
      </c>
    </row>
    <row r="44" spans="1:44">
      <c r="A44">
        <f>SMALL('Iter No Test'!$B$9:$B$33,8)</f>
        <v>136.07386689336892</v>
      </c>
      <c r="B44">
        <f>1/(COUNT('Iter No Test'!$B$9:$B$33)-1)+$B$43</f>
        <v>0.29166666666666663</v>
      </c>
      <c r="D44">
        <v>36</v>
      </c>
      <c r="E44">
        <v>96.882561002361427</v>
      </c>
      <c r="G44">
        <v>36</v>
      </c>
      <c r="H44" s="1">
        <v>160.95147150890062</v>
      </c>
      <c r="J44">
        <v>36</v>
      </c>
      <c r="K44">
        <v>121.26498639310583</v>
      </c>
      <c r="M44">
        <v>36</v>
      </c>
      <c r="N44">
        <v>124.85889020566802</v>
      </c>
      <c r="P44">
        <v>36</v>
      </c>
      <c r="Q44">
        <v>93.969534975743159</v>
      </c>
      <c r="S44">
        <v>36</v>
      </c>
      <c r="T44">
        <v>153.92967917537391</v>
      </c>
      <c r="V44">
        <v>36</v>
      </c>
      <c r="W44">
        <v>185.83205155481588</v>
      </c>
      <c r="AB44">
        <f>SMALL('Iter No Test'!$H$9:$H$83,42)</f>
        <v>217.92008917942724</v>
      </c>
      <c r="AC44">
        <f>1/(COUNT('Iter No Test'!$H$9:$H$83)-1)+$AC$43</f>
        <v>0.5540540540540535</v>
      </c>
      <c r="AE44">
        <f>SMALL('Iter No Test'!$K$9:$K$108,42)</f>
        <v>193.65139529469684</v>
      </c>
      <c r="AF44">
        <f>1/(COUNT('Iter No Test'!$K$9:$K$108)-1)+$AF$43</f>
        <v>0.41414141414141437</v>
      </c>
      <c r="AH44">
        <f>SMALL('Iter No Test'!$N$9:$N$208,42)</f>
        <v>144.3225214786099</v>
      </c>
      <c r="AI44">
        <f>1/(COUNT('Iter No Test'!$N$9:$N$208)-1)+$AI$43</f>
        <v>0.20603015075376868</v>
      </c>
      <c r="AK44">
        <f>SMALL('Iter No Test'!$Q$9:$Q$508,42)</f>
        <v>101.12095041240222</v>
      </c>
      <c r="AL44">
        <f>1/(COUNT('Iter No Test'!$Q$9:$Q$508)-1)+$AL$43</f>
        <v>8.216432865731467E-2</v>
      </c>
      <c r="AN44">
        <f>SMALL('Iter No Test'!$T$9:$T$1008,42)</f>
        <v>73.714632638345805</v>
      </c>
      <c r="AO44">
        <f>1/(COUNT('Iter No Test'!$T$9:$T$1008)-1)+$AO$43</f>
        <v>4.1041041041040997E-2</v>
      </c>
      <c r="AQ44">
        <f>SMALL('Iter No Test'!$W$9:$W$5008,42)</f>
        <v>35.640469691204032</v>
      </c>
      <c r="AR44">
        <f>1/(COUNT('Iter No Test'!$W$9:$W$5008)-1)+$AR$43</f>
        <v>8.2016403280656177E-3</v>
      </c>
    </row>
    <row r="45" spans="1:44">
      <c r="A45">
        <f>SMALL('Iter No Test'!$B$9:$B$33,9)</f>
        <v>152.92226771653762</v>
      </c>
      <c r="B45">
        <f>1/(COUNT('Iter No Test'!$B$9:$B$33)-1)+$B$44</f>
        <v>0.33333333333333331</v>
      </c>
      <c r="D45">
        <v>37</v>
      </c>
      <c r="E45">
        <v>253.05411364533231</v>
      </c>
      <c r="G45">
        <v>37</v>
      </c>
      <c r="H45" s="1">
        <v>131.35648112209532</v>
      </c>
      <c r="J45">
        <v>37</v>
      </c>
      <c r="K45">
        <v>323.61329911009193</v>
      </c>
      <c r="M45">
        <v>37</v>
      </c>
      <c r="N45">
        <v>291.32353634689639</v>
      </c>
      <c r="P45">
        <v>37</v>
      </c>
      <c r="Q45">
        <v>253.191780154648</v>
      </c>
      <c r="S45">
        <v>37</v>
      </c>
      <c r="T45">
        <v>301.72324295901922</v>
      </c>
      <c r="V45">
        <v>37</v>
      </c>
      <c r="W45">
        <v>367.47739471326031</v>
      </c>
      <c r="AB45">
        <f>SMALL('Iter No Test'!$H$9:$H$83,43)</f>
        <v>221.05318294375803</v>
      </c>
      <c r="AC45">
        <f>1/(COUNT('Iter No Test'!$H$9:$H$83)-1)+$AC$44</f>
        <v>0.56756756756756699</v>
      </c>
      <c r="AE45">
        <f>SMALL('Iter No Test'!$K$9:$K$108,43)</f>
        <v>194.98759408159526</v>
      </c>
      <c r="AF45">
        <f>1/(COUNT('Iter No Test'!$K$9:$K$108)-1)+$AF$44</f>
        <v>0.42424242424242448</v>
      </c>
      <c r="AH45">
        <f>SMALL('Iter No Test'!$N$9:$N$208,43)</f>
        <v>146.63940288217907</v>
      </c>
      <c r="AI45">
        <f>1/(COUNT('Iter No Test'!$N$9:$N$208)-1)+$AI$44</f>
        <v>0.21105527638190938</v>
      </c>
      <c r="AK45">
        <f>SMALL('Iter No Test'!$Q$9:$Q$508,43)</f>
        <v>101.20350832901616</v>
      </c>
      <c r="AL45">
        <f>1/(COUNT('Iter No Test'!$Q$9:$Q$508)-1)+$AL$44</f>
        <v>8.4168336673346736E-2</v>
      </c>
      <c r="AN45">
        <f>SMALL('Iter No Test'!$T$9:$T$1008,43)</f>
        <v>74.592520279876993</v>
      </c>
      <c r="AO45">
        <f>1/(COUNT('Iter No Test'!$T$9:$T$1008)-1)+$AO$44</f>
        <v>4.2042042042041997E-2</v>
      </c>
      <c r="AQ45">
        <f>SMALL('Iter No Test'!$W$9:$W$5008,43)</f>
        <v>36.076436087868871</v>
      </c>
      <c r="AR45">
        <f>1/(COUNT('Iter No Test'!$W$9:$W$5008)-1)+$AR$44</f>
        <v>8.4016803360672174E-3</v>
      </c>
    </row>
    <row r="46" spans="1:44">
      <c r="A46">
        <f>SMALL('Iter No Test'!$B$9:$B$33,10)</f>
        <v>198.58925154368984</v>
      </c>
      <c r="B46">
        <f>1/(COUNT('Iter No Test'!$B$9:$B$33)-1)+$B$45</f>
        <v>0.375</v>
      </c>
      <c r="D46">
        <v>38</v>
      </c>
      <c r="E46">
        <v>232.32353057857708</v>
      </c>
      <c r="G46">
        <v>38</v>
      </c>
      <c r="H46" s="1">
        <v>250.7043725685204</v>
      </c>
      <c r="J46">
        <v>38</v>
      </c>
      <c r="K46">
        <v>341.93587314072221</v>
      </c>
      <c r="M46">
        <v>38</v>
      </c>
      <c r="N46">
        <v>203.80115497955649</v>
      </c>
      <c r="P46">
        <v>38</v>
      </c>
      <c r="Q46">
        <v>252.40316015592913</v>
      </c>
      <c r="S46">
        <v>38</v>
      </c>
      <c r="T46">
        <v>303.45174126738925</v>
      </c>
      <c r="V46">
        <v>38</v>
      </c>
      <c r="W46">
        <v>275.18814468158479</v>
      </c>
      <c r="AB46">
        <f>SMALL('Iter No Test'!$H$9:$H$83,44)</f>
        <v>225.93702763013883</v>
      </c>
      <c r="AC46">
        <f>1/(COUNT('Iter No Test'!$H$9:$H$83)-1)+$AC$45</f>
        <v>0.58108108108108047</v>
      </c>
      <c r="AE46">
        <f>SMALL('Iter No Test'!$K$9:$K$108,44)</f>
        <v>197.55520886682373</v>
      </c>
      <c r="AF46">
        <f>1/(COUNT('Iter No Test'!$K$9:$K$108)-1)+$AF$45</f>
        <v>0.43434343434343459</v>
      </c>
      <c r="AH46">
        <f>SMALL('Iter No Test'!$N$9:$N$208,44)</f>
        <v>148.15585895767038</v>
      </c>
      <c r="AI46">
        <f>1/(COUNT('Iter No Test'!$N$9:$N$208)-1)+$AI$45</f>
        <v>0.21608040201005008</v>
      </c>
      <c r="AK46">
        <f>SMALL('Iter No Test'!$Q$9:$Q$508,44)</f>
        <v>101.36754993665163</v>
      </c>
      <c r="AL46">
        <f>1/(COUNT('Iter No Test'!$Q$9:$Q$508)-1)+$AL$45</f>
        <v>8.6172344689378802E-2</v>
      </c>
      <c r="AN46">
        <f>SMALL('Iter No Test'!$T$9:$T$1008,44)</f>
        <v>74.721329062227426</v>
      </c>
      <c r="AO46">
        <f>1/(COUNT('Iter No Test'!$T$9:$T$1008)-1)+$AO$45</f>
        <v>4.3043043043042996E-2</v>
      </c>
      <c r="AQ46">
        <f>SMALL('Iter No Test'!$W$9:$W$5008,44)</f>
        <v>36.133446420089712</v>
      </c>
      <c r="AR46">
        <f>1/(COUNT('Iter No Test'!$W$9:$W$5008)-1)+$AR$45</f>
        <v>8.601720344068817E-3</v>
      </c>
    </row>
    <row r="47" spans="1:44">
      <c r="A47">
        <f>SMALL('Iter No Test'!$B$9:$B$33,11)</f>
        <v>212.20155950903975</v>
      </c>
      <c r="B47">
        <f>1/(COUNT('Iter No Test'!$B$9:$B$33)-1)+$B$46</f>
        <v>0.41666666666666669</v>
      </c>
      <c r="D47">
        <v>39</v>
      </c>
      <c r="E47">
        <v>167.76788666345902</v>
      </c>
      <c r="G47">
        <v>39</v>
      </c>
      <c r="H47" s="1">
        <v>225.93702763013883</v>
      </c>
      <c r="J47">
        <v>39</v>
      </c>
      <c r="K47">
        <v>254.58015463921859</v>
      </c>
      <c r="M47">
        <v>39</v>
      </c>
      <c r="N47">
        <v>173.10998248313501</v>
      </c>
      <c r="P47">
        <v>39</v>
      </c>
      <c r="Q47">
        <v>214.87150873239963</v>
      </c>
      <c r="S47">
        <v>39</v>
      </c>
      <c r="T47">
        <v>214.53267397207699</v>
      </c>
      <c r="V47">
        <v>39</v>
      </c>
      <c r="W47">
        <v>162.09632085903408</v>
      </c>
      <c r="AB47">
        <f>SMALL('Iter No Test'!$H$9:$H$83,45)</f>
        <v>232.20024526176053</v>
      </c>
      <c r="AC47">
        <f>1/(COUNT('Iter No Test'!$H$9:$H$83)-1)+$AC$46</f>
        <v>0.59459459459459396</v>
      </c>
      <c r="AE47">
        <f>SMALL('Iter No Test'!$K$9:$K$108,45)</f>
        <v>199.83340377144199</v>
      </c>
      <c r="AF47">
        <f>1/(COUNT('Iter No Test'!$K$9:$K$108)-1)+$AF$46</f>
        <v>0.4444444444444447</v>
      </c>
      <c r="AH47">
        <f>SMALL('Iter No Test'!$N$9:$N$208,45)</f>
        <v>149.35715732567868</v>
      </c>
      <c r="AI47">
        <f>1/(COUNT('Iter No Test'!$N$9:$N$208)-1)+$AI$46</f>
        <v>0.22110552763819077</v>
      </c>
      <c r="AK47">
        <f>SMALL('Iter No Test'!$Q$9:$Q$508,45)</f>
        <v>101.56445517289239</v>
      </c>
      <c r="AL47">
        <f>1/(COUNT('Iter No Test'!$Q$9:$Q$508)-1)+$AL$46</f>
        <v>8.8176352705410868E-2</v>
      </c>
      <c r="AN47">
        <f>SMALL('Iter No Test'!$T$9:$T$1008,45)</f>
        <v>75.749480642244961</v>
      </c>
      <c r="AO47">
        <f>1/(COUNT('Iter No Test'!$T$9:$T$1008)-1)+$AO$46</f>
        <v>4.4044044044043995E-2</v>
      </c>
      <c r="AQ47">
        <f>SMALL('Iter No Test'!$W$9:$W$5008,45)</f>
        <v>36.171362687698547</v>
      </c>
      <c r="AR47">
        <f>1/(COUNT('Iter No Test'!$W$9:$W$5008)-1)+$AR$46</f>
        <v>8.8017603520704167E-3</v>
      </c>
    </row>
    <row r="48" spans="1:44">
      <c r="A48">
        <f>SMALL('Iter No Test'!$B$9:$B$33,12)</f>
        <v>219.08901562718751</v>
      </c>
      <c r="B48">
        <f>1/(COUNT('Iter No Test'!$B$9:$B$33)-1)+$B$47</f>
        <v>0.45833333333333337</v>
      </c>
      <c r="D48">
        <v>40</v>
      </c>
      <c r="E48">
        <v>232.29197395022123</v>
      </c>
      <c r="G48">
        <v>40</v>
      </c>
      <c r="H48" s="1">
        <v>153.38854785809127</v>
      </c>
      <c r="J48">
        <v>40</v>
      </c>
      <c r="K48">
        <v>147.15637696861205</v>
      </c>
      <c r="M48">
        <v>40</v>
      </c>
      <c r="N48">
        <v>233.29201146083386</v>
      </c>
      <c r="P48">
        <v>40</v>
      </c>
      <c r="Q48">
        <v>78.380241683156541</v>
      </c>
      <c r="S48">
        <v>40</v>
      </c>
      <c r="T48">
        <v>127.75302951856051</v>
      </c>
      <c r="V48">
        <v>40</v>
      </c>
      <c r="W48">
        <v>110.05085590725869</v>
      </c>
      <c r="AB48">
        <f>SMALL('Iter No Test'!$H$9:$H$83,46)</f>
        <v>238.38208746862412</v>
      </c>
      <c r="AC48">
        <f>1/(COUNT('Iter No Test'!$H$9:$H$83)-1)+$AC$47</f>
        <v>0.60810810810810745</v>
      </c>
      <c r="AE48">
        <f>SMALL('Iter No Test'!$K$9:$K$108,46)</f>
        <v>200.58806512224047</v>
      </c>
      <c r="AF48">
        <f>1/(COUNT('Iter No Test'!$K$9:$K$108)-1)+$AF$47</f>
        <v>0.45454545454545481</v>
      </c>
      <c r="AH48">
        <f>SMALL('Iter No Test'!$N$9:$N$208,46)</f>
        <v>150.27872532742776</v>
      </c>
      <c r="AI48">
        <f>1/(COUNT('Iter No Test'!$N$9:$N$208)-1)+$AI$47</f>
        <v>0.22613065326633147</v>
      </c>
      <c r="AK48">
        <f>SMALL('Iter No Test'!$Q$9:$Q$508,46)</f>
        <v>102.69467693677129</v>
      </c>
      <c r="AL48">
        <f>1/(COUNT('Iter No Test'!$Q$9:$Q$508)-1)+$AL$47</f>
        <v>9.0180360721442934E-2</v>
      </c>
      <c r="AN48">
        <f>SMALL('Iter No Test'!$T$9:$T$1008,46)</f>
        <v>77.614512062864691</v>
      </c>
      <c r="AO48">
        <f>1/(COUNT('Iter No Test'!$T$9:$T$1008)-1)+$AO$47</f>
        <v>4.5045045045044994E-2</v>
      </c>
      <c r="AQ48">
        <f>SMALL('Iter No Test'!$W$9:$W$5008,46)</f>
        <v>36.522089971857525</v>
      </c>
      <c r="AR48">
        <f>1/(COUNT('Iter No Test'!$W$9:$W$5008)-1)+$AR$47</f>
        <v>9.0018003600720164E-3</v>
      </c>
    </row>
    <row r="49" spans="1:44">
      <c r="A49">
        <f>SMALL('Iter No Test'!$B$9:$B$33,13)</f>
        <v>226.36911471230513</v>
      </c>
      <c r="B49">
        <f>1/(COUNT('Iter No Test'!$B$9:$B$33)-1)+$B$48</f>
        <v>0.5</v>
      </c>
      <c r="D49">
        <v>41</v>
      </c>
      <c r="E49">
        <v>214.83977303936805</v>
      </c>
      <c r="G49">
        <v>41</v>
      </c>
      <c r="H49" s="1">
        <v>302.11208845098793</v>
      </c>
      <c r="J49">
        <v>41</v>
      </c>
      <c r="K49">
        <v>418.08520781231459</v>
      </c>
      <c r="M49">
        <v>41</v>
      </c>
      <c r="N49">
        <v>492.95774408514535</v>
      </c>
      <c r="P49">
        <v>41</v>
      </c>
      <c r="Q49">
        <v>295.15731362755281</v>
      </c>
      <c r="S49">
        <v>41</v>
      </c>
      <c r="T49">
        <v>435.02070663847235</v>
      </c>
      <c r="V49">
        <v>41</v>
      </c>
      <c r="W49">
        <v>349.25917677586057</v>
      </c>
      <c r="AB49">
        <f>SMALL('Iter No Test'!$H$9:$H$83,47)</f>
        <v>241.16501815315962</v>
      </c>
      <c r="AC49">
        <f>1/(COUNT('Iter No Test'!$H$9:$H$83)-1)+$AC$48</f>
        <v>0.62162162162162093</v>
      </c>
      <c r="AE49">
        <f>SMALL('Iter No Test'!$K$9:$K$108,47)</f>
        <v>202.14253551061302</v>
      </c>
      <c r="AF49">
        <f>1/(COUNT('Iter No Test'!$K$9:$K$108)-1)+$AF$48</f>
        <v>0.46464646464646492</v>
      </c>
      <c r="AH49">
        <f>SMALL('Iter No Test'!$N$9:$N$208,47)</f>
        <v>152.45379041632299</v>
      </c>
      <c r="AI49">
        <f>1/(COUNT('Iter No Test'!$N$9:$N$208)-1)+$AI$48</f>
        <v>0.23115577889447217</v>
      </c>
      <c r="AK49">
        <f>SMALL('Iter No Test'!$Q$9:$Q$508,47)</f>
        <v>106.87118258200545</v>
      </c>
      <c r="AL49">
        <f>1/(COUNT('Iter No Test'!$Q$9:$Q$508)-1)+$AL$48</f>
        <v>9.2184368737475E-2</v>
      </c>
      <c r="AN49">
        <f>SMALL('Iter No Test'!$T$9:$T$1008,47)</f>
        <v>79.099319988756804</v>
      </c>
      <c r="AO49">
        <f>1/(COUNT('Iter No Test'!$T$9:$T$1008)-1)+$AO$48</f>
        <v>4.6046046046045994E-2</v>
      </c>
      <c r="AQ49">
        <f>SMALL('Iter No Test'!$W$9:$W$5008,47)</f>
        <v>36.98981931928904</v>
      </c>
      <c r="AR49">
        <f>1/(COUNT('Iter No Test'!$W$9:$W$5008)-1)+$AR$48</f>
        <v>9.201840368073616E-3</v>
      </c>
    </row>
    <row r="50" spans="1:44">
      <c r="A50">
        <f>SMALL('Iter No Test'!$B$9:$B$33,14)</f>
        <v>227.71440979591875</v>
      </c>
      <c r="B50">
        <f>1/(COUNT('Iter No Test'!$B$9:$B$33)-1)+$B$49</f>
        <v>0.54166666666666663</v>
      </c>
      <c r="D50">
        <v>42</v>
      </c>
      <c r="E50">
        <v>253.88966764475484</v>
      </c>
      <c r="G50">
        <v>42</v>
      </c>
      <c r="H50" s="1">
        <v>53.340393410241631</v>
      </c>
      <c r="J50">
        <v>42</v>
      </c>
      <c r="K50">
        <v>258.76018507976659</v>
      </c>
      <c r="M50">
        <v>42</v>
      </c>
      <c r="N50">
        <v>125.43978267379387</v>
      </c>
      <c r="P50">
        <v>42</v>
      </c>
      <c r="Q50">
        <v>13.331684263445595</v>
      </c>
      <c r="S50">
        <v>42</v>
      </c>
      <c r="T50">
        <v>158.09026218640642</v>
      </c>
      <c r="V50">
        <v>42</v>
      </c>
      <c r="W50">
        <v>230.25617480289765</v>
      </c>
      <c r="AB50">
        <f>SMALL('Iter No Test'!$H$9:$H$83,48)</f>
        <v>242.29056087428395</v>
      </c>
      <c r="AC50">
        <f>1/(COUNT('Iter No Test'!$H$9:$H$83)-1)+$AC$49</f>
        <v>0.63513513513513442</v>
      </c>
      <c r="AE50">
        <f>SMALL('Iter No Test'!$K$9:$K$108,48)</f>
        <v>208.87427817970718</v>
      </c>
      <c r="AF50">
        <f>1/(COUNT('Iter No Test'!$K$9:$K$108)-1)+$AF$49</f>
        <v>0.47474747474747503</v>
      </c>
      <c r="AH50">
        <f>SMALL('Iter No Test'!$N$9:$N$208,48)</f>
        <v>153.30175540142073</v>
      </c>
      <c r="AI50">
        <f>1/(COUNT('Iter No Test'!$N$9:$N$208)-1)+$AI$49</f>
        <v>0.23618090452261287</v>
      </c>
      <c r="AK50">
        <f>SMALL('Iter No Test'!$Q$9:$Q$508,48)</f>
        <v>108.0447935901299</v>
      </c>
      <c r="AL50">
        <f>1/(COUNT('Iter No Test'!$Q$9:$Q$508)-1)+$AL$49</f>
        <v>9.4188376753507067E-2</v>
      </c>
      <c r="AN50">
        <f>SMALL('Iter No Test'!$T$9:$T$1008,48)</f>
        <v>79.925554879328757</v>
      </c>
      <c r="AO50">
        <f>1/(COUNT('Iter No Test'!$T$9:$T$1008)-1)+$AO$49</f>
        <v>4.7047047047046993E-2</v>
      </c>
      <c r="AQ50">
        <f>SMALL('Iter No Test'!$W$9:$W$5008,48)</f>
        <v>37.487878569466574</v>
      </c>
      <c r="AR50">
        <f>1/(COUNT('Iter No Test'!$W$9:$W$5008)-1)+$AR$49</f>
        <v>9.4018803760752157E-3</v>
      </c>
    </row>
    <row r="51" spans="1:44">
      <c r="A51">
        <f>SMALL('Iter No Test'!$B$9:$B$33,15)</f>
        <v>232.99346918094071</v>
      </c>
      <c r="B51">
        <f>1/(COUNT('Iter No Test'!$B$9:$B$33)-1)+$B$50</f>
        <v>0.58333333333333326</v>
      </c>
      <c r="D51">
        <v>43</v>
      </c>
      <c r="E51">
        <v>51.647198717800222</v>
      </c>
      <c r="G51">
        <v>43</v>
      </c>
      <c r="H51" s="1">
        <v>217.92008917942724</v>
      </c>
      <c r="J51">
        <v>43</v>
      </c>
      <c r="K51">
        <v>271.74555947847455</v>
      </c>
      <c r="M51">
        <v>43</v>
      </c>
      <c r="N51">
        <v>252.9726169561626</v>
      </c>
      <c r="P51">
        <v>43</v>
      </c>
      <c r="Q51">
        <v>223.69744536197749</v>
      </c>
      <c r="S51">
        <v>43</v>
      </c>
      <c r="T51">
        <v>288.93042334564126</v>
      </c>
      <c r="V51">
        <v>43</v>
      </c>
      <c r="W51">
        <v>112.34320247241254</v>
      </c>
      <c r="AB51">
        <f>SMALL('Iter No Test'!$H$9:$H$83,49)</f>
        <v>247.47405310128138</v>
      </c>
      <c r="AC51">
        <f>1/(COUNT('Iter No Test'!$H$9:$H$83)-1)+$AC$50</f>
        <v>0.64864864864864791</v>
      </c>
      <c r="AE51">
        <f>SMALL('Iter No Test'!$K$9:$K$108,49)</f>
        <v>209.66087138301938</v>
      </c>
      <c r="AF51">
        <f>1/(COUNT('Iter No Test'!$K$9:$K$108)-1)+$AF$50</f>
        <v>0.48484848484848514</v>
      </c>
      <c r="AH51">
        <f>SMALL('Iter No Test'!$N$9:$N$208,49)</f>
        <v>154.62879312663537</v>
      </c>
      <c r="AI51">
        <f>1/(COUNT('Iter No Test'!$N$9:$N$208)-1)+$AI$50</f>
        <v>0.24120603015075356</v>
      </c>
      <c r="AK51">
        <f>SMALL('Iter No Test'!$Q$9:$Q$508,49)</f>
        <v>109.62688537153647</v>
      </c>
      <c r="AL51">
        <f>1/(COUNT('Iter No Test'!$Q$9:$Q$508)-1)+$AL$50</f>
        <v>9.6192384769539133E-2</v>
      </c>
      <c r="AN51">
        <f>SMALL('Iter No Test'!$T$9:$T$1008,49)</f>
        <v>80.216675219786751</v>
      </c>
      <c r="AO51">
        <f>1/(COUNT('Iter No Test'!$T$9:$T$1008)-1)+$AO$50</f>
        <v>4.8048048048047992E-2</v>
      </c>
      <c r="AQ51">
        <f>SMALL('Iter No Test'!$W$9:$W$5008,49)</f>
        <v>37.49160340958116</v>
      </c>
      <c r="AR51">
        <f>1/(COUNT('Iter No Test'!$W$9:$W$5008)-1)+$AR$50</f>
        <v>9.6019203840768154E-3</v>
      </c>
    </row>
    <row r="52" spans="1:44">
      <c r="A52">
        <f>SMALL('Iter No Test'!$B$9:$B$33,16)</f>
        <v>247.33182754826166</v>
      </c>
      <c r="B52">
        <f>1/(COUNT('Iter No Test'!$B$9:$B$33)-1)+$B$51</f>
        <v>0.62499999999999989</v>
      </c>
      <c r="D52">
        <v>44</v>
      </c>
      <c r="E52">
        <v>290.10028974877292</v>
      </c>
      <c r="G52">
        <v>44</v>
      </c>
      <c r="H52" s="1">
        <v>84.82487586997317</v>
      </c>
      <c r="J52">
        <v>44</v>
      </c>
      <c r="K52">
        <v>216.82651049037196</v>
      </c>
      <c r="M52">
        <v>44</v>
      </c>
      <c r="N52">
        <v>189.20252350184995</v>
      </c>
      <c r="P52">
        <v>44</v>
      </c>
      <c r="Q52">
        <v>72.562664994197917</v>
      </c>
      <c r="S52">
        <v>44</v>
      </c>
      <c r="T52">
        <v>169.55341919334825</v>
      </c>
      <c r="V52">
        <v>44</v>
      </c>
      <c r="W52">
        <v>117.17283913810624</v>
      </c>
      <c r="AB52">
        <f>SMALL('Iter No Test'!$H$9:$H$83,50)</f>
        <v>249.35182841133138</v>
      </c>
      <c r="AC52">
        <f>1/(COUNT('Iter No Test'!$H$9:$H$83)-1)+$AC$51</f>
        <v>0.66216216216216139</v>
      </c>
      <c r="AE52">
        <f>SMALL('Iter No Test'!$K$9:$K$108,50)</f>
        <v>211.87205443935184</v>
      </c>
      <c r="AF52">
        <f>1/(COUNT('Iter No Test'!$K$9:$K$108)-1)+$AF$51</f>
        <v>0.49494949494949525</v>
      </c>
      <c r="AH52">
        <f>SMALL('Iter No Test'!$N$9:$N$208,50)</f>
        <v>155.42205797740766</v>
      </c>
      <c r="AI52">
        <f>1/(COUNT('Iter No Test'!$N$9:$N$208)-1)+$AI$51</f>
        <v>0.24623115577889426</v>
      </c>
      <c r="AK52">
        <f>SMALL('Iter No Test'!$Q$9:$Q$508,50)</f>
        <v>109.63505514181253</v>
      </c>
      <c r="AL52">
        <f>1/(COUNT('Iter No Test'!$Q$9:$Q$508)-1)+$AL$51</f>
        <v>9.8196392785571199E-2</v>
      </c>
      <c r="AN52">
        <f>SMALL('Iter No Test'!$T$9:$T$1008,50)</f>
        <v>81.250745413903985</v>
      </c>
      <c r="AO52">
        <f>1/(COUNT('Iter No Test'!$T$9:$T$1008)-1)+$AO$51</f>
        <v>4.9049049049048991E-2</v>
      </c>
      <c r="AQ52">
        <f>SMALL('Iter No Test'!$W$9:$W$5008,50)</f>
        <v>38.599441081564521</v>
      </c>
      <c r="AR52">
        <f>1/(COUNT('Iter No Test'!$W$9:$W$5008)-1)+$AR$51</f>
        <v>9.8019603920784151E-3</v>
      </c>
    </row>
    <row r="53" spans="1:44">
      <c r="A53">
        <f>SMALL('Iter No Test'!$B$9:$B$33,17)</f>
        <v>251.43048596241348</v>
      </c>
      <c r="B53">
        <f>1/(COUNT('Iter No Test'!$B$9:$B$33)-1)+$B$52</f>
        <v>0.66666666666666652</v>
      </c>
      <c r="D53">
        <v>45</v>
      </c>
      <c r="E53">
        <v>281.33518186106699</v>
      </c>
      <c r="G53">
        <v>45</v>
      </c>
      <c r="H53" s="1">
        <v>242.29056087428395</v>
      </c>
      <c r="J53">
        <v>45</v>
      </c>
      <c r="K53">
        <v>211.87205443935184</v>
      </c>
      <c r="M53">
        <v>45</v>
      </c>
      <c r="N53">
        <v>222.04829523637315</v>
      </c>
      <c r="P53">
        <v>45</v>
      </c>
      <c r="Q53">
        <v>225.39505894074279</v>
      </c>
      <c r="S53">
        <v>45</v>
      </c>
      <c r="T53">
        <v>221.29943400622994</v>
      </c>
      <c r="V53">
        <v>45</v>
      </c>
      <c r="W53">
        <v>262.94392011191394</v>
      </c>
      <c r="AB53">
        <f>SMALL('Iter No Test'!$H$9:$H$83,51)</f>
        <v>249.69323398018281</v>
      </c>
      <c r="AC53">
        <f>1/(COUNT('Iter No Test'!$H$9:$H$83)-1)+$AC$52</f>
        <v>0.67567567567567488</v>
      </c>
      <c r="AE53">
        <f>SMALL('Iter No Test'!$K$9:$K$108,51)</f>
        <v>213.51346337930767</v>
      </c>
      <c r="AF53">
        <f>1/(COUNT('Iter No Test'!$K$9:$K$108)-1)+$AF$52</f>
        <v>0.50505050505050531</v>
      </c>
      <c r="AH53">
        <f>SMALL('Iter No Test'!$N$9:$N$208,51)</f>
        <v>155.66179508409638</v>
      </c>
      <c r="AI53">
        <f>1/(COUNT('Iter No Test'!$N$9:$N$208)-1)+$AI$52</f>
        <v>0.25125628140703499</v>
      </c>
      <c r="AK53">
        <f>SMALL('Iter No Test'!$Q$9:$Q$508,51)</f>
        <v>110.70128563725592</v>
      </c>
      <c r="AL53">
        <f>1/(COUNT('Iter No Test'!$Q$9:$Q$508)-1)+$AL$52</f>
        <v>0.10020040080160326</v>
      </c>
      <c r="AN53">
        <f>SMALL('Iter No Test'!$T$9:$T$1008,51)</f>
        <v>81.385394863626473</v>
      </c>
      <c r="AO53">
        <f>1/(COUNT('Iter No Test'!$T$9:$T$1008)-1)+$AO$52</f>
        <v>5.0050050050049991E-2</v>
      </c>
      <c r="AQ53">
        <f>SMALL('Iter No Test'!$W$9:$W$5008,51)</f>
        <v>39.27277743874447</v>
      </c>
      <c r="AR53">
        <f>1/(COUNT('Iter No Test'!$W$9:$W$5008)-1)+$AR$52</f>
        <v>1.0002000400080015E-2</v>
      </c>
    </row>
    <row r="54" spans="1:44">
      <c r="A54">
        <f>SMALL('Iter No Test'!$B$9:$B$33,18)</f>
        <v>260.38160810182649</v>
      </c>
      <c r="B54">
        <f>1/(COUNT('Iter No Test'!$B$9:$B$33)-1)+$B$53</f>
        <v>0.70833333333333315</v>
      </c>
      <c r="D54">
        <v>46</v>
      </c>
      <c r="E54">
        <v>112.79443145993403</v>
      </c>
      <c r="G54">
        <v>46</v>
      </c>
      <c r="H54" s="1">
        <v>147.76249768450174</v>
      </c>
      <c r="J54">
        <v>46</v>
      </c>
      <c r="K54">
        <v>248.22375524245089</v>
      </c>
      <c r="M54">
        <v>46</v>
      </c>
      <c r="N54">
        <v>246.39036908068002</v>
      </c>
      <c r="P54">
        <v>46</v>
      </c>
      <c r="Q54">
        <v>190.14842738853417</v>
      </c>
      <c r="S54">
        <v>46</v>
      </c>
      <c r="T54">
        <v>185.13103572349854</v>
      </c>
      <c r="V54">
        <v>46</v>
      </c>
      <c r="W54">
        <v>99.490309545984687</v>
      </c>
      <c r="AB54">
        <f>SMALL('Iter No Test'!$H$9:$H$83,52)</f>
        <v>250.7043725685204</v>
      </c>
      <c r="AC54">
        <f>1/(COUNT('Iter No Test'!$H$9:$H$83)-1)+$AC$53</f>
        <v>0.68918918918918837</v>
      </c>
      <c r="AE54">
        <f>SMALL('Iter No Test'!$K$9:$K$108,52)</f>
        <v>214.95499583964892</v>
      </c>
      <c r="AF54">
        <f>1/(COUNT('Iter No Test'!$K$9:$K$108)-1)+$AF$53</f>
        <v>0.51515151515151536</v>
      </c>
      <c r="AH54">
        <f>SMALL('Iter No Test'!$N$9:$N$208,52)</f>
        <v>156.34186162518785</v>
      </c>
      <c r="AI54">
        <f>1/(COUNT('Iter No Test'!$N$9:$N$208)-1)+$AI$53</f>
        <v>0.25628140703517571</v>
      </c>
      <c r="AK54">
        <f>SMALL('Iter No Test'!$Q$9:$Q$508,52)</f>
        <v>110.76563015980783</v>
      </c>
      <c r="AL54">
        <f>1/(COUNT('Iter No Test'!$Q$9:$Q$508)-1)+$AL$53</f>
        <v>0.10220440881763533</v>
      </c>
      <c r="AN54">
        <f>SMALL('Iter No Test'!$T$9:$T$1008,52)</f>
        <v>82.5435844356453</v>
      </c>
      <c r="AO54">
        <f>1/(COUNT('Iter No Test'!$T$9:$T$1008)-1)+$AO$53</f>
        <v>5.105105105105099E-2</v>
      </c>
      <c r="AQ54">
        <f>SMALL('Iter No Test'!$W$9:$W$5008,52)</f>
        <v>40.906381295866936</v>
      </c>
      <c r="AR54">
        <f>1/(COUNT('Iter No Test'!$W$9:$W$5008)-1)+$AR$53</f>
        <v>1.0202040408081614E-2</v>
      </c>
    </row>
    <row r="55" spans="1:44">
      <c r="A55">
        <f>SMALL('Iter No Test'!$B$9:$B$33,19)</f>
        <v>278.68885734179139</v>
      </c>
      <c r="B55">
        <f>1/(COUNT('Iter No Test'!$B$9:$B$33)-1)+$B$54</f>
        <v>0.74999999999999978</v>
      </c>
      <c r="D55">
        <v>47</v>
      </c>
      <c r="E55">
        <v>319.39620692790584</v>
      </c>
      <c r="G55">
        <v>47</v>
      </c>
      <c r="H55" s="1">
        <v>204.99411035678588</v>
      </c>
      <c r="J55">
        <v>47</v>
      </c>
      <c r="K55">
        <v>331.54399732933859</v>
      </c>
      <c r="M55">
        <v>47</v>
      </c>
      <c r="N55">
        <v>359.63432996933034</v>
      </c>
      <c r="P55">
        <v>47</v>
      </c>
      <c r="Q55">
        <v>165.67382297088645</v>
      </c>
      <c r="S55">
        <v>47</v>
      </c>
      <c r="T55">
        <v>312.85355336874528</v>
      </c>
      <c r="V55">
        <v>47</v>
      </c>
      <c r="W55">
        <v>278.35413948675466</v>
      </c>
      <c r="AB55">
        <f>SMALL('Iter No Test'!$H$9:$H$83,53)</f>
        <v>256.02799438198713</v>
      </c>
      <c r="AC55">
        <f>1/(COUNT('Iter No Test'!$H$9:$H$83)-1)+$AC$54</f>
        <v>0.70270270270270185</v>
      </c>
      <c r="AE55">
        <f>SMALL('Iter No Test'!$K$9:$K$108,53)</f>
        <v>215.51276951314867</v>
      </c>
      <c r="AF55">
        <f>1/(COUNT('Iter No Test'!$K$9:$K$108)-1)+$AF$54</f>
        <v>0.52525252525252542</v>
      </c>
      <c r="AH55">
        <f>SMALL('Iter No Test'!$N$9:$N$208,53)</f>
        <v>156.61585728803999</v>
      </c>
      <c r="AI55">
        <f>1/(COUNT('Iter No Test'!$N$9:$N$208)-1)+$AI$54</f>
        <v>0.26130653266331644</v>
      </c>
      <c r="AK55">
        <f>SMALL('Iter No Test'!$Q$9:$Q$508,53)</f>
        <v>111.99630620535339</v>
      </c>
      <c r="AL55">
        <f>1/(COUNT('Iter No Test'!$Q$9:$Q$508)-1)+$AL$54</f>
        <v>0.1042084168336674</v>
      </c>
      <c r="AN55">
        <f>SMALL('Iter No Test'!$T$9:$T$1008,53)</f>
        <v>83.324405027693359</v>
      </c>
      <c r="AO55">
        <f>1/(COUNT('Iter No Test'!$T$9:$T$1008)-1)+$AO$54</f>
        <v>5.2052052052051989E-2</v>
      </c>
      <c r="AQ55">
        <f>SMALL('Iter No Test'!$W$9:$W$5008,53)</f>
        <v>41.019109583964322</v>
      </c>
      <c r="AR55">
        <f>1/(COUNT('Iter No Test'!$W$9:$W$5008)-1)+$AR$54</f>
        <v>1.0402080416083214E-2</v>
      </c>
    </row>
    <row r="56" spans="1:44">
      <c r="A56">
        <f>SMALL('Iter No Test'!$B$9:$B$33,20)</f>
        <v>306.37960749238766</v>
      </c>
      <c r="B56">
        <f>1/(COUNT('Iter No Test'!$B$9:$B$33)-1)+$B$55</f>
        <v>0.79166666666666641</v>
      </c>
      <c r="D56">
        <v>48</v>
      </c>
      <c r="E56">
        <v>101.53168997338604</v>
      </c>
      <c r="G56">
        <v>48</v>
      </c>
      <c r="H56" s="1">
        <v>432.75738081976863</v>
      </c>
      <c r="J56">
        <v>48</v>
      </c>
      <c r="K56">
        <v>273.08343447344441</v>
      </c>
      <c r="M56">
        <v>48</v>
      </c>
      <c r="N56">
        <v>64.927585173980262</v>
      </c>
      <c r="P56">
        <v>48</v>
      </c>
      <c r="Q56">
        <v>194.64716537415728</v>
      </c>
      <c r="S56">
        <v>48</v>
      </c>
      <c r="T56">
        <v>16.611136575108787</v>
      </c>
      <c r="V56">
        <v>48</v>
      </c>
      <c r="W56">
        <v>249.85623594345313</v>
      </c>
      <c r="AB56">
        <f>SMALL('Iter No Test'!$H$9:$H$83,54)</f>
        <v>257.04006442737386</v>
      </c>
      <c r="AC56">
        <f>1/(COUNT('Iter No Test'!$H$9:$H$83)-1)+$AC$55</f>
        <v>0.71621621621621534</v>
      </c>
      <c r="AE56">
        <f>SMALL('Iter No Test'!$K$9:$K$108,54)</f>
        <v>216.55206383489735</v>
      </c>
      <c r="AF56">
        <f>1/(COUNT('Iter No Test'!$K$9:$K$108)-1)+$AF$55</f>
        <v>0.53535353535353547</v>
      </c>
      <c r="AH56">
        <f>SMALL('Iter No Test'!$N$9:$N$208,54)</f>
        <v>159.55991364786743</v>
      </c>
      <c r="AI56">
        <f>1/(COUNT('Iter No Test'!$N$9:$N$208)-1)+$AI$55</f>
        <v>0.26633165829145716</v>
      </c>
      <c r="AK56">
        <f>SMALL('Iter No Test'!$Q$9:$Q$508,54)</f>
        <v>112.83038735320469</v>
      </c>
      <c r="AL56">
        <f>1/(COUNT('Iter No Test'!$Q$9:$Q$508)-1)+$AL$55</f>
        <v>0.10621242484969946</v>
      </c>
      <c r="AN56">
        <f>SMALL('Iter No Test'!$T$9:$T$1008,54)</f>
        <v>83.584317939602116</v>
      </c>
      <c r="AO56">
        <f>1/(COUNT('Iter No Test'!$T$9:$T$1008)-1)+$AO$55</f>
        <v>5.3053053053052988E-2</v>
      </c>
      <c r="AQ56">
        <f>SMALL('Iter No Test'!$W$9:$W$5008,54)</f>
        <v>42.099247758047099</v>
      </c>
      <c r="AR56">
        <f>1/(COUNT('Iter No Test'!$W$9:$W$5008)-1)+$AR$55</f>
        <v>1.0602120424084814E-2</v>
      </c>
    </row>
    <row r="57" spans="1:44">
      <c r="A57">
        <f>SMALL('Iter No Test'!$B$9:$B$33,21)</f>
        <v>312.15095742895971</v>
      </c>
      <c r="B57">
        <f>1/(COUNT('Iter No Test'!$B$9:$B$33)-1)+$B$56</f>
        <v>0.83333333333333304</v>
      </c>
      <c r="D57">
        <v>49</v>
      </c>
      <c r="E57">
        <v>192.80113864861875</v>
      </c>
      <c r="G57">
        <v>49</v>
      </c>
      <c r="H57" s="1">
        <v>361.28520813418254</v>
      </c>
      <c r="J57">
        <v>49</v>
      </c>
      <c r="K57">
        <v>73.202751227200167</v>
      </c>
      <c r="M57">
        <v>49</v>
      </c>
      <c r="N57">
        <v>241.74361863295348</v>
      </c>
      <c r="P57">
        <v>49</v>
      </c>
      <c r="Q57">
        <v>257.21557319477517</v>
      </c>
      <c r="S57">
        <v>49</v>
      </c>
      <c r="T57">
        <v>282.94669821740939</v>
      </c>
      <c r="V57">
        <v>49</v>
      </c>
      <c r="W57">
        <v>83.83690325926429</v>
      </c>
      <c r="AB57">
        <f>SMALL('Iter No Test'!$H$9:$H$83,55)</f>
        <v>265.65304944151103</v>
      </c>
      <c r="AC57">
        <f>1/(COUNT('Iter No Test'!$H$9:$H$83)-1)+$AC$56</f>
        <v>0.72972972972972883</v>
      </c>
      <c r="AE57">
        <f>SMALL('Iter No Test'!$K$9:$K$108,55)</f>
        <v>216.82651049037196</v>
      </c>
      <c r="AF57">
        <f>1/(COUNT('Iter No Test'!$K$9:$K$108)-1)+$AF$56</f>
        <v>0.54545454545454553</v>
      </c>
      <c r="AH57">
        <f>SMALL('Iter No Test'!$N$9:$N$208,55)</f>
        <v>159.81849610691214</v>
      </c>
      <c r="AI57">
        <f>1/(COUNT('Iter No Test'!$N$9:$N$208)-1)+$AI$56</f>
        <v>0.27135678391959789</v>
      </c>
      <c r="AK57">
        <f>SMALL('Iter No Test'!$Q$9:$Q$508,55)</f>
        <v>112.99634392756127</v>
      </c>
      <c r="AL57">
        <f>1/(COUNT('Iter No Test'!$Q$9:$Q$508)-1)+$AL$56</f>
        <v>0.10821643286573153</v>
      </c>
      <c r="AN57">
        <f>SMALL('Iter No Test'!$T$9:$T$1008,55)</f>
        <v>83.645933747310266</v>
      </c>
      <c r="AO57">
        <f>1/(COUNT('Iter No Test'!$T$9:$T$1008)-1)+$AO$56</f>
        <v>5.4054054054053988E-2</v>
      </c>
      <c r="AQ57">
        <f>SMALL('Iter No Test'!$W$9:$W$5008,55)</f>
        <v>42.24981022606093</v>
      </c>
      <c r="AR57">
        <f>1/(COUNT('Iter No Test'!$W$9:$W$5008)-1)+$AR$56</f>
        <v>1.0802160432086413E-2</v>
      </c>
    </row>
    <row r="58" spans="1:44">
      <c r="A58">
        <f>SMALL('Iter No Test'!$B$9:$B$33,22)</f>
        <v>315.59744743698502</v>
      </c>
      <c r="B58">
        <f>1/(COUNT('Iter No Test'!$B$9:$B$33)-1)+$B$57</f>
        <v>0.87499999999999967</v>
      </c>
      <c r="D58">
        <v>50</v>
      </c>
      <c r="E58">
        <v>185.77615349662062</v>
      </c>
      <c r="G58">
        <v>50</v>
      </c>
      <c r="H58" s="1">
        <v>217.85311077964607</v>
      </c>
      <c r="J58">
        <v>50</v>
      </c>
      <c r="K58">
        <v>171.20224203535926</v>
      </c>
      <c r="M58">
        <v>50</v>
      </c>
      <c r="N58">
        <v>172.2967790866218</v>
      </c>
      <c r="P58">
        <v>50</v>
      </c>
      <c r="Q58">
        <v>109.62688537153647</v>
      </c>
      <c r="S58">
        <v>50</v>
      </c>
      <c r="T58">
        <v>92.495376140336475</v>
      </c>
      <c r="V58">
        <v>50</v>
      </c>
      <c r="W58">
        <v>174.96892542390987</v>
      </c>
      <c r="AB58">
        <f>SMALL('Iter No Test'!$H$9:$H$83,56)</f>
        <v>271.19579196411223</v>
      </c>
      <c r="AC58">
        <f>1/(COUNT('Iter No Test'!$H$9:$H$83)-1)+$AC$57</f>
        <v>0.74324324324324231</v>
      </c>
      <c r="AE58">
        <f>SMALL('Iter No Test'!$K$9:$K$108,56)</f>
        <v>219.68191019147611</v>
      </c>
      <c r="AF58">
        <f>1/(COUNT('Iter No Test'!$K$9:$K$108)-1)+$AF$57</f>
        <v>0.55555555555555558</v>
      </c>
      <c r="AH58">
        <f>SMALL('Iter No Test'!$N$9:$N$208,56)</f>
        <v>162.28900119100538</v>
      </c>
      <c r="AI58">
        <f>1/(COUNT('Iter No Test'!$N$9:$N$208)-1)+$AI$57</f>
        <v>0.27638190954773861</v>
      </c>
      <c r="AK58">
        <f>SMALL('Iter No Test'!$Q$9:$Q$508,56)</f>
        <v>114.18892179076886</v>
      </c>
      <c r="AL58">
        <f>1/(COUNT('Iter No Test'!$Q$9:$Q$508)-1)+$AL$57</f>
        <v>0.1102204408817636</v>
      </c>
      <c r="AN58">
        <f>SMALL('Iter No Test'!$T$9:$T$1008,56)</f>
        <v>84.441398847903329</v>
      </c>
      <c r="AO58">
        <f>1/(COUNT('Iter No Test'!$T$9:$T$1008)-1)+$AO$57</f>
        <v>5.5055055055054987E-2</v>
      </c>
      <c r="AQ58">
        <f>SMALL('Iter No Test'!$W$9:$W$5008,56)</f>
        <v>42.27559022007901</v>
      </c>
      <c r="AR58">
        <f>1/(COUNT('Iter No Test'!$W$9:$W$5008)-1)+$AR$57</f>
        <v>1.1002200440088013E-2</v>
      </c>
    </row>
    <row r="59" spans="1:44">
      <c r="A59">
        <f>SMALL('Iter No Test'!$B$9:$B$33,23)</f>
        <v>323.97630561378082</v>
      </c>
      <c r="B59">
        <f>1/(COUNT('Iter No Test'!$B$9:$B$33)-1)+$B$58</f>
        <v>0.9166666666666663</v>
      </c>
      <c r="G59">
        <v>51</v>
      </c>
      <c r="H59" s="1">
        <v>163.26436920657747</v>
      </c>
      <c r="J59">
        <v>51</v>
      </c>
      <c r="K59">
        <v>302.91688487100021</v>
      </c>
      <c r="M59">
        <v>51</v>
      </c>
      <c r="N59">
        <v>251.90228646642731</v>
      </c>
      <c r="P59">
        <v>51</v>
      </c>
      <c r="Q59">
        <v>213.4777289015264</v>
      </c>
      <c r="S59">
        <v>51</v>
      </c>
      <c r="T59">
        <v>322.4792551398607</v>
      </c>
      <c r="V59">
        <v>51</v>
      </c>
      <c r="W59">
        <v>254.45809347331885</v>
      </c>
      <c r="AB59">
        <f>SMALL('Iter No Test'!$H$9:$H$83,57)</f>
        <v>273.15026199923199</v>
      </c>
      <c r="AC59">
        <f>1/(COUNT('Iter No Test'!$H$9:$H$83)-1)+$AC$58</f>
        <v>0.7567567567567558</v>
      </c>
      <c r="AE59">
        <f>SMALL('Iter No Test'!$K$9:$K$108,57)</f>
        <v>225.21532366209212</v>
      </c>
      <c r="AF59">
        <f>1/(COUNT('Iter No Test'!$K$9:$K$108)-1)+$AF$58</f>
        <v>0.56565656565656564</v>
      </c>
      <c r="AH59">
        <f>SMALL('Iter No Test'!$N$9:$N$208,57)</f>
        <v>164.17789833745769</v>
      </c>
      <c r="AI59">
        <f>1/(COUNT('Iter No Test'!$N$9:$N$208)-1)+$AI$58</f>
        <v>0.28140703517587934</v>
      </c>
      <c r="AK59">
        <f>SMALL('Iter No Test'!$Q$9:$Q$508,57)</f>
        <v>114.37909579093511</v>
      </c>
      <c r="AL59">
        <f>1/(COUNT('Iter No Test'!$Q$9:$Q$508)-1)+$AL$58</f>
        <v>0.11222444889779566</v>
      </c>
      <c r="AN59">
        <f>SMALL('Iter No Test'!$T$9:$T$1008,57)</f>
        <v>86.099576620615338</v>
      </c>
      <c r="AO59">
        <f>1/(COUNT('Iter No Test'!$T$9:$T$1008)-1)+$AO$58</f>
        <v>5.6056056056055986E-2</v>
      </c>
      <c r="AQ59">
        <f>SMALL('Iter No Test'!$W$9:$W$5008,57)</f>
        <v>42.433932379165583</v>
      </c>
      <c r="AR59">
        <f>1/(COUNT('Iter No Test'!$W$9:$W$5008)-1)+$AR$58</f>
        <v>1.1202240448089613E-2</v>
      </c>
    </row>
    <row r="60" spans="1:44">
      <c r="A60">
        <f>SMALL('Iter No Test'!$B$9:$B$33,24)</f>
        <v>325.07022443836911</v>
      </c>
      <c r="B60">
        <f>1/(COUNT('Iter No Test'!$B$9:$B$33)-1)+$B$59</f>
        <v>0.95833333333333293</v>
      </c>
      <c r="D60" t="s">
        <v>30</v>
      </c>
      <c r="E60" t="s">
        <v>31</v>
      </c>
      <c r="G60">
        <v>52</v>
      </c>
      <c r="H60" s="1">
        <v>271.19579196411223</v>
      </c>
      <c r="J60">
        <v>52</v>
      </c>
      <c r="K60">
        <v>273.85811851618229</v>
      </c>
      <c r="M60">
        <v>52</v>
      </c>
      <c r="N60">
        <v>269.14661389928358</v>
      </c>
      <c r="P60">
        <v>52</v>
      </c>
      <c r="Q60">
        <v>274.03113448978667</v>
      </c>
      <c r="S60">
        <v>52</v>
      </c>
      <c r="T60">
        <v>148.2775225689229</v>
      </c>
      <c r="V60">
        <v>52</v>
      </c>
      <c r="W60">
        <v>216.33121598828797</v>
      </c>
      <c r="AB60">
        <f>SMALL('Iter No Test'!$H$9:$H$83,58)</f>
        <v>273.33512646116469</v>
      </c>
      <c r="AC60">
        <f>1/(COUNT('Iter No Test'!$H$9:$H$83)-1)+$AC$59</f>
        <v>0.77027027027026929</v>
      </c>
      <c r="AE60">
        <f>SMALL('Iter No Test'!$K$9:$K$108,58)</f>
        <v>227.63172965803801</v>
      </c>
      <c r="AF60">
        <f>1/(COUNT('Iter No Test'!$K$9:$K$108)-1)+$AF$59</f>
        <v>0.57575757575757569</v>
      </c>
      <c r="AH60">
        <f>SMALL('Iter No Test'!$N$9:$N$208,58)</f>
        <v>165.74093047630845</v>
      </c>
      <c r="AI60">
        <f>1/(COUNT('Iter No Test'!$N$9:$N$208)-1)+$AI$59</f>
        <v>0.28643216080402006</v>
      </c>
      <c r="AK60">
        <f>SMALL('Iter No Test'!$Q$9:$Q$508,58)</f>
        <v>114.9087581026192</v>
      </c>
      <c r="AL60">
        <f>1/(COUNT('Iter No Test'!$Q$9:$Q$508)-1)+$AL$59</f>
        <v>0.11422845691382773</v>
      </c>
      <c r="AN60">
        <f>SMALL('Iter No Test'!$T$9:$T$1008,58)</f>
        <v>86.705656448214441</v>
      </c>
      <c r="AO60">
        <f>1/(COUNT('Iter No Test'!$T$9:$T$1008)-1)+$AO$59</f>
        <v>5.7057057057056985E-2</v>
      </c>
      <c r="AQ60">
        <f>SMALL('Iter No Test'!$W$9:$W$5008,58)</f>
        <v>42.682236013586035</v>
      </c>
      <c r="AR60">
        <f>1/(COUNT('Iter No Test'!$W$9:$W$5008)-1)+$AR$59</f>
        <v>1.1402280456091212E-2</v>
      </c>
    </row>
    <row r="61" spans="1:44">
      <c r="A61">
        <f>SMALL('Iter No Test'!$B$9:$B$33,25)</f>
        <v>373.05881945473652</v>
      </c>
      <c r="B61">
        <f>1/(COUNT('Iter No Test'!$B$9:$B$33)-1)+$B$60</f>
        <v>0.99999999999999956</v>
      </c>
      <c r="D61">
        <f>SMALL('Iter No Test'!$E$9:$E$58,1)</f>
        <v>51.647198717800222</v>
      </c>
      <c r="E61">
        <v>0</v>
      </c>
      <c r="G61">
        <v>53</v>
      </c>
      <c r="H61" s="1">
        <v>190.89153956271463</v>
      </c>
      <c r="J61">
        <v>53</v>
      </c>
      <c r="K61">
        <v>303.18577088026109</v>
      </c>
      <c r="M61">
        <v>53</v>
      </c>
      <c r="N61">
        <v>209.36945456265596</v>
      </c>
      <c r="P61">
        <v>53</v>
      </c>
      <c r="Q61">
        <v>137.71985365241267</v>
      </c>
      <c r="S61">
        <v>53</v>
      </c>
      <c r="T61">
        <v>221.34046208663116</v>
      </c>
      <c r="V61">
        <v>53</v>
      </c>
      <c r="W61">
        <v>271.0267682066858</v>
      </c>
      <c r="AB61">
        <f>SMALL('Iter No Test'!$H$9:$H$83,59)</f>
        <v>281.48691062161572</v>
      </c>
      <c r="AC61">
        <f>1/(COUNT('Iter No Test'!$H$9:$H$83)-1)+$AC$60</f>
        <v>0.78378378378378277</v>
      </c>
      <c r="AE61">
        <f>SMALL('Iter No Test'!$K$9:$K$108,59)</f>
        <v>231.0461127486893</v>
      </c>
      <c r="AF61">
        <f>1/(COUNT('Iter No Test'!$K$9:$K$108)-1)+$AF$60</f>
        <v>0.58585858585858575</v>
      </c>
      <c r="AH61">
        <f>SMALL('Iter No Test'!$N$9:$N$208,59)</f>
        <v>166.53875404131756</v>
      </c>
      <c r="AI61">
        <f>1/(COUNT('Iter No Test'!$N$9:$N$208)-1)+$AI$60</f>
        <v>0.29145728643216079</v>
      </c>
      <c r="AK61">
        <f>SMALL('Iter No Test'!$Q$9:$Q$508,59)</f>
        <v>115.01779243162773</v>
      </c>
      <c r="AL61">
        <f>1/(COUNT('Iter No Test'!$Q$9:$Q$508)-1)+$AL$60</f>
        <v>0.11623246492985979</v>
      </c>
      <c r="AN61">
        <f>SMALL('Iter No Test'!$T$9:$T$1008,59)</f>
        <v>87.32124347252136</v>
      </c>
      <c r="AO61">
        <f>1/(COUNT('Iter No Test'!$T$9:$T$1008)-1)+$AO$60</f>
        <v>5.8058058058057985E-2</v>
      </c>
      <c r="AQ61">
        <f>SMALL('Iter No Test'!$W$9:$W$5008,59)</f>
        <v>42.749822116303704</v>
      </c>
      <c r="AR61">
        <f>1/(COUNT('Iter No Test'!$W$9:$W$5008)-1)+$AR$60</f>
        <v>1.1602320464092812E-2</v>
      </c>
    </row>
    <row r="62" spans="1:44">
      <c r="D62">
        <f>SMALL('Iter No Test'!$E$9:$E$58,2)</f>
        <v>52.641351137047593</v>
      </c>
      <c r="E62">
        <f>1/(COUNT('Iter No Test'!$E$9:$E$58)-1)+$E$61</f>
        <v>2.0408163265306121E-2</v>
      </c>
      <c r="G62">
        <v>54</v>
      </c>
      <c r="H62" s="1">
        <v>71.85682484393908</v>
      </c>
      <c r="J62">
        <v>54</v>
      </c>
      <c r="K62">
        <v>197.55520886682373</v>
      </c>
      <c r="M62">
        <v>54</v>
      </c>
      <c r="N62">
        <v>122.52204587991645</v>
      </c>
      <c r="P62">
        <v>54</v>
      </c>
      <c r="Q62">
        <v>224.03967103624274</v>
      </c>
      <c r="S62">
        <v>54</v>
      </c>
      <c r="T62">
        <v>183.46780594820083</v>
      </c>
      <c r="V62">
        <v>54</v>
      </c>
      <c r="W62">
        <v>206.55361494289087</v>
      </c>
      <c r="AB62">
        <f>SMALL('Iter No Test'!$H$9:$H$83,60)</f>
        <v>284.20636956048929</v>
      </c>
      <c r="AC62">
        <f>1/(COUNT('Iter No Test'!$H$9:$H$83)-1)+$AC$61</f>
        <v>0.79729729729729626</v>
      </c>
      <c r="AE62">
        <f>SMALL('Iter No Test'!$K$9:$K$108,60)</f>
        <v>232.05420372321038</v>
      </c>
      <c r="AF62">
        <f>1/(COUNT('Iter No Test'!$K$9:$K$108)-1)+$AF$61</f>
        <v>0.5959595959595958</v>
      </c>
      <c r="AH62">
        <f>SMALL('Iter No Test'!$N$9:$N$208,60)</f>
        <v>169.4376542737424</v>
      </c>
      <c r="AI62">
        <f>1/(COUNT('Iter No Test'!$N$9:$N$208)-1)+$AI$61</f>
        <v>0.29648241206030151</v>
      </c>
      <c r="AK62">
        <f>SMALL('Iter No Test'!$Q$9:$Q$508,60)</f>
        <v>115.54873860876941</v>
      </c>
      <c r="AL62">
        <f>1/(COUNT('Iter No Test'!$Q$9:$Q$508)-1)+$AL$61</f>
        <v>0.11823647294589186</v>
      </c>
      <c r="AN62">
        <f>SMALL('Iter No Test'!$T$9:$T$1008,60)</f>
        <v>87.780886835521713</v>
      </c>
      <c r="AO62">
        <f>1/(COUNT('Iter No Test'!$T$9:$T$1008)-1)+$AO$61</f>
        <v>5.9059059059058984E-2</v>
      </c>
      <c r="AQ62">
        <f>SMALL('Iter No Test'!$W$9:$W$5008,60)</f>
        <v>43.206887615829615</v>
      </c>
      <c r="AR62">
        <f>1/(COUNT('Iter No Test'!$W$9:$W$5008)-1)+$AR$61</f>
        <v>1.1802360472094412E-2</v>
      </c>
    </row>
    <row r="63" spans="1:44">
      <c r="D63">
        <f>SMALL('Iter No Test'!$E$9:$E$58,3)</f>
        <v>96.882561002361427</v>
      </c>
      <c r="E63">
        <f>1/(COUNT('Iter No Test'!$E$9:$E$58)-1)+$E$62</f>
        <v>4.0816326530612242E-2</v>
      </c>
      <c r="G63">
        <v>55</v>
      </c>
      <c r="H63" s="1">
        <v>158.72526759648522</v>
      </c>
      <c r="J63">
        <v>55</v>
      </c>
      <c r="K63">
        <v>225.21532366209212</v>
      </c>
      <c r="M63">
        <v>55</v>
      </c>
      <c r="N63">
        <v>87.5862976030173</v>
      </c>
      <c r="P63">
        <v>55</v>
      </c>
      <c r="Q63">
        <v>127.51318757081248</v>
      </c>
      <c r="S63">
        <v>55</v>
      </c>
      <c r="T63">
        <v>88.384794168027682</v>
      </c>
      <c r="V63">
        <v>55</v>
      </c>
      <c r="W63">
        <v>74.162985110151709</v>
      </c>
      <c r="AB63">
        <f>SMALL('Iter No Test'!$H$9:$H$83,61)</f>
        <v>297.86108851720473</v>
      </c>
      <c r="AC63">
        <f>1/(COUNT('Iter No Test'!$H$9:$H$83)-1)+$AC$62</f>
        <v>0.81081081081080975</v>
      </c>
      <c r="AE63">
        <f>SMALL('Iter No Test'!$K$9:$K$108,61)</f>
        <v>236.40896475112925</v>
      </c>
      <c r="AF63">
        <f>1/(COUNT('Iter No Test'!$K$9:$K$108)-1)+$AF$62</f>
        <v>0.60606060606060586</v>
      </c>
      <c r="AH63">
        <f>SMALL('Iter No Test'!$N$9:$N$208,61)</f>
        <v>170.02037442841822</v>
      </c>
      <c r="AI63">
        <f>1/(COUNT('Iter No Test'!$N$9:$N$208)-1)+$AI$62</f>
        <v>0.30150753768844224</v>
      </c>
      <c r="AK63">
        <f>SMALL('Iter No Test'!$Q$9:$Q$508,61)</f>
        <v>116.76413298313086</v>
      </c>
      <c r="AL63">
        <f>1/(COUNT('Iter No Test'!$Q$9:$Q$508)-1)+$AL$62</f>
        <v>0.12024048096192393</v>
      </c>
      <c r="AN63">
        <f>SMALL('Iter No Test'!$T$9:$T$1008,61)</f>
        <v>88.204930589026631</v>
      </c>
      <c r="AO63">
        <f>1/(COUNT('Iter No Test'!$T$9:$T$1008)-1)+$AO$62</f>
        <v>6.0060060060059983E-2</v>
      </c>
      <c r="AQ63">
        <f>SMALL('Iter No Test'!$W$9:$W$5008,61)</f>
        <v>43.360385033288551</v>
      </c>
      <c r="AR63">
        <f>1/(COUNT('Iter No Test'!$W$9:$W$5008)-1)+$AR$62</f>
        <v>1.2002400480096011E-2</v>
      </c>
    </row>
    <row r="64" spans="1:44">
      <c r="D64">
        <f>SMALL('Iter No Test'!$E$9:$E$58,4)</f>
        <v>101.53168997338604</v>
      </c>
      <c r="E64">
        <f>1/(COUNT('Iter No Test'!$E$9:$E$58)-1)+$E$63</f>
        <v>6.1224489795918366E-2</v>
      </c>
      <c r="G64">
        <v>56</v>
      </c>
      <c r="H64" s="1">
        <v>68.923669740430043</v>
      </c>
      <c r="J64">
        <v>56</v>
      </c>
      <c r="K64">
        <v>99.686719794006194</v>
      </c>
      <c r="M64">
        <v>56</v>
      </c>
      <c r="N64">
        <v>88.297932891039565</v>
      </c>
      <c r="P64">
        <v>56</v>
      </c>
      <c r="Q64">
        <v>350.16232171625757</v>
      </c>
      <c r="S64">
        <v>56</v>
      </c>
      <c r="T64">
        <v>285.04263362805909</v>
      </c>
      <c r="V64">
        <v>56</v>
      </c>
      <c r="W64">
        <v>184.13977536383251</v>
      </c>
      <c r="AB64">
        <f>SMALL('Iter No Test'!$H$9:$H$83,62)</f>
        <v>299.08036095956516</v>
      </c>
      <c r="AC64">
        <f>1/(COUNT('Iter No Test'!$H$9:$H$83)-1)+$AC$63</f>
        <v>0.82432432432432323</v>
      </c>
      <c r="AE64">
        <f>SMALL('Iter No Test'!$K$9:$K$108,62)</f>
        <v>239.17690021278221</v>
      </c>
      <c r="AF64">
        <f>1/(COUNT('Iter No Test'!$K$9:$K$108)-1)+$AF$63</f>
        <v>0.61616161616161591</v>
      </c>
      <c r="AH64">
        <f>SMALL('Iter No Test'!$N$9:$N$208,62)</f>
        <v>170.30972346527969</v>
      </c>
      <c r="AI64">
        <f>1/(COUNT('Iter No Test'!$N$9:$N$208)-1)+$AI$63</f>
        <v>0.30653266331658297</v>
      </c>
      <c r="AK64">
        <f>SMALL('Iter No Test'!$Q$9:$Q$508,62)</f>
        <v>117.68415095748837</v>
      </c>
      <c r="AL64">
        <f>1/(COUNT('Iter No Test'!$Q$9:$Q$508)-1)+$AL$63</f>
        <v>0.12224448897795599</v>
      </c>
      <c r="AN64">
        <f>SMALL('Iter No Test'!$T$9:$T$1008,62)</f>
        <v>88.384794168027682</v>
      </c>
      <c r="AO64">
        <f>1/(COUNT('Iter No Test'!$T$9:$T$1008)-1)+$AO$63</f>
        <v>6.1061061061060982E-2</v>
      </c>
      <c r="AQ64">
        <f>SMALL('Iter No Test'!$W$9:$W$5008,62)</f>
        <v>43.684547195146138</v>
      </c>
      <c r="AR64">
        <f>1/(COUNT('Iter No Test'!$W$9:$W$5008)-1)+$AR$63</f>
        <v>1.2202440488097611E-2</v>
      </c>
    </row>
    <row r="65" spans="4:44">
      <c r="D65">
        <f>SMALL('Iter No Test'!$E$9:$E$58,5)</f>
        <v>101.68224089231938</v>
      </c>
      <c r="E65">
        <f>1/(COUNT('Iter No Test'!$E$9:$E$58)-1)+$E$64</f>
        <v>8.1632653061224483E-2</v>
      </c>
      <c r="G65">
        <v>57</v>
      </c>
      <c r="H65" s="1">
        <v>466.70807407657981</v>
      </c>
      <c r="J65">
        <v>57</v>
      </c>
      <c r="K65">
        <v>372.36497216594825</v>
      </c>
      <c r="M65">
        <v>57</v>
      </c>
      <c r="N65">
        <v>406.28645514079426</v>
      </c>
      <c r="P65">
        <v>57</v>
      </c>
      <c r="Q65">
        <v>306.84390878603415</v>
      </c>
      <c r="S65">
        <v>57</v>
      </c>
      <c r="T65">
        <v>291.26868447392792</v>
      </c>
      <c r="V65">
        <v>57</v>
      </c>
      <c r="W65">
        <v>204.86799860611018</v>
      </c>
      <c r="AB65">
        <f>SMALL('Iter No Test'!$H$9:$H$83,63)</f>
        <v>299.25493392224439</v>
      </c>
      <c r="AC65">
        <f>1/(COUNT('Iter No Test'!$H$9:$H$83)-1)+$AC$64</f>
        <v>0.83783783783783672</v>
      </c>
      <c r="AE65">
        <f>SMALL('Iter No Test'!$K$9:$K$108,63)</f>
        <v>244.69700799842013</v>
      </c>
      <c r="AF65">
        <f>1/(COUNT('Iter No Test'!$K$9:$K$108)-1)+$AF$64</f>
        <v>0.62626262626262597</v>
      </c>
      <c r="AH65">
        <f>SMALL('Iter No Test'!$N$9:$N$208,63)</f>
        <v>171.11012654991754</v>
      </c>
      <c r="AI65">
        <f>1/(COUNT('Iter No Test'!$N$9:$N$208)-1)+$AI$64</f>
        <v>0.31155778894472369</v>
      </c>
      <c r="AK65">
        <f>SMALL('Iter No Test'!$Q$9:$Q$508,63)</f>
        <v>118.38886893966503</v>
      </c>
      <c r="AL65">
        <f>1/(COUNT('Iter No Test'!$Q$9:$Q$508)-1)+$AL$64</f>
        <v>0.12424849699398806</v>
      </c>
      <c r="AN65">
        <f>SMALL('Iter No Test'!$T$9:$T$1008,63)</f>
        <v>88.909535897470903</v>
      </c>
      <c r="AO65">
        <f>1/(COUNT('Iter No Test'!$T$9:$T$1008)-1)+$AO$64</f>
        <v>6.2062062062061982E-2</v>
      </c>
      <c r="AQ65">
        <f>SMALL('Iter No Test'!$W$9:$W$5008,63)</f>
        <v>44.109540584433049</v>
      </c>
      <c r="AR65">
        <f>1/(COUNT('Iter No Test'!$W$9:$W$5008)-1)+$AR$64</f>
        <v>1.2402480496099211E-2</v>
      </c>
    </row>
    <row r="66" spans="4:44">
      <c r="D66">
        <f>SMALL('Iter No Test'!$E$9:$E$58,6)</f>
        <v>102.37532002549416</v>
      </c>
      <c r="E66">
        <f>1/(COUNT('Iter No Test'!$E$9:$E$58)-1)+$E$65</f>
        <v>0.1020408163265306</v>
      </c>
      <c r="G66">
        <v>58</v>
      </c>
      <c r="H66" s="1">
        <v>329.29158896945916</v>
      </c>
      <c r="J66">
        <v>58</v>
      </c>
      <c r="K66">
        <v>70.264943833025214</v>
      </c>
      <c r="M66">
        <v>58</v>
      </c>
      <c r="N66">
        <v>216.15810870884428</v>
      </c>
      <c r="P66">
        <v>58</v>
      </c>
      <c r="Q66">
        <v>314.450273866955</v>
      </c>
      <c r="S66">
        <v>58</v>
      </c>
      <c r="T66">
        <v>199.55627596918714</v>
      </c>
      <c r="V66">
        <v>58</v>
      </c>
      <c r="W66">
        <v>187.71431925608886</v>
      </c>
      <c r="AB66">
        <f>SMALL('Iter No Test'!$H$9:$H$83,64)</f>
        <v>302.11208845098793</v>
      </c>
      <c r="AC66">
        <f>1/(COUNT('Iter No Test'!$H$9:$H$83)-1)+$AC$65</f>
        <v>0.85135135135135021</v>
      </c>
      <c r="AE66">
        <f>SMALL('Iter No Test'!$K$9:$K$108,64)</f>
        <v>246.38982592485965</v>
      </c>
      <c r="AF66">
        <f>1/(COUNT('Iter No Test'!$K$9:$K$108)-1)+$AF$65</f>
        <v>0.63636363636363602</v>
      </c>
      <c r="AH66">
        <f>SMALL('Iter No Test'!$N$9:$N$208,64)</f>
        <v>171.49148150154321</v>
      </c>
      <c r="AI66">
        <f>1/(COUNT('Iter No Test'!$N$9:$N$208)-1)+$AI$65</f>
        <v>0.31658291457286442</v>
      </c>
      <c r="AK66">
        <f>SMALL('Iter No Test'!$Q$9:$Q$508,64)</f>
        <v>119.20633068989196</v>
      </c>
      <c r="AL66">
        <f>1/(COUNT('Iter No Test'!$Q$9:$Q$508)-1)+$AL$65</f>
        <v>0.12625250501002011</v>
      </c>
      <c r="AN66">
        <f>SMALL('Iter No Test'!$T$9:$T$1008,64)</f>
        <v>89.791669518038432</v>
      </c>
      <c r="AO66">
        <f>1/(COUNT('Iter No Test'!$T$9:$T$1008)-1)+$AO$65</f>
        <v>6.3063063063062988E-2</v>
      </c>
      <c r="AQ66">
        <f>SMALL('Iter No Test'!$W$9:$W$5008,64)</f>
        <v>44.578876328477591</v>
      </c>
      <c r="AR66">
        <f>1/(COUNT('Iter No Test'!$W$9:$W$5008)-1)+$AR$65</f>
        <v>1.260252050410081E-2</v>
      </c>
    </row>
    <row r="67" spans="4:44">
      <c r="D67">
        <f>SMALL('Iter No Test'!$E$9:$E$58,7)</f>
        <v>103.37013485176887</v>
      </c>
      <c r="E67">
        <f>1/(COUNT('Iter No Test'!$E$9:$E$58)-1)+$E$66</f>
        <v>0.12244897959183672</v>
      </c>
      <c r="G67">
        <v>59</v>
      </c>
      <c r="H67" s="1">
        <v>216.93517432393733</v>
      </c>
      <c r="J67">
        <v>59</v>
      </c>
      <c r="K67">
        <v>159.38392075642463</v>
      </c>
      <c r="M67">
        <v>59</v>
      </c>
      <c r="N67">
        <v>277.86931312687108</v>
      </c>
      <c r="P67">
        <v>59</v>
      </c>
      <c r="Q67">
        <v>165.35577732909292</v>
      </c>
      <c r="S67">
        <v>59</v>
      </c>
      <c r="T67">
        <v>217.95403293359567</v>
      </c>
      <c r="V67">
        <v>59</v>
      </c>
      <c r="W67">
        <v>192.76669574693597</v>
      </c>
      <c r="AB67">
        <f>SMALL('Iter No Test'!$H$9:$H$83,65)</f>
        <v>318.47800680772889</v>
      </c>
      <c r="AC67">
        <f>1/(COUNT('Iter No Test'!$H$9:$H$83)-1)+$AC$66</f>
        <v>0.86486486486486369</v>
      </c>
      <c r="AE67">
        <f>SMALL('Iter No Test'!$K$9:$K$108,65)</f>
        <v>248.22375524245089</v>
      </c>
      <c r="AF67">
        <f>1/(COUNT('Iter No Test'!$K$9:$K$108)-1)+$AF$66</f>
        <v>0.64646464646464608</v>
      </c>
      <c r="AH67">
        <f>SMALL('Iter No Test'!$N$9:$N$208,65)</f>
        <v>171.77022018093339</v>
      </c>
      <c r="AI67">
        <f>1/(COUNT('Iter No Test'!$N$9:$N$208)-1)+$AI$66</f>
        <v>0.32160804020100514</v>
      </c>
      <c r="AK67">
        <f>SMALL('Iter No Test'!$Q$9:$Q$508,65)</f>
        <v>120.82223152737183</v>
      </c>
      <c r="AL67">
        <f>1/(COUNT('Iter No Test'!$Q$9:$Q$508)-1)+$AL$66</f>
        <v>0.12825651302605218</v>
      </c>
      <c r="AN67">
        <f>SMALL('Iter No Test'!$T$9:$T$1008,65)</f>
        <v>89.919522345251806</v>
      </c>
      <c r="AO67">
        <f>1/(COUNT('Iter No Test'!$T$9:$T$1008)-1)+$AO$66</f>
        <v>6.4064064064063994E-2</v>
      </c>
      <c r="AQ67">
        <f>SMALL('Iter No Test'!$W$9:$W$5008,65)</f>
        <v>44.839270307287109</v>
      </c>
      <c r="AR67">
        <f>1/(COUNT('Iter No Test'!$W$9:$W$5008)-1)+$AR$66</f>
        <v>1.280256051210241E-2</v>
      </c>
    </row>
    <row r="68" spans="4:44">
      <c r="D68">
        <f>SMALL('Iter No Test'!$E$9:$E$58,8)</f>
        <v>112.79443145993403</v>
      </c>
      <c r="E68">
        <f>1/(COUNT('Iter No Test'!$E$9:$E$58)-1)+$E$67</f>
        <v>0.14285714285714285</v>
      </c>
      <c r="G68">
        <v>60</v>
      </c>
      <c r="H68" s="1">
        <v>167.54256973187779</v>
      </c>
      <c r="J68">
        <v>60</v>
      </c>
      <c r="K68">
        <v>350.07694635949429</v>
      </c>
      <c r="M68">
        <v>60</v>
      </c>
      <c r="N68">
        <v>128.35141068105096</v>
      </c>
      <c r="P68">
        <v>60</v>
      </c>
      <c r="Q68">
        <v>223.83025029055568</v>
      </c>
      <c r="S68">
        <v>60</v>
      </c>
      <c r="T68">
        <v>233.83733296690136</v>
      </c>
      <c r="V68">
        <v>60</v>
      </c>
      <c r="W68">
        <v>267.86054380236294</v>
      </c>
      <c r="AB68">
        <f>SMALL('Iter No Test'!$H$9:$H$83,66)</f>
        <v>323.10380967709352</v>
      </c>
      <c r="AC68">
        <f>1/(COUNT('Iter No Test'!$H$9:$H$83)-1)+$AC$67</f>
        <v>0.87837837837837718</v>
      </c>
      <c r="AE68">
        <f>SMALL('Iter No Test'!$K$9:$K$108,66)</f>
        <v>253.23466599874664</v>
      </c>
      <c r="AF68">
        <f>1/(COUNT('Iter No Test'!$K$9:$K$108)-1)+$AF$67</f>
        <v>0.65656565656565613</v>
      </c>
      <c r="AH68">
        <f>SMALL('Iter No Test'!$N$9:$N$208,66)</f>
        <v>172.2967790866218</v>
      </c>
      <c r="AI68">
        <f>1/(COUNT('Iter No Test'!$N$9:$N$208)-1)+$AI$67</f>
        <v>0.32663316582914587</v>
      </c>
      <c r="AK68">
        <f>SMALL('Iter No Test'!$Q$9:$Q$508,66)</f>
        <v>120.90013839552142</v>
      </c>
      <c r="AL68">
        <f>1/(COUNT('Iter No Test'!$Q$9:$Q$508)-1)+$AL$67</f>
        <v>0.13026052104208424</v>
      </c>
      <c r="AN68">
        <f>SMALL('Iter No Test'!$T$9:$T$1008,66)</f>
        <v>90.156095911100394</v>
      </c>
      <c r="AO68">
        <f>1/(COUNT('Iter No Test'!$T$9:$T$1008)-1)+$AO$67</f>
        <v>6.5065065065065E-2</v>
      </c>
      <c r="AQ68">
        <f>SMALL('Iter No Test'!$W$9:$W$5008,66)</f>
        <v>44.980144343151068</v>
      </c>
      <c r="AR68">
        <f>1/(COUNT('Iter No Test'!$W$9:$W$5008)-1)+$AR$67</f>
        <v>1.300260052010401E-2</v>
      </c>
    </row>
    <row r="69" spans="4:44">
      <c r="D69">
        <f>SMALL('Iter No Test'!$E$9:$E$58,9)</f>
        <v>114.82770462912644</v>
      </c>
      <c r="E69">
        <f>1/(COUNT('Iter No Test'!$E$9:$E$58)-1)+$E$68</f>
        <v>0.16326530612244897</v>
      </c>
      <c r="G69">
        <v>61</v>
      </c>
      <c r="H69" s="1">
        <v>202.53959008953979</v>
      </c>
      <c r="J69">
        <v>61</v>
      </c>
      <c r="K69">
        <v>214.95499583964892</v>
      </c>
      <c r="M69">
        <v>61</v>
      </c>
      <c r="N69">
        <v>230.00068112141346</v>
      </c>
      <c r="P69">
        <v>61</v>
      </c>
      <c r="Q69">
        <v>195.77332549228936</v>
      </c>
      <c r="S69">
        <v>61</v>
      </c>
      <c r="T69">
        <v>229.72886004663744</v>
      </c>
      <c r="V69">
        <v>61</v>
      </c>
      <c r="W69">
        <v>241.79057521548427</v>
      </c>
      <c r="AB69">
        <f>SMALL('Iter No Test'!$H$9:$H$83,67)</f>
        <v>329.29158896945916</v>
      </c>
      <c r="AC69">
        <f>1/(COUNT('Iter No Test'!$H$9:$H$83)-1)+$AC$68</f>
        <v>0.89189189189189066</v>
      </c>
      <c r="AE69">
        <f>SMALL('Iter No Test'!$K$9:$K$108,67)</f>
        <v>254.58015463921859</v>
      </c>
      <c r="AF69">
        <f>1/(COUNT('Iter No Test'!$K$9:$K$108)-1)+$AF$68</f>
        <v>0.66666666666666619</v>
      </c>
      <c r="AH69">
        <f>SMALL('Iter No Test'!$N$9:$N$208,67)</f>
        <v>173.10998248313501</v>
      </c>
      <c r="AI69">
        <f>1/(COUNT('Iter No Test'!$N$9:$N$208)-1)+$AI$68</f>
        <v>0.33165829145728659</v>
      </c>
      <c r="AK69">
        <f>SMALL('Iter No Test'!$Q$9:$Q$508,67)</f>
        <v>123.73204393309094</v>
      </c>
      <c r="AL69">
        <f>1/(COUNT('Iter No Test'!$Q$9:$Q$508)-1)+$AL$68</f>
        <v>0.13226452905811631</v>
      </c>
      <c r="AN69">
        <f>SMALL('Iter No Test'!$T$9:$T$1008,67)</f>
        <v>91.374559658361903</v>
      </c>
      <c r="AO69">
        <f>1/(COUNT('Iter No Test'!$T$9:$T$1008)-1)+$AO$68</f>
        <v>6.6066066066066007E-2</v>
      </c>
      <c r="AQ69">
        <f>SMALL('Iter No Test'!$W$9:$W$5008,67)</f>
        <v>45.572193972098262</v>
      </c>
      <c r="AR69">
        <f>1/(COUNT('Iter No Test'!$W$9:$W$5008)-1)+$AR$68</f>
        <v>1.3202640528105609E-2</v>
      </c>
    </row>
    <row r="70" spans="4:44">
      <c r="D70">
        <f>SMALL('Iter No Test'!$E$9:$E$58,10)</f>
        <v>123.22894774025703</v>
      </c>
      <c r="E70">
        <f>1/(COUNT('Iter No Test'!$E$9:$E$58)-1)+$E$69</f>
        <v>0.18367346938775508</v>
      </c>
      <c r="G70">
        <v>62</v>
      </c>
      <c r="H70" s="1">
        <v>189.16966082159485</v>
      </c>
      <c r="J70">
        <v>62</v>
      </c>
      <c r="K70">
        <v>167.43050495232595</v>
      </c>
      <c r="M70">
        <v>62</v>
      </c>
      <c r="N70">
        <v>220.8918175401642</v>
      </c>
      <c r="P70">
        <v>62</v>
      </c>
      <c r="Q70">
        <v>179.90729612019868</v>
      </c>
      <c r="S70">
        <v>62</v>
      </c>
      <c r="T70">
        <v>162.6765953391965</v>
      </c>
      <c r="V70">
        <v>62</v>
      </c>
      <c r="W70">
        <v>192.31663114304314</v>
      </c>
      <c r="AB70">
        <f>SMALL('Iter No Test'!$H$9:$H$83,68)</f>
        <v>355.46472795944851</v>
      </c>
      <c r="AC70">
        <f>1/(COUNT('Iter No Test'!$H$9:$H$83)-1)+$AC$69</f>
        <v>0.90540540540540415</v>
      </c>
      <c r="AE70">
        <f>SMALL('Iter No Test'!$K$9:$K$108,68)</f>
        <v>258.76018507976659</v>
      </c>
      <c r="AF70">
        <f>1/(COUNT('Iter No Test'!$K$9:$K$108)-1)+$AF$69</f>
        <v>0.67676767676767624</v>
      </c>
      <c r="AH70">
        <f>SMALL('Iter No Test'!$N$9:$N$208,68)</f>
        <v>175.03196354952581</v>
      </c>
      <c r="AI70">
        <f>1/(COUNT('Iter No Test'!$N$9:$N$208)-1)+$AI$69</f>
        <v>0.33668341708542732</v>
      </c>
      <c r="AK70">
        <f>SMALL('Iter No Test'!$Q$9:$Q$508,68)</f>
        <v>123.98525721616133</v>
      </c>
      <c r="AL70">
        <f>1/(COUNT('Iter No Test'!$Q$9:$Q$508)-1)+$AL$69</f>
        <v>0.13426853707414838</v>
      </c>
      <c r="AN70">
        <f>SMALL('Iter No Test'!$T$9:$T$1008,68)</f>
        <v>91.635745545171062</v>
      </c>
      <c r="AO70">
        <f>1/(COUNT('Iter No Test'!$T$9:$T$1008)-1)+$AO$69</f>
        <v>6.7067067067067013E-2</v>
      </c>
      <c r="AQ70">
        <f>SMALL('Iter No Test'!$W$9:$W$5008,68)</f>
        <v>45.921607511802478</v>
      </c>
      <c r="AR70">
        <f>1/(COUNT('Iter No Test'!$W$9:$W$5008)-1)+$AR$69</f>
        <v>1.3402680536107209E-2</v>
      </c>
    </row>
    <row r="71" spans="4:44">
      <c r="D71">
        <f>SMALL('Iter No Test'!$E$9:$E$58,11)</f>
        <v>150.85022653564437</v>
      </c>
      <c r="E71">
        <f>1/(COUNT('Iter No Test'!$E$9:$E$58)-1)+$E$70</f>
        <v>0.2040816326530612</v>
      </c>
      <c r="G71">
        <v>63</v>
      </c>
      <c r="H71" s="1">
        <v>162.9147324067894</v>
      </c>
      <c r="J71">
        <v>63</v>
      </c>
      <c r="K71">
        <v>375.17577797234037</v>
      </c>
      <c r="M71">
        <v>63</v>
      </c>
      <c r="N71">
        <v>60.33809494866216</v>
      </c>
      <c r="P71">
        <v>63</v>
      </c>
      <c r="Q71">
        <v>271.92845662689854</v>
      </c>
      <c r="S71">
        <v>63</v>
      </c>
      <c r="T71">
        <v>158.89376480231761</v>
      </c>
      <c r="V71">
        <v>63</v>
      </c>
      <c r="W71">
        <v>168.49816579072095</v>
      </c>
      <c r="AB71">
        <f>SMALL('Iter No Test'!$H$9:$H$83,69)</f>
        <v>361.28520813418254</v>
      </c>
      <c r="AC71">
        <f>1/(COUNT('Iter No Test'!$H$9:$H$83)-1)+$AC$70</f>
        <v>0.91891891891891764</v>
      </c>
      <c r="AE71">
        <f>SMALL('Iter No Test'!$K$9:$K$108,69)</f>
        <v>262.9878472946516</v>
      </c>
      <c r="AF71">
        <f>1/(COUNT('Iter No Test'!$K$9:$K$108)-1)+$AF$70</f>
        <v>0.6868686868686863</v>
      </c>
      <c r="AH71">
        <f>SMALL('Iter No Test'!$N$9:$N$208,69)</f>
        <v>175.61435792929058</v>
      </c>
      <c r="AI71">
        <f>1/(COUNT('Iter No Test'!$N$9:$N$208)-1)+$AI$70</f>
        <v>0.34170854271356804</v>
      </c>
      <c r="AK71">
        <f>SMALL('Iter No Test'!$Q$9:$Q$508,69)</f>
        <v>124.4390817344844</v>
      </c>
      <c r="AL71">
        <f>1/(COUNT('Iter No Test'!$Q$9:$Q$508)-1)+$AL$70</f>
        <v>0.13627254509018044</v>
      </c>
      <c r="AN71">
        <f>SMALL('Iter No Test'!$T$9:$T$1008,69)</f>
        <v>92.495376140336475</v>
      </c>
      <c r="AO71">
        <f>1/(COUNT('Iter No Test'!$T$9:$T$1008)-1)+$AO$70</f>
        <v>6.8068068068068019E-2</v>
      </c>
      <c r="AQ71">
        <f>SMALL('Iter No Test'!$W$9:$W$5008,69)</f>
        <v>45.938698927979502</v>
      </c>
      <c r="AR71">
        <f>1/(COUNT('Iter No Test'!$W$9:$W$5008)-1)+$AR$70</f>
        <v>1.3602720544108809E-2</v>
      </c>
    </row>
    <row r="72" spans="4:44">
      <c r="D72">
        <f>SMALL('Iter No Test'!$E$9:$E$58,12)</f>
        <v>160.83305958206461</v>
      </c>
      <c r="E72">
        <f>1/(COUNT('Iter No Test'!$E$9:$E$58)-1)+$E$71</f>
        <v>0.22448979591836732</v>
      </c>
      <c r="G72">
        <v>64</v>
      </c>
      <c r="H72" s="1">
        <v>149.53762032636052</v>
      </c>
      <c r="J72">
        <v>64</v>
      </c>
      <c r="K72">
        <v>199.83340377144199</v>
      </c>
      <c r="M72">
        <v>64</v>
      </c>
      <c r="N72">
        <v>175.61435792929058</v>
      </c>
      <c r="P72">
        <v>64</v>
      </c>
      <c r="Q72">
        <v>258.62462877162397</v>
      </c>
      <c r="S72">
        <v>64</v>
      </c>
      <c r="T72">
        <v>255.55608818181014</v>
      </c>
      <c r="V72">
        <v>64</v>
      </c>
      <c r="W72">
        <v>144.69001693065346</v>
      </c>
      <c r="AB72">
        <f>SMALL('Iter No Test'!$H$9:$H$83,70)</f>
        <v>363.58930766531626</v>
      </c>
      <c r="AC72">
        <f>1/(COUNT('Iter No Test'!$H$9:$H$83)-1)+$AC$71</f>
        <v>0.93243243243243112</v>
      </c>
      <c r="AE72">
        <f>SMALL('Iter No Test'!$K$9:$K$108,70)</f>
        <v>263.01658216132671</v>
      </c>
      <c r="AF72">
        <f>1/(COUNT('Iter No Test'!$K$9:$K$108)-1)+$AF$71</f>
        <v>0.69696969696969635</v>
      </c>
      <c r="AH72">
        <f>SMALL('Iter No Test'!$N$9:$N$208,70)</f>
        <v>179.17873336980654</v>
      </c>
      <c r="AI72">
        <f>1/(COUNT('Iter No Test'!$N$9:$N$208)-1)+$AI$71</f>
        <v>0.34673366834170877</v>
      </c>
      <c r="AK72">
        <f>SMALL('Iter No Test'!$Q$9:$Q$508,70)</f>
        <v>125.17396160857524</v>
      </c>
      <c r="AL72">
        <f>1/(COUNT('Iter No Test'!$Q$9:$Q$508)-1)+$AL$71</f>
        <v>0.13827655310621251</v>
      </c>
      <c r="AN72">
        <f>SMALL('Iter No Test'!$T$9:$T$1008,70)</f>
        <v>93.604462688950036</v>
      </c>
      <c r="AO72">
        <f>1/(COUNT('Iter No Test'!$T$9:$T$1008)-1)+$AO$71</f>
        <v>6.9069069069069025E-2</v>
      </c>
      <c r="AQ72">
        <f>SMALL('Iter No Test'!$W$9:$W$5008,70)</f>
        <v>46.005150118301309</v>
      </c>
      <c r="AR72">
        <f>1/(COUNT('Iter No Test'!$W$9:$W$5008)-1)+$AR$71</f>
        <v>1.3802760552110408E-2</v>
      </c>
    </row>
    <row r="73" spans="4:44">
      <c r="D73">
        <f>SMALL('Iter No Test'!$E$9:$E$58,13)</f>
        <v>162.95629055781455</v>
      </c>
      <c r="E73">
        <f>1/(COUNT('Iter No Test'!$E$9:$E$58)-1)+$E$72</f>
        <v>0.24489795918367344</v>
      </c>
      <c r="G73">
        <v>65</v>
      </c>
      <c r="H73" s="1">
        <v>249.69323398018281</v>
      </c>
      <c r="J73">
        <v>65</v>
      </c>
      <c r="K73">
        <v>190.47676235490638</v>
      </c>
      <c r="M73">
        <v>65</v>
      </c>
      <c r="N73">
        <v>179.62059743419053</v>
      </c>
      <c r="P73">
        <v>65</v>
      </c>
      <c r="Q73">
        <v>306.95695949720522</v>
      </c>
      <c r="S73">
        <v>65</v>
      </c>
      <c r="T73">
        <v>458.84253337896871</v>
      </c>
      <c r="V73">
        <v>65</v>
      </c>
      <c r="W73">
        <v>284.97684066618172</v>
      </c>
      <c r="AB73">
        <f>SMALL('Iter No Test'!$H$9:$H$83,71)</f>
        <v>396.78690201719121</v>
      </c>
      <c r="AC73">
        <f>1/(COUNT('Iter No Test'!$H$9:$H$83)-1)+$AC$72</f>
        <v>0.94594594594594461</v>
      </c>
      <c r="AE73">
        <f>SMALL('Iter No Test'!$K$9:$K$108,71)</f>
        <v>264.8146962547417</v>
      </c>
      <c r="AF73">
        <f>1/(COUNT('Iter No Test'!$K$9:$K$108)-1)+$AF$72</f>
        <v>0.70707070707070641</v>
      </c>
      <c r="AH73">
        <f>SMALL('Iter No Test'!$N$9:$N$208,71)</f>
        <v>179.52472346730093</v>
      </c>
      <c r="AI73">
        <f>1/(COUNT('Iter No Test'!$N$9:$N$208)-1)+$AI$72</f>
        <v>0.35175879396984949</v>
      </c>
      <c r="AK73">
        <f>SMALL('Iter No Test'!$Q$9:$Q$508,71)</f>
        <v>126.09512620086623</v>
      </c>
      <c r="AL73">
        <f>1/(COUNT('Iter No Test'!$Q$9:$Q$508)-1)+$AL$72</f>
        <v>0.14028056112224457</v>
      </c>
      <c r="AN73">
        <f>SMALL('Iter No Test'!$T$9:$T$1008,71)</f>
        <v>93.711474626270061</v>
      </c>
      <c r="AO73">
        <f>1/(COUNT('Iter No Test'!$T$9:$T$1008)-1)+$AO$72</f>
        <v>7.0070070070070031E-2</v>
      </c>
      <c r="AQ73">
        <f>SMALL('Iter No Test'!$W$9:$W$5008,71)</f>
        <v>46.247503305452597</v>
      </c>
      <c r="AR73">
        <f>1/(COUNT('Iter No Test'!$W$9:$W$5008)-1)+$AR$72</f>
        <v>1.4002800560112008E-2</v>
      </c>
    </row>
    <row r="74" spans="4:44">
      <c r="D74">
        <f>SMALL('Iter No Test'!$E$9:$E$58,14)</f>
        <v>164.78423816689894</v>
      </c>
      <c r="E74">
        <f>1/(COUNT('Iter No Test'!$E$9:$E$58)-1)+$E$73</f>
        <v>0.26530612244897955</v>
      </c>
      <c r="G74">
        <v>66</v>
      </c>
      <c r="H74" s="1">
        <v>284.20636956048929</v>
      </c>
      <c r="J74">
        <v>66</v>
      </c>
      <c r="K74">
        <v>154.11108010610479</v>
      </c>
      <c r="M74">
        <v>66</v>
      </c>
      <c r="N74">
        <v>252.11934341346011</v>
      </c>
      <c r="P74">
        <v>66</v>
      </c>
      <c r="Q74">
        <v>206.45719607838689</v>
      </c>
      <c r="S74">
        <v>66</v>
      </c>
      <c r="T74">
        <v>149.13961358642462</v>
      </c>
      <c r="V74">
        <v>66</v>
      </c>
      <c r="W74">
        <v>274.76684652891606</v>
      </c>
      <c r="AB74">
        <f>SMALL('Iter No Test'!$H$9:$H$83,72)</f>
        <v>405.52521633779122</v>
      </c>
      <c r="AC74">
        <f>1/(COUNT('Iter No Test'!$H$9:$H$83)-1)+$AC$73</f>
        <v>0.9594594594594581</v>
      </c>
      <c r="AE74">
        <f>SMALL('Iter No Test'!$K$9:$K$108,72)</f>
        <v>268.09923983113276</v>
      </c>
      <c r="AF74">
        <f>1/(COUNT('Iter No Test'!$K$9:$K$108)-1)+$AF$73</f>
        <v>0.71717171717171646</v>
      </c>
      <c r="AH74">
        <f>SMALL('Iter No Test'!$N$9:$N$208,72)</f>
        <v>179.62059743419053</v>
      </c>
      <c r="AI74">
        <f>1/(COUNT('Iter No Test'!$N$9:$N$208)-1)+$AI$73</f>
        <v>0.35678391959799022</v>
      </c>
      <c r="AK74">
        <f>SMALL('Iter No Test'!$Q$9:$Q$508,72)</f>
        <v>126.18888807395618</v>
      </c>
      <c r="AL74">
        <f>1/(COUNT('Iter No Test'!$Q$9:$Q$508)-1)+$AL$73</f>
        <v>0.14228456913827664</v>
      </c>
      <c r="AN74">
        <f>SMALL('Iter No Test'!$T$9:$T$1008,72)</f>
        <v>93.73805435361389</v>
      </c>
      <c r="AO74">
        <f>1/(COUNT('Iter No Test'!$T$9:$T$1008)-1)+$AO$73</f>
        <v>7.1071071071071037E-2</v>
      </c>
      <c r="AQ74">
        <f>SMALL('Iter No Test'!$W$9:$W$5008,72)</f>
        <v>46.850035083494745</v>
      </c>
      <c r="AR74">
        <f>1/(COUNT('Iter No Test'!$W$9:$W$5008)-1)+$AR$73</f>
        <v>1.4202840568113608E-2</v>
      </c>
    </row>
    <row r="75" spans="4:44">
      <c r="D75">
        <f>SMALL('Iter No Test'!$E$9:$E$58,15)</f>
        <v>167.27397331408102</v>
      </c>
      <c r="E75">
        <f>1/(COUNT('Iter No Test'!$E$9:$E$58)-1)+$E$74</f>
        <v>0.2857142857142857</v>
      </c>
      <c r="G75">
        <v>67</v>
      </c>
      <c r="H75" s="1">
        <v>281.48691062161572</v>
      </c>
      <c r="J75">
        <v>67</v>
      </c>
      <c r="K75">
        <v>158.76515525812457</v>
      </c>
      <c r="M75">
        <v>67</v>
      </c>
      <c r="N75">
        <v>287.51613514508904</v>
      </c>
      <c r="P75">
        <v>67</v>
      </c>
      <c r="Q75">
        <v>330.11217923358333</v>
      </c>
      <c r="S75">
        <v>67</v>
      </c>
      <c r="T75">
        <v>107.44624508740034</v>
      </c>
      <c r="V75">
        <v>67</v>
      </c>
      <c r="W75">
        <v>336.5429929141709</v>
      </c>
      <c r="AB75">
        <f>SMALL('Iter No Test'!$H$9:$H$83,73)</f>
        <v>432.75738081976863</v>
      </c>
      <c r="AC75">
        <f>1/(COUNT('Iter No Test'!$H$9:$H$83)-1)+$AC$74</f>
        <v>0.97297297297297158</v>
      </c>
      <c r="AE75">
        <f>SMALL('Iter No Test'!$K$9:$K$108,73)</f>
        <v>271.74555947847455</v>
      </c>
      <c r="AF75">
        <f>1/(COUNT('Iter No Test'!$K$9:$K$108)-1)+$AF$74</f>
        <v>0.72727272727272652</v>
      </c>
      <c r="AH75">
        <f>SMALL('Iter No Test'!$N$9:$N$208,73)</f>
        <v>181.06802715003147</v>
      </c>
      <c r="AI75">
        <f>1/(COUNT('Iter No Test'!$N$9:$N$208)-1)+$AI$74</f>
        <v>0.36180904522613094</v>
      </c>
      <c r="AK75">
        <f>SMALL('Iter No Test'!$Q$9:$Q$508,73)</f>
        <v>126.23022393731051</v>
      </c>
      <c r="AL75">
        <f>1/(COUNT('Iter No Test'!$Q$9:$Q$508)-1)+$AL$74</f>
        <v>0.14428857715430871</v>
      </c>
      <c r="AN75">
        <f>SMALL('Iter No Test'!$T$9:$T$1008,73)</f>
        <v>93.769860184290479</v>
      </c>
      <c r="AO75">
        <f>1/(COUNT('Iter No Test'!$T$9:$T$1008)-1)+$AO$74</f>
        <v>7.2072072072072044E-2</v>
      </c>
      <c r="AQ75">
        <f>SMALL('Iter No Test'!$W$9:$W$5008,73)</f>
        <v>46.895956103817781</v>
      </c>
      <c r="AR75">
        <f>1/(COUNT('Iter No Test'!$W$9:$W$5008)-1)+$AR$74</f>
        <v>1.4402880576115207E-2</v>
      </c>
    </row>
    <row r="76" spans="4:44">
      <c r="D76">
        <f>SMALL('Iter No Test'!$E$9:$E$58,16)</f>
        <v>167.76788666345902</v>
      </c>
      <c r="E76">
        <f>1/(COUNT('Iter No Test'!$E$9:$E$58)-1)+$E$75</f>
        <v>0.30612244897959184</v>
      </c>
      <c r="G76">
        <v>68</v>
      </c>
      <c r="H76" s="1">
        <v>249.35182841133138</v>
      </c>
      <c r="J76">
        <v>68</v>
      </c>
      <c r="K76">
        <v>53.866325229975004</v>
      </c>
      <c r="M76">
        <v>68</v>
      </c>
      <c r="N76">
        <v>284.41947571026401</v>
      </c>
      <c r="P76">
        <v>68</v>
      </c>
      <c r="Q76">
        <v>218.99361822755702</v>
      </c>
      <c r="S76">
        <v>68</v>
      </c>
      <c r="T76">
        <v>314.99697828460364</v>
      </c>
      <c r="V76">
        <v>68</v>
      </c>
      <c r="W76">
        <v>240.78587987729881</v>
      </c>
      <c r="AB76">
        <f>SMALL('Iter No Test'!$H$9:$H$83,74)</f>
        <v>454.65333616816065</v>
      </c>
      <c r="AC76">
        <f>1/(COUNT('Iter No Test'!$H$9:$H$83)-1)+$AC$75</f>
        <v>0.98648648648648507</v>
      </c>
      <c r="AE76">
        <f>SMALL('Iter No Test'!$K$9:$K$108,74)</f>
        <v>272.75482476397968</v>
      </c>
      <c r="AF76">
        <f>1/(COUNT('Iter No Test'!$K$9:$K$108)-1)+$AF$75</f>
        <v>0.73737373737373657</v>
      </c>
      <c r="AH76">
        <f>SMALL('Iter No Test'!$N$9:$N$208,74)</f>
        <v>181.52388476846289</v>
      </c>
      <c r="AI76">
        <f>1/(COUNT('Iter No Test'!$N$9:$N$208)-1)+$AI$75</f>
        <v>0.36683417085427167</v>
      </c>
      <c r="AK76">
        <f>SMALL('Iter No Test'!$Q$9:$Q$508,74)</f>
        <v>126.49263821271788</v>
      </c>
      <c r="AL76">
        <f>1/(COUNT('Iter No Test'!$Q$9:$Q$508)-1)+$AL$75</f>
        <v>0.14629258517034077</v>
      </c>
      <c r="AN76">
        <f>SMALL('Iter No Test'!$T$9:$T$1008,74)</f>
        <v>94.318771214748963</v>
      </c>
      <c r="AO76">
        <f>1/(COUNT('Iter No Test'!$T$9:$T$1008)-1)+$AO$75</f>
        <v>7.307307307307305E-2</v>
      </c>
      <c r="AQ76">
        <f>SMALL('Iter No Test'!$W$9:$W$5008,74)</f>
        <v>47.003435730026766</v>
      </c>
      <c r="AR76">
        <f>1/(COUNT('Iter No Test'!$W$9:$W$5008)-1)+$AR$75</f>
        <v>1.4602920584116807E-2</v>
      </c>
    </row>
    <row r="77" spans="4:44">
      <c r="D77">
        <f>SMALL('Iter No Test'!$E$9:$E$58,17)</f>
        <v>168.96065628486235</v>
      </c>
      <c r="E77">
        <f>1/(COUNT('Iter No Test'!$E$9:$E$58)-1)+$E$76</f>
        <v>0.32653061224489799</v>
      </c>
      <c r="G77">
        <v>69</v>
      </c>
      <c r="H77" s="1">
        <v>175.71826091973585</v>
      </c>
      <c r="J77">
        <v>69</v>
      </c>
      <c r="K77">
        <v>179.28005258300183</v>
      </c>
      <c r="M77">
        <v>69</v>
      </c>
      <c r="N77">
        <v>355.8685153951659</v>
      </c>
      <c r="P77">
        <v>69</v>
      </c>
      <c r="Q77">
        <v>223.3793164327908</v>
      </c>
      <c r="S77">
        <v>69</v>
      </c>
      <c r="T77">
        <v>287.77225418136783</v>
      </c>
      <c r="V77">
        <v>69</v>
      </c>
      <c r="W77">
        <v>351.0842782085486</v>
      </c>
      <c r="AB77">
        <f>SMALL('Iter No Test'!$H$9:$H$83,75)</f>
        <v>466.70807407657981</v>
      </c>
      <c r="AC77">
        <f>1/(COUNT('Iter No Test'!$H$9:$H$83)-1)+$AC$76</f>
        <v>0.99999999999999856</v>
      </c>
      <c r="AE77">
        <f>SMALL('Iter No Test'!$K$9:$K$108,75)</f>
        <v>273.08343447344441</v>
      </c>
      <c r="AF77">
        <f>1/(COUNT('Iter No Test'!$K$9:$K$108)-1)+$AF$76</f>
        <v>0.74747474747474663</v>
      </c>
      <c r="AH77">
        <f>SMALL('Iter No Test'!$N$9:$N$208,75)</f>
        <v>184.57015452135266</v>
      </c>
      <c r="AI77">
        <f>1/(COUNT('Iter No Test'!$N$9:$N$208)-1)+$AI$76</f>
        <v>0.37185929648241239</v>
      </c>
      <c r="AK77">
        <f>SMALL('Iter No Test'!$Q$9:$Q$508,75)</f>
        <v>127.51318757081248</v>
      </c>
      <c r="AL77">
        <f>1/(COUNT('Iter No Test'!$Q$9:$Q$508)-1)+$AL$76</f>
        <v>0.14829659318637284</v>
      </c>
      <c r="AN77">
        <f>SMALL('Iter No Test'!$T$9:$T$1008,75)</f>
        <v>94.771558358368083</v>
      </c>
      <c r="AO77">
        <f>1/(COUNT('Iter No Test'!$T$9:$T$1008)-1)+$AO$76</f>
        <v>7.4074074074074056E-2</v>
      </c>
      <c r="AQ77">
        <f>SMALL('Iter No Test'!$W$9:$W$5008,75)</f>
        <v>47.559318616550613</v>
      </c>
      <c r="AR77">
        <f>1/(COUNT('Iter No Test'!$W$9:$W$5008)-1)+$AR$76</f>
        <v>1.4802960592118407E-2</v>
      </c>
    </row>
    <row r="78" spans="4:44">
      <c r="D78">
        <f>SMALL('Iter No Test'!$E$9:$E$58,18)</f>
        <v>183.11531613479661</v>
      </c>
      <c r="E78">
        <f>1/(COUNT('Iter No Test'!$E$9:$E$58)-1)+$E$77</f>
        <v>0.34693877551020413</v>
      </c>
      <c r="G78">
        <v>70</v>
      </c>
      <c r="H78" s="1">
        <v>241.16501815315962</v>
      </c>
      <c r="J78">
        <v>70</v>
      </c>
      <c r="K78">
        <v>236.40896475112925</v>
      </c>
      <c r="M78">
        <v>70</v>
      </c>
      <c r="N78">
        <v>138.59405923409179</v>
      </c>
      <c r="P78">
        <v>70</v>
      </c>
      <c r="Q78">
        <v>197.88056788888576</v>
      </c>
      <c r="S78">
        <v>70</v>
      </c>
      <c r="T78">
        <v>356.01065909129642</v>
      </c>
      <c r="V78">
        <v>70</v>
      </c>
      <c r="W78">
        <v>240.7073584540243</v>
      </c>
      <c r="AE78">
        <f>SMALL('Iter No Test'!$K$9:$K$108,76)</f>
        <v>273.85811851618229</v>
      </c>
      <c r="AF78">
        <f>1/(COUNT('Iter No Test'!$K$9:$K$108)-1)+$AF$77</f>
        <v>0.75757575757575668</v>
      </c>
      <c r="AH78">
        <f>SMALL('Iter No Test'!$N$9:$N$208,76)</f>
        <v>189.20252350184995</v>
      </c>
      <c r="AI78">
        <f>1/(COUNT('Iter No Test'!$N$9:$N$208)-1)+$AI$77</f>
        <v>0.37688442211055312</v>
      </c>
      <c r="AK78">
        <f>SMALL('Iter No Test'!$Q$9:$Q$508,76)</f>
        <v>127.57130795400346</v>
      </c>
      <c r="AL78">
        <f>1/(COUNT('Iter No Test'!$Q$9:$Q$508)-1)+$AL$77</f>
        <v>0.1503006012024049</v>
      </c>
      <c r="AN78">
        <f>SMALL('Iter No Test'!$T$9:$T$1008,76)</f>
        <v>95.690305879394728</v>
      </c>
      <c r="AO78">
        <f>1/(COUNT('Iter No Test'!$T$9:$T$1008)-1)+$AO$77</f>
        <v>7.5075075075075062E-2</v>
      </c>
      <c r="AQ78">
        <f>SMALL('Iter No Test'!$W$9:$W$5008,76)</f>
        <v>47.694024383319729</v>
      </c>
      <c r="AR78">
        <f>1/(COUNT('Iter No Test'!$W$9:$W$5008)-1)+$AR$77</f>
        <v>1.5003000600120006E-2</v>
      </c>
    </row>
    <row r="79" spans="4:44">
      <c r="D79">
        <f>SMALL('Iter No Test'!$E$9:$E$58,19)</f>
        <v>185.77615349662062</v>
      </c>
      <c r="E79">
        <f>1/(COUNT('Iter No Test'!$E$9:$E$58)-1)+$E$78</f>
        <v>0.36734693877551028</v>
      </c>
      <c r="G79">
        <v>71</v>
      </c>
      <c r="H79" s="1">
        <v>153.3356163747298</v>
      </c>
      <c r="J79">
        <v>71</v>
      </c>
      <c r="K79">
        <v>332.40866668304778</v>
      </c>
      <c r="M79">
        <v>71</v>
      </c>
      <c r="N79">
        <v>218.87123984360792</v>
      </c>
      <c r="P79">
        <v>71</v>
      </c>
      <c r="Q79">
        <v>178.92979697810296</v>
      </c>
      <c r="S79">
        <v>71</v>
      </c>
      <c r="T79">
        <v>174.47282361410024</v>
      </c>
      <c r="V79">
        <v>71</v>
      </c>
      <c r="W79">
        <v>152.40754712341618</v>
      </c>
      <c r="AE79">
        <f>SMALL('Iter No Test'!$K$9:$K$108,77)</f>
        <v>274.32779196260935</v>
      </c>
      <c r="AF79">
        <f>1/(COUNT('Iter No Test'!$K$9:$K$108)-1)+$AF$78</f>
        <v>0.76767676767676674</v>
      </c>
      <c r="AH79">
        <f>SMALL('Iter No Test'!$N$9:$N$208,77)</f>
        <v>189.90656006369417</v>
      </c>
      <c r="AI79">
        <f>1/(COUNT('Iter No Test'!$N$9:$N$208)-1)+$AI$78</f>
        <v>0.38190954773869384</v>
      </c>
      <c r="AK79">
        <f>SMALL('Iter No Test'!$Q$9:$Q$508,77)</f>
        <v>128.14260048531034</v>
      </c>
      <c r="AL79">
        <f>1/(COUNT('Iter No Test'!$Q$9:$Q$508)-1)+$AL$78</f>
        <v>0.15230460921843697</v>
      </c>
      <c r="AN79">
        <f>SMALL('Iter No Test'!$T$9:$T$1008,77)</f>
        <v>96.580286861193883</v>
      </c>
      <c r="AO79">
        <f>1/(COUNT('Iter No Test'!$T$9:$T$1008)-1)+$AO$78</f>
        <v>7.6076076076076068E-2</v>
      </c>
      <c r="AQ79">
        <f>SMALL('Iter No Test'!$W$9:$W$5008,77)</f>
        <v>48.306553074290321</v>
      </c>
      <c r="AR79">
        <f>1/(COUNT('Iter No Test'!$W$9:$W$5008)-1)+$AR$78</f>
        <v>1.5203040608121606E-2</v>
      </c>
    </row>
    <row r="80" spans="4:44">
      <c r="D80">
        <f>SMALL('Iter No Test'!$E$9:$E$58,20)</f>
        <v>188.428468228306</v>
      </c>
      <c r="E80">
        <f>1/(COUNT('Iter No Test'!$E$9:$E$58)-1)+$E$79</f>
        <v>0.38775510204081642</v>
      </c>
      <c r="G80">
        <v>72</v>
      </c>
      <c r="H80" s="1">
        <v>144.4158814028853</v>
      </c>
      <c r="J80">
        <v>72</v>
      </c>
      <c r="K80">
        <v>144.35726486110593</v>
      </c>
      <c r="M80">
        <v>72</v>
      </c>
      <c r="N80">
        <v>148.15585895767038</v>
      </c>
      <c r="P80">
        <v>72</v>
      </c>
      <c r="Q80">
        <v>240.70647317012117</v>
      </c>
      <c r="S80">
        <v>72</v>
      </c>
      <c r="T80">
        <v>209.77993457551074</v>
      </c>
      <c r="V80">
        <v>72</v>
      </c>
      <c r="W80">
        <v>111.65052161005707</v>
      </c>
      <c r="AE80">
        <f>SMALL('Iter No Test'!$K$9:$K$108,78)</f>
        <v>276.04394687579213</v>
      </c>
      <c r="AF80">
        <f>1/(COUNT('Iter No Test'!$K$9:$K$108)-1)+$AF$79</f>
        <v>0.77777777777777679</v>
      </c>
      <c r="AH80">
        <f>SMALL('Iter No Test'!$N$9:$N$208,78)</f>
        <v>189.96172442330311</v>
      </c>
      <c r="AI80">
        <f>1/(COUNT('Iter No Test'!$N$9:$N$208)-1)+$AI$79</f>
        <v>0.38693467336683457</v>
      </c>
      <c r="AK80">
        <f>SMALL('Iter No Test'!$Q$9:$Q$508,78)</f>
        <v>129.18639323130589</v>
      </c>
      <c r="AL80">
        <f>1/(COUNT('Iter No Test'!$Q$9:$Q$508)-1)+$AL$79</f>
        <v>0.15430861723446904</v>
      </c>
      <c r="AN80">
        <f>SMALL('Iter No Test'!$T$9:$T$1008,78)</f>
        <v>96.652118182999047</v>
      </c>
      <c r="AO80">
        <f>1/(COUNT('Iter No Test'!$T$9:$T$1008)-1)+$AO$79</f>
        <v>7.7077077077077075E-2</v>
      </c>
      <c r="AQ80">
        <f>SMALL('Iter No Test'!$W$9:$W$5008,78)</f>
        <v>48.390964909039894</v>
      </c>
      <c r="AR80">
        <f>1/(COUNT('Iter No Test'!$W$9:$W$5008)-1)+$AR$79</f>
        <v>1.5403080616123206E-2</v>
      </c>
    </row>
    <row r="81" spans="4:44">
      <c r="D81">
        <f>SMALL('Iter No Test'!$E$9:$E$58,21)</f>
        <v>188.87954764685244</v>
      </c>
      <c r="E81">
        <f>1/(COUNT('Iter No Test'!$E$9:$E$58)-1)+$E$80</f>
        <v>0.40816326530612257</v>
      </c>
      <c r="G81">
        <v>73</v>
      </c>
      <c r="H81" s="1">
        <v>187.1402277067898</v>
      </c>
      <c r="J81">
        <v>73</v>
      </c>
      <c r="K81">
        <v>227.63172965803801</v>
      </c>
      <c r="M81">
        <v>73</v>
      </c>
      <c r="N81">
        <v>184.57015452135266</v>
      </c>
      <c r="P81">
        <v>73</v>
      </c>
      <c r="Q81">
        <v>144.49105059144108</v>
      </c>
      <c r="S81">
        <v>73</v>
      </c>
      <c r="T81">
        <v>151.66657554913888</v>
      </c>
      <c r="V81">
        <v>73</v>
      </c>
      <c r="W81">
        <v>209.40116529899282</v>
      </c>
      <c r="AE81">
        <f>SMALL('Iter No Test'!$K$9:$K$108,79)</f>
        <v>276.76951655704983</v>
      </c>
      <c r="AF81">
        <f>1/(COUNT('Iter No Test'!$K$9:$K$108)-1)+$AF$80</f>
        <v>0.78787878787878685</v>
      </c>
      <c r="AH81">
        <f>SMALL('Iter No Test'!$N$9:$N$208,79)</f>
        <v>190.1571615211686</v>
      </c>
      <c r="AI81">
        <f>1/(COUNT('Iter No Test'!$N$9:$N$208)-1)+$AI$80</f>
        <v>0.39195979899497529</v>
      </c>
      <c r="AK81">
        <f>SMALL('Iter No Test'!$Q$9:$Q$508,79)</f>
        <v>129.25153731141188</v>
      </c>
      <c r="AL81">
        <f>1/(COUNT('Iter No Test'!$Q$9:$Q$508)-1)+$AL$80</f>
        <v>0.1563126252505011</v>
      </c>
      <c r="AN81">
        <f>SMALL('Iter No Test'!$T$9:$T$1008,79)</f>
        <v>96.842423601917432</v>
      </c>
      <c r="AO81">
        <f>1/(COUNT('Iter No Test'!$T$9:$T$1008)-1)+$AO$80</f>
        <v>7.8078078078078081E-2</v>
      </c>
      <c r="AQ81">
        <f>SMALL('Iter No Test'!$W$9:$W$5008,79)</f>
        <v>48.52589729935697</v>
      </c>
      <c r="AR81">
        <f>1/(COUNT('Iter No Test'!$W$9:$W$5008)-1)+$AR$80</f>
        <v>1.5603120624124805E-2</v>
      </c>
    </row>
    <row r="82" spans="4:44">
      <c r="D82">
        <f>SMALL('Iter No Test'!$E$9:$E$58,22)</f>
        <v>192.80113864861875</v>
      </c>
      <c r="E82">
        <f>1/(COUNT('Iter No Test'!$E$9:$E$58)-1)+$E$81</f>
        <v>0.42857142857142871</v>
      </c>
      <c r="G82">
        <v>74</v>
      </c>
      <c r="H82" s="1">
        <v>177.41736216957779</v>
      </c>
      <c r="J82">
        <v>74</v>
      </c>
      <c r="K82">
        <v>69.70311317841194</v>
      </c>
      <c r="M82">
        <v>74</v>
      </c>
      <c r="N82">
        <v>336.45713033017603</v>
      </c>
      <c r="P82">
        <v>74</v>
      </c>
      <c r="Q82">
        <v>189.42185042247843</v>
      </c>
      <c r="S82">
        <v>74</v>
      </c>
      <c r="T82">
        <v>234.97056442549754</v>
      </c>
      <c r="V82">
        <v>74</v>
      </c>
      <c r="W82">
        <v>322.78559228539717</v>
      </c>
      <c r="AE82">
        <f>SMALL('Iter No Test'!$K$9:$K$108,80)</f>
        <v>279.47326000125508</v>
      </c>
      <c r="AF82">
        <f>1/(COUNT('Iter No Test'!$K$9:$K$108)-1)+$AF$81</f>
        <v>0.7979797979797969</v>
      </c>
      <c r="AH82">
        <f>SMALL('Iter No Test'!$N$9:$N$208,80)</f>
        <v>190.47802166012039</v>
      </c>
      <c r="AI82">
        <f>1/(COUNT('Iter No Test'!$N$9:$N$208)-1)+$AI$81</f>
        <v>0.39698492462311602</v>
      </c>
      <c r="AK82">
        <f>SMALL('Iter No Test'!$Q$9:$Q$508,80)</f>
        <v>129.76317474354866</v>
      </c>
      <c r="AL82">
        <f>1/(COUNT('Iter No Test'!$Q$9:$Q$508)-1)+$AL$81</f>
        <v>0.15831663326653317</v>
      </c>
      <c r="AN82">
        <f>SMALL('Iter No Test'!$T$9:$T$1008,80)</f>
        <v>97.209748541196376</v>
      </c>
      <c r="AO82">
        <f>1/(COUNT('Iter No Test'!$T$9:$T$1008)-1)+$AO$81</f>
        <v>7.9079079079079087E-2</v>
      </c>
      <c r="AQ82">
        <f>SMALL('Iter No Test'!$W$9:$W$5008,80)</f>
        <v>49.174546638165907</v>
      </c>
      <c r="AR82">
        <f>1/(COUNT('Iter No Test'!$W$9:$W$5008)-1)+$AR$81</f>
        <v>1.5803160632126407E-2</v>
      </c>
    </row>
    <row r="83" spans="4:44">
      <c r="D83">
        <f>SMALL('Iter No Test'!$E$9:$E$58,23)</f>
        <v>193.64798972445379</v>
      </c>
      <c r="E83">
        <f>1/(COUNT('Iter No Test'!$E$9:$E$58)-1)+$E$82</f>
        <v>0.44897959183673486</v>
      </c>
      <c r="G83">
        <v>75</v>
      </c>
      <c r="H83" s="1">
        <v>170.28239027368693</v>
      </c>
      <c r="J83">
        <v>75</v>
      </c>
      <c r="K83">
        <v>133.63730664746396</v>
      </c>
      <c r="M83">
        <v>75</v>
      </c>
      <c r="N83">
        <v>277.89075456910064</v>
      </c>
      <c r="P83">
        <v>75</v>
      </c>
      <c r="Q83">
        <v>238.88828833443321</v>
      </c>
      <c r="S83">
        <v>75</v>
      </c>
      <c r="T83">
        <v>194.13229886398997</v>
      </c>
      <c r="V83">
        <v>75</v>
      </c>
      <c r="W83">
        <v>177.57120922806502</v>
      </c>
      <c r="AE83">
        <f>SMALL('Iter No Test'!$K$9:$K$108,81)</f>
        <v>302.91688487100021</v>
      </c>
      <c r="AF83">
        <f>1/(COUNT('Iter No Test'!$K$9:$K$108)-1)+$AF$82</f>
        <v>0.80808080808080696</v>
      </c>
      <c r="AH83">
        <f>SMALL('Iter No Test'!$N$9:$N$208,81)</f>
        <v>192.63184993096209</v>
      </c>
      <c r="AI83">
        <f>1/(COUNT('Iter No Test'!$N$9:$N$208)-1)+$AI$82</f>
        <v>0.40201005025125675</v>
      </c>
      <c r="AK83">
        <f>SMALL('Iter No Test'!$Q$9:$Q$508,81)</f>
        <v>129.77510915866253</v>
      </c>
      <c r="AL83">
        <f>1/(COUNT('Iter No Test'!$Q$9:$Q$508)-1)+$AL$82</f>
        <v>0.16032064128256523</v>
      </c>
      <c r="AN83">
        <f>SMALL('Iter No Test'!$T$9:$T$1008,81)</f>
        <v>97.211955461275949</v>
      </c>
      <c r="AO83">
        <f>1/(COUNT('Iter No Test'!$T$9:$T$1008)-1)+$AO$82</f>
        <v>8.0080080080080093E-2</v>
      </c>
      <c r="AQ83">
        <f>SMALL('Iter No Test'!$W$9:$W$5008,81)</f>
        <v>50.51843626125499</v>
      </c>
      <c r="AR83">
        <f>1/(COUNT('Iter No Test'!$W$9:$W$5008)-1)+$AR$82</f>
        <v>1.6003200640128008E-2</v>
      </c>
    </row>
    <row r="84" spans="4:44">
      <c r="D84">
        <f>SMALL('Iter No Test'!$E$9:$E$58,24)</f>
        <v>204.65723902970484</v>
      </c>
      <c r="E84">
        <f>1/(COUNT('Iter No Test'!$E$9:$E$58)-1)+$E$83</f>
        <v>0.469387755102041</v>
      </c>
      <c r="H84" s="1"/>
      <c r="J84">
        <v>76</v>
      </c>
      <c r="K84">
        <v>80.14337313657515</v>
      </c>
      <c r="M84">
        <v>76</v>
      </c>
      <c r="N84">
        <v>246.41888429270205</v>
      </c>
      <c r="P84">
        <v>76</v>
      </c>
      <c r="Q84">
        <v>70.958584311993377</v>
      </c>
      <c r="S84">
        <v>76</v>
      </c>
      <c r="T84">
        <v>321.37261527183557</v>
      </c>
      <c r="V84">
        <v>76</v>
      </c>
      <c r="W84">
        <v>225.85903709856422</v>
      </c>
      <c r="AE84">
        <f>SMALL('Iter No Test'!$K$9:$K$108,82)</f>
        <v>303.18577088026109</v>
      </c>
      <c r="AF84">
        <f>1/(COUNT('Iter No Test'!$K$9:$K$108)-1)+$AF$83</f>
        <v>0.81818181818181701</v>
      </c>
      <c r="AH84">
        <f>SMALL('Iter No Test'!$N$9:$N$208,82)</f>
        <v>195.21115303867774</v>
      </c>
      <c r="AI84">
        <f>1/(COUNT('Iter No Test'!$N$9:$N$208)-1)+$AI$83</f>
        <v>0.40703517587939747</v>
      </c>
      <c r="AK84">
        <f>SMALL('Iter No Test'!$Q$9:$Q$508,82)</f>
        <v>130.94439750496082</v>
      </c>
      <c r="AL84">
        <f>1/(COUNT('Iter No Test'!$Q$9:$Q$508)-1)+$AL$83</f>
        <v>0.1623246492985973</v>
      </c>
      <c r="AN84">
        <f>SMALL('Iter No Test'!$T$9:$T$1008,82)</f>
        <v>97.822443609815238</v>
      </c>
      <c r="AO84">
        <f>1/(COUNT('Iter No Test'!$T$9:$T$1008)-1)+$AO$83</f>
        <v>8.1081081081081099E-2</v>
      </c>
      <c r="AQ84">
        <f>SMALL('Iter No Test'!$W$9:$W$5008,82)</f>
        <v>50.726965695049458</v>
      </c>
      <c r="AR84">
        <f>1/(COUNT('Iter No Test'!$W$9:$W$5008)-1)+$AR$83</f>
        <v>1.620324064812961E-2</v>
      </c>
    </row>
    <row r="85" spans="4:44">
      <c r="D85">
        <f>SMALL('Iter No Test'!$E$9:$E$58,25)</f>
        <v>214.83977303936805</v>
      </c>
      <c r="E85">
        <f>1/(COUNT('Iter No Test'!$E$9:$E$58)-1)+$E$84</f>
        <v>0.48979591836734715</v>
      </c>
      <c r="G85" t="s">
        <v>40</v>
      </c>
      <c r="J85">
        <v>77</v>
      </c>
      <c r="K85">
        <v>349.26493077778127</v>
      </c>
      <c r="M85">
        <v>77</v>
      </c>
      <c r="N85">
        <v>155.42205797740766</v>
      </c>
      <c r="P85">
        <v>77</v>
      </c>
      <c r="Q85">
        <v>162.70879037375866</v>
      </c>
      <c r="S85">
        <v>77</v>
      </c>
      <c r="T85">
        <v>141.81655539020954</v>
      </c>
      <c r="V85">
        <v>77</v>
      </c>
      <c r="W85">
        <v>116.26075341094305</v>
      </c>
      <c r="AE85">
        <f>SMALL('Iter No Test'!$K$9:$K$108,83)</f>
        <v>308.47037134281004</v>
      </c>
      <c r="AF85">
        <f>1/(COUNT('Iter No Test'!$K$9:$K$108)-1)+$AF$84</f>
        <v>0.82828282828282707</v>
      </c>
      <c r="AH85">
        <f>SMALL('Iter No Test'!$N$9:$N$208,83)</f>
        <v>196.43596133142941</v>
      </c>
      <c r="AI85">
        <f>1/(COUNT('Iter No Test'!$N$9:$N$208)-1)+$AI$84</f>
        <v>0.4120603015075382</v>
      </c>
      <c r="AK85">
        <f>SMALL('Iter No Test'!$Q$9:$Q$508,83)</f>
        <v>132.73667183520757</v>
      </c>
      <c r="AL85">
        <f>1/(COUNT('Iter No Test'!$Q$9:$Q$508)-1)+$AL$84</f>
        <v>0.16432865731462937</v>
      </c>
      <c r="AN85">
        <f>SMALL('Iter No Test'!$T$9:$T$1008,83)</f>
        <v>98.376218602750896</v>
      </c>
      <c r="AO85">
        <f>1/(COUNT('Iter No Test'!$T$9:$T$1008)-1)+$AO$84</f>
        <v>8.2082082082082106E-2</v>
      </c>
      <c r="AQ85">
        <f>SMALL('Iter No Test'!$W$9:$W$5008,83)</f>
        <v>51.116664904356398</v>
      </c>
      <c r="AR85">
        <f>1/(COUNT('Iter No Test'!$W$9:$W$5008)-1)+$AR$84</f>
        <v>1.6403280656131211E-2</v>
      </c>
    </row>
    <row r="86" spans="4:44">
      <c r="D86">
        <f>SMALL('Iter No Test'!$E$9:$E$58,26)</f>
        <v>221.49700844302913</v>
      </c>
      <c r="E86">
        <f>1/(COUNT('Iter No Test'!$E$9:$E$58)-1)+$E$85</f>
        <v>0.51020408163265329</v>
      </c>
      <c r="G86" t="s">
        <v>41</v>
      </c>
      <c r="H86" t="s">
        <v>29</v>
      </c>
      <c r="J86">
        <v>78</v>
      </c>
      <c r="K86">
        <v>86.644297249689714</v>
      </c>
      <c r="M86">
        <v>78</v>
      </c>
      <c r="N86">
        <v>259.75783562387085</v>
      </c>
      <c r="P86">
        <v>78</v>
      </c>
      <c r="Q86">
        <v>152.0949491454366</v>
      </c>
      <c r="S86">
        <v>78</v>
      </c>
      <c r="T86">
        <v>160.29830182454936</v>
      </c>
      <c r="V86">
        <v>78</v>
      </c>
      <c r="W86">
        <v>109.68418504771977</v>
      </c>
      <c r="AE86">
        <f>SMALL('Iter No Test'!$K$9:$K$108,84)</f>
        <v>312.66898314766348</v>
      </c>
      <c r="AF86">
        <f>1/(COUNT('Iter No Test'!$K$9:$K$108)-1)+$AF$85</f>
        <v>0.83838383838383712</v>
      </c>
      <c r="AH86">
        <f>SMALL('Iter No Test'!$N$9:$N$208,84)</f>
        <v>196.73567732820058</v>
      </c>
      <c r="AI86">
        <f>1/(COUNT('Iter No Test'!$N$9:$N$208)-1)+$AI$85</f>
        <v>0.41708542713567892</v>
      </c>
      <c r="AK86">
        <f>SMALL('Iter No Test'!$Q$9:$Q$508,84)</f>
        <v>132.93735145873853</v>
      </c>
      <c r="AL86">
        <f>1/(COUNT('Iter No Test'!$Q$9:$Q$508)-1)+$AL$85</f>
        <v>0.16633266533066143</v>
      </c>
      <c r="AN86">
        <f>SMALL('Iter No Test'!$T$9:$T$1008,84)</f>
        <v>98.462473595796027</v>
      </c>
      <c r="AO86">
        <f>1/(COUNT('Iter No Test'!$T$9:$T$1008)-1)+$AO$85</f>
        <v>8.3083083083083112E-2</v>
      </c>
      <c r="AQ86">
        <f>SMALL('Iter No Test'!$W$9:$W$5008,84)</f>
        <v>51.178676789683465</v>
      </c>
      <c r="AR86">
        <f>1/(COUNT('Iter No Test'!$W$9:$W$5008)-1)+$AR$85</f>
        <v>1.6603320664132813E-2</v>
      </c>
    </row>
    <row r="87" spans="4:44">
      <c r="D87">
        <f>SMALL('Iter No Test'!$E$9:$E$58,27)</f>
        <v>224.92903541198356</v>
      </c>
      <c r="E87">
        <f>1/(COUNT('Iter No Test'!$E$9:$E$58)-1)+$E$86</f>
        <v>0.53061224489795944</v>
      </c>
      <c r="G87" t="s">
        <v>42</v>
      </c>
      <c r="J87">
        <v>79</v>
      </c>
      <c r="K87">
        <v>219.68191019147611</v>
      </c>
      <c r="M87">
        <v>79</v>
      </c>
      <c r="N87">
        <v>233.14548413409207</v>
      </c>
      <c r="P87">
        <v>79</v>
      </c>
      <c r="Q87">
        <v>196.07200826797197</v>
      </c>
      <c r="S87">
        <v>79</v>
      </c>
      <c r="T87">
        <v>116.56572056717849</v>
      </c>
      <c r="V87">
        <v>79</v>
      </c>
      <c r="W87">
        <v>65.104509083830294</v>
      </c>
      <c r="AE87">
        <f>SMALL('Iter No Test'!$K$9:$K$108,85)</f>
        <v>313.02476281839057</v>
      </c>
      <c r="AF87">
        <f>1/(COUNT('Iter No Test'!$K$9:$K$108)-1)+$AF$86</f>
        <v>0.84848484848484718</v>
      </c>
      <c r="AH87">
        <f>SMALL('Iter No Test'!$N$9:$N$208,85)</f>
        <v>197.02326221529992</v>
      </c>
      <c r="AI87">
        <f>1/(COUNT('Iter No Test'!$N$9:$N$208)-1)+$AI$86</f>
        <v>0.42211055276381965</v>
      </c>
      <c r="AK87">
        <f>SMALL('Iter No Test'!$Q$9:$Q$508,85)</f>
        <v>132.99968429771735</v>
      </c>
      <c r="AL87">
        <f>1/(COUNT('Iter No Test'!$Q$9:$Q$508)-1)+$AL$86</f>
        <v>0.1683366733466935</v>
      </c>
      <c r="AN87">
        <f>SMALL('Iter No Test'!$T$9:$T$1008,85)</f>
        <v>98.550079725332495</v>
      </c>
      <c r="AO87">
        <f>1/(COUNT('Iter No Test'!$T$9:$T$1008)-1)+$AO$86</f>
        <v>8.4084084084084118E-2</v>
      </c>
      <c r="AQ87">
        <f>SMALL('Iter No Test'!$W$9:$W$5008,85)</f>
        <v>51.288313050698648</v>
      </c>
      <c r="AR87">
        <f>1/(COUNT('Iter No Test'!$W$9:$W$5008)-1)+$AR$86</f>
        <v>1.6803360672134414E-2</v>
      </c>
    </row>
    <row r="88" spans="4:44">
      <c r="D88">
        <f>SMALL('Iter No Test'!$E$9:$E$58,28)</f>
        <v>226.20301697928664</v>
      </c>
      <c r="E88">
        <f>1/(COUNT('Iter No Test'!$E$9:$E$58)-1)+$E$87</f>
        <v>0.55102040816326558</v>
      </c>
      <c r="G88" t="s">
        <v>43</v>
      </c>
      <c r="H88" t="s">
        <v>29</v>
      </c>
      <c r="J88">
        <v>80</v>
      </c>
      <c r="K88">
        <v>135.451292767616</v>
      </c>
      <c r="M88">
        <v>80</v>
      </c>
      <c r="N88">
        <v>248.52166138029159</v>
      </c>
      <c r="P88">
        <v>80</v>
      </c>
      <c r="Q88">
        <v>150.13095887821979</v>
      </c>
      <c r="S88">
        <v>80</v>
      </c>
      <c r="T88">
        <v>186.13627848239673</v>
      </c>
      <c r="V88">
        <v>80</v>
      </c>
      <c r="W88">
        <v>253.95243555676839</v>
      </c>
      <c r="AE88">
        <f>SMALL('Iter No Test'!$K$9:$K$108,86)</f>
        <v>317.55634873375493</v>
      </c>
      <c r="AF88">
        <f>1/(COUNT('Iter No Test'!$K$9:$K$108)-1)+$AF$87</f>
        <v>0.85858585858585723</v>
      </c>
      <c r="AH88">
        <f>SMALL('Iter No Test'!$N$9:$N$208,86)</f>
        <v>197.36461167269641</v>
      </c>
      <c r="AI88">
        <f>1/(COUNT('Iter No Test'!$N$9:$N$208)-1)+$AI$87</f>
        <v>0.42713567839196037</v>
      </c>
      <c r="AK88">
        <f>SMALL('Iter No Test'!$Q$9:$Q$508,86)</f>
        <v>133.25255871552258</v>
      </c>
      <c r="AL88">
        <f>1/(COUNT('Iter No Test'!$Q$9:$Q$508)-1)+$AL$87</f>
        <v>0.17034068136272557</v>
      </c>
      <c r="AN88">
        <f>SMALL('Iter No Test'!$T$9:$T$1008,86)</f>
        <v>98.911690317081707</v>
      </c>
      <c r="AO88">
        <f>1/(COUNT('Iter No Test'!$T$9:$T$1008)-1)+$AO$87</f>
        <v>8.5085085085085124E-2</v>
      </c>
      <c r="AQ88">
        <f>SMALL('Iter No Test'!$W$9:$W$5008,86)</f>
        <v>51.908674287974762</v>
      </c>
      <c r="AR88">
        <f>1/(COUNT('Iter No Test'!$W$9:$W$5008)-1)+$AR$87</f>
        <v>1.7003400680136015E-2</v>
      </c>
    </row>
    <row r="89" spans="4:44">
      <c r="D89">
        <f>SMALL('Iter No Test'!$E$9:$E$58,29)</f>
        <v>232.29197395022123</v>
      </c>
      <c r="E89">
        <f>1/(COUNT('Iter No Test'!$E$9:$E$58)-1)+$E$88</f>
        <v>0.57142857142857173</v>
      </c>
      <c r="G89" t="s">
        <v>44</v>
      </c>
      <c r="J89">
        <v>81</v>
      </c>
      <c r="K89">
        <v>178.53302239687184</v>
      </c>
      <c r="M89">
        <v>81</v>
      </c>
      <c r="N89">
        <v>271.45791119754858</v>
      </c>
      <c r="P89">
        <v>81</v>
      </c>
      <c r="Q89">
        <v>227.91648677399138</v>
      </c>
      <c r="S89">
        <v>81</v>
      </c>
      <c r="T89">
        <v>297.76503530409343</v>
      </c>
      <c r="V89">
        <v>81</v>
      </c>
      <c r="W89">
        <v>292.19407968445114</v>
      </c>
      <c r="AE89">
        <f>SMALL('Iter No Test'!$K$9:$K$108,87)</f>
        <v>323.61329911009193</v>
      </c>
      <c r="AF89">
        <f>1/(COUNT('Iter No Test'!$K$9:$K$108)-1)+$AF$88</f>
        <v>0.86868686868686729</v>
      </c>
      <c r="AH89">
        <f>SMALL('Iter No Test'!$N$9:$N$208,87)</f>
        <v>199.06871535669563</v>
      </c>
      <c r="AI89">
        <f>1/(COUNT('Iter No Test'!$N$9:$N$208)-1)+$AI$88</f>
        <v>0.4321608040201011</v>
      </c>
      <c r="AK89">
        <f>SMALL('Iter No Test'!$Q$9:$Q$508,87)</f>
        <v>134.15018434092272</v>
      </c>
      <c r="AL89">
        <f>1/(COUNT('Iter No Test'!$Q$9:$Q$508)-1)+$AL$88</f>
        <v>0.17234468937875763</v>
      </c>
      <c r="AN89">
        <f>SMALL('Iter No Test'!$T$9:$T$1008,87)</f>
        <v>99.441647115822576</v>
      </c>
      <c r="AO89">
        <f>1/(COUNT('Iter No Test'!$T$9:$T$1008)-1)+$AO$88</f>
        <v>8.608608608608613E-2</v>
      </c>
      <c r="AQ89">
        <f>SMALL('Iter No Test'!$W$9:$W$5008,87)</f>
        <v>52.114582832022876</v>
      </c>
      <c r="AR89">
        <f>1/(COUNT('Iter No Test'!$W$9:$W$5008)-1)+$AR$88</f>
        <v>1.7203440688137617E-2</v>
      </c>
    </row>
    <row r="90" spans="4:44">
      <c r="D90">
        <f>SMALL('Iter No Test'!$E$9:$E$58,30)</f>
        <v>232.32353057857708</v>
      </c>
      <c r="E90">
        <f>1/(COUNT('Iter No Test'!$E$9:$E$58)-1)+$E$89</f>
        <v>0.59183673469387788</v>
      </c>
      <c r="G90" t="s">
        <v>45</v>
      </c>
      <c r="H90" t="s">
        <v>29</v>
      </c>
      <c r="J90">
        <v>82</v>
      </c>
      <c r="K90">
        <v>152.23879421707031</v>
      </c>
      <c r="M90">
        <v>82</v>
      </c>
      <c r="N90">
        <v>334.37356728935839</v>
      </c>
      <c r="P90">
        <v>82</v>
      </c>
      <c r="Q90">
        <v>352.08474265402515</v>
      </c>
      <c r="S90">
        <v>82</v>
      </c>
      <c r="T90">
        <v>210.83760713992271</v>
      </c>
      <c r="V90">
        <v>82</v>
      </c>
      <c r="W90">
        <v>310.62694890917612</v>
      </c>
      <c r="AE90">
        <f>SMALL('Iter No Test'!$K$9:$K$108,88)</f>
        <v>331.54399732933859</v>
      </c>
      <c r="AF90">
        <f>1/(COUNT('Iter No Test'!$K$9:$K$108)-1)+$AF$89</f>
        <v>0.87878787878787734</v>
      </c>
      <c r="AH90">
        <f>SMALL('Iter No Test'!$N$9:$N$208,88)</f>
        <v>200.11596872939629</v>
      </c>
      <c r="AI90">
        <f>1/(COUNT('Iter No Test'!$N$9:$N$208)-1)+$AI$89</f>
        <v>0.43718592964824182</v>
      </c>
      <c r="AK90">
        <f>SMALL('Iter No Test'!$Q$9:$Q$508,88)</f>
        <v>134.2690932769963</v>
      </c>
      <c r="AL90">
        <f>1/(COUNT('Iter No Test'!$Q$9:$Q$508)-1)+$AL$89</f>
        <v>0.1743486973947897</v>
      </c>
      <c r="AN90">
        <f>SMALL('Iter No Test'!$T$9:$T$1008,88)</f>
        <v>99.997611869120362</v>
      </c>
      <c r="AO90">
        <f>1/(COUNT('Iter No Test'!$T$9:$T$1008)-1)+$AO$89</f>
        <v>8.7087087087087137E-2</v>
      </c>
      <c r="AQ90">
        <f>SMALL('Iter No Test'!$W$9:$W$5008,88)</f>
        <v>52.158737634299484</v>
      </c>
      <c r="AR90">
        <f>1/(COUNT('Iter No Test'!$W$9:$W$5008)-1)+$AR$89</f>
        <v>1.7403480696139218E-2</v>
      </c>
    </row>
    <row r="91" spans="4:44">
      <c r="D91">
        <f>SMALL('Iter No Test'!$E$9:$E$58,31)</f>
        <v>243.55430998530611</v>
      </c>
      <c r="E91">
        <f>1/(COUNT('Iter No Test'!$E$9:$E$58)-1)+$E$90</f>
        <v>0.61224489795918402</v>
      </c>
      <c r="G91" t="s">
        <v>46</v>
      </c>
      <c r="J91">
        <v>83</v>
      </c>
      <c r="K91">
        <v>276.04394687579213</v>
      </c>
      <c r="M91">
        <v>83</v>
      </c>
      <c r="N91">
        <v>244.05447356671246</v>
      </c>
      <c r="P91">
        <v>83</v>
      </c>
      <c r="Q91">
        <v>217.67972513800549</v>
      </c>
      <c r="S91">
        <v>83</v>
      </c>
      <c r="T91">
        <v>225.18325639992779</v>
      </c>
      <c r="V91">
        <v>83</v>
      </c>
      <c r="W91">
        <v>110.76713436363316</v>
      </c>
      <c r="AE91">
        <f>SMALL('Iter No Test'!$K$9:$K$108,89)</f>
        <v>332.40866668304778</v>
      </c>
      <c r="AF91">
        <f>1/(COUNT('Iter No Test'!$K$9:$K$108)-1)+$AF$90</f>
        <v>0.8888888888888874</v>
      </c>
      <c r="AH91">
        <f>SMALL('Iter No Test'!$N$9:$N$208,89)</f>
        <v>200.71877915692821</v>
      </c>
      <c r="AI91">
        <f>1/(COUNT('Iter No Test'!$N$9:$N$208)-1)+$AI$90</f>
        <v>0.44221105527638255</v>
      </c>
      <c r="AK91">
        <f>SMALL('Iter No Test'!$Q$9:$Q$508,89)</f>
        <v>134.55526325707265</v>
      </c>
      <c r="AL91">
        <f>1/(COUNT('Iter No Test'!$Q$9:$Q$508)-1)+$AL$90</f>
        <v>0.17635270541082176</v>
      </c>
      <c r="AN91">
        <f>SMALL('Iter No Test'!$T$9:$T$1008,89)</f>
        <v>100.02707904171906</v>
      </c>
      <c r="AO91">
        <f>1/(COUNT('Iter No Test'!$T$9:$T$1008)-1)+$AO$90</f>
        <v>8.8088088088088143E-2</v>
      </c>
      <c r="AQ91">
        <f>SMALL('Iter No Test'!$W$9:$W$5008,89)</f>
        <v>52.478577022953459</v>
      </c>
      <c r="AR91">
        <f>1/(COUNT('Iter No Test'!$W$9:$W$5008)-1)+$AR$90</f>
        <v>1.760352070414082E-2</v>
      </c>
    </row>
    <row r="92" spans="4:44">
      <c r="D92">
        <f>SMALL('Iter No Test'!$E$9:$E$58,32)</f>
        <v>246.87477734988042</v>
      </c>
      <c r="E92">
        <f>1/(COUNT('Iter No Test'!$E$9:$E$58)-1)+$E$91</f>
        <v>0.63265306122449017</v>
      </c>
      <c r="G92" t="s">
        <v>47</v>
      </c>
      <c r="H92" t="s">
        <v>29</v>
      </c>
      <c r="J92">
        <v>84</v>
      </c>
      <c r="K92">
        <v>151.84075205028711</v>
      </c>
      <c r="M92">
        <v>84</v>
      </c>
      <c r="N92">
        <v>197.36461167269641</v>
      </c>
      <c r="P92">
        <v>84</v>
      </c>
      <c r="Q92">
        <v>223.40157866241535</v>
      </c>
      <c r="S92">
        <v>84</v>
      </c>
      <c r="T92">
        <v>102.73841643649614</v>
      </c>
      <c r="V92">
        <v>84</v>
      </c>
      <c r="W92">
        <v>160.62020251354028</v>
      </c>
      <c r="AE92">
        <f>SMALL('Iter No Test'!$K$9:$K$108,90)</f>
        <v>334.99460000427183</v>
      </c>
      <c r="AF92">
        <f>1/(COUNT('Iter No Test'!$K$9:$K$108)-1)+$AF$91</f>
        <v>0.89898989898989745</v>
      </c>
      <c r="AH92">
        <f>SMALL('Iter No Test'!$N$9:$N$208,90)</f>
        <v>200.7558480188261</v>
      </c>
      <c r="AI92">
        <f>1/(COUNT('Iter No Test'!$N$9:$N$208)-1)+$AI$91</f>
        <v>0.44723618090452327</v>
      </c>
      <c r="AK92">
        <f>SMALL('Iter No Test'!$Q$9:$Q$508,90)</f>
        <v>135.46493007040607</v>
      </c>
      <c r="AL92">
        <f>1/(COUNT('Iter No Test'!$Q$9:$Q$508)-1)+$AL$91</f>
        <v>0.17835671342685383</v>
      </c>
      <c r="AN92">
        <f>SMALL('Iter No Test'!$T$9:$T$1008,90)</f>
        <v>101.27393340848579</v>
      </c>
      <c r="AO92">
        <f>1/(COUNT('Iter No Test'!$T$9:$T$1008)-1)+$AO$91</f>
        <v>8.9089089089089149E-2</v>
      </c>
      <c r="AQ92">
        <f>SMALL('Iter No Test'!$W$9:$W$5008,90)</f>
        <v>52.81270778652474</v>
      </c>
      <c r="AR92">
        <f>1/(COUNT('Iter No Test'!$W$9:$W$5008)-1)+$AR$91</f>
        <v>1.7803560712142421E-2</v>
      </c>
    </row>
    <row r="93" spans="4:44">
      <c r="D93">
        <f>SMALL('Iter No Test'!$E$9:$E$58,33)</f>
        <v>253.05411364533231</v>
      </c>
      <c r="E93">
        <f>1/(COUNT('Iter No Test'!$E$9:$E$58)-1)+$E$92</f>
        <v>0.65306122448979631</v>
      </c>
      <c r="G93" t="s">
        <v>48</v>
      </c>
      <c r="J93">
        <v>85</v>
      </c>
      <c r="K93">
        <v>200.58806512224047</v>
      </c>
      <c r="M93">
        <v>85</v>
      </c>
      <c r="N93">
        <v>207.06560179109536</v>
      </c>
      <c r="P93">
        <v>85</v>
      </c>
      <c r="Q93">
        <v>292.53494451927395</v>
      </c>
      <c r="S93">
        <v>85</v>
      </c>
      <c r="T93">
        <v>199.19147754849104</v>
      </c>
      <c r="V93">
        <v>85</v>
      </c>
      <c r="W93">
        <v>303.84208191841947</v>
      </c>
      <c r="AE93">
        <f>SMALL('Iter No Test'!$K$9:$K$108,91)</f>
        <v>336.81564199761863</v>
      </c>
      <c r="AF93">
        <f>1/(COUNT('Iter No Test'!$K$9:$K$108)-1)+$AF$92</f>
        <v>0.90909090909090751</v>
      </c>
      <c r="AH93">
        <f>SMALL('Iter No Test'!$N$9:$N$208,91)</f>
        <v>201.85576162821627</v>
      </c>
      <c r="AI93">
        <f>1/(COUNT('Iter No Test'!$N$9:$N$208)-1)+$AI$92</f>
        <v>0.452261306532664</v>
      </c>
      <c r="AK93">
        <f>SMALL('Iter No Test'!$Q$9:$Q$508,91)</f>
        <v>136.05844046012791</v>
      </c>
      <c r="AL93">
        <f>1/(COUNT('Iter No Test'!$Q$9:$Q$508)-1)+$AL$92</f>
        <v>0.1803607214428859</v>
      </c>
      <c r="AN93">
        <f>SMALL('Iter No Test'!$T$9:$T$1008,91)</f>
        <v>101.33510270203678</v>
      </c>
      <c r="AO93">
        <f>1/(COUNT('Iter No Test'!$T$9:$T$1008)-1)+$AO$92</f>
        <v>9.0090090090090155E-2</v>
      </c>
      <c r="AQ93">
        <f>SMALL('Iter No Test'!$W$9:$W$5008,91)</f>
        <v>52.844429988947908</v>
      </c>
      <c r="AR93">
        <f>1/(COUNT('Iter No Test'!$W$9:$W$5008)-1)+$AR$92</f>
        <v>1.8003600720144022E-2</v>
      </c>
    </row>
    <row r="94" spans="4:44">
      <c r="D94">
        <f>SMALL('Iter No Test'!$E$9:$E$58,34)</f>
        <v>253.88966764475484</v>
      </c>
      <c r="E94">
        <f>1/(COUNT('Iter No Test'!$E$9:$E$58)-1)+$E$93</f>
        <v>0.67346938775510246</v>
      </c>
      <c r="G94" t="s">
        <v>49</v>
      </c>
      <c r="H94" t="s">
        <v>29</v>
      </c>
      <c r="J94">
        <v>86</v>
      </c>
      <c r="K94">
        <v>279.47326000125508</v>
      </c>
      <c r="M94">
        <v>86</v>
      </c>
      <c r="N94">
        <v>83.245369638985892</v>
      </c>
      <c r="P94">
        <v>86</v>
      </c>
      <c r="Q94">
        <v>196.48786764130503</v>
      </c>
      <c r="S94">
        <v>86</v>
      </c>
      <c r="T94">
        <v>0.69551877713102783</v>
      </c>
      <c r="V94">
        <v>86</v>
      </c>
      <c r="W94">
        <v>80.409907448890479</v>
      </c>
      <c r="AE94">
        <f>SMALL('Iter No Test'!$K$9:$K$108,92)</f>
        <v>341.93587314072221</v>
      </c>
      <c r="AF94">
        <f>1/(COUNT('Iter No Test'!$K$9:$K$108)-1)+$AF$93</f>
        <v>0.91919191919191756</v>
      </c>
      <c r="AH94">
        <f>SMALL('Iter No Test'!$N$9:$N$208,92)</f>
        <v>202.02659006027244</v>
      </c>
      <c r="AI94">
        <f>1/(COUNT('Iter No Test'!$N$9:$N$208)-1)+$AI$93</f>
        <v>0.45728643216080472</v>
      </c>
      <c r="AK94">
        <f>SMALL('Iter No Test'!$Q$9:$Q$508,92)</f>
        <v>136.23347946384706</v>
      </c>
      <c r="AL94">
        <f>1/(COUNT('Iter No Test'!$Q$9:$Q$508)-1)+$AL$93</f>
        <v>0.18236472945891796</v>
      </c>
      <c r="AN94">
        <f>SMALL('Iter No Test'!$T$9:$T$1008,92)</f>
        <v>101.88961805286625</v>
      </c>
      <c r="AO94">
        <f>1/(COUNT('Iter No Test'!$T$9:$T$1008)-1)+$AO$93</f>
        <v>9.1091091091091161E-2</v>
      </c>
      <c r="AQ94">
        <f>SMALL('Iter No Test'!$W$9:$W$5008,92)</f>
        <v>52.86836797346119</v>
      </c>
      <c r="AR94">
        <f>1/(COUNT('Iter No Test'!$W$9:$W$5008)-1)+$AR$93</f>
        <v>1.8203640728145624E-2</v>
      </c>
    </row>
    <row r="95" spans="4:44">
      <c r="D95">
        <f>SMALL('Iter No Test'!$E$9:$E$58,35)</f>
        <v>256.66488026866409</v>
      </c>
      <c r="E95">
        <f>1/(COUNT('Iter No Test'!$E$9:$E$58)-1)+$E$94</f>
        <v>0.6938775510204086</v>
      </c>
      <c r="J95">
        <v>87</v>
      </c>
      <c r="K95">
        <v>213.51346337930767</v>
      </c>
      <c r="M95">
        <v>87</v>
      </c>
      <c r="N95">
        <v>127.54739547254971</v>
      </c>
      <c r="P95">
        <v>87</v>
      </c>
      <c r="Q95">
        <v>158.486814631849</v>
      </c>
      <c r="S95">
        <v>87</v>
      </c>
      <c r="T95">
        <v>134.78192640058825</v>
      </c>
      <c r="V95">
        <v>87</v>
      </c>
      <c r="W95">
        <v>117.21193250147256</v>
      </c>
      <c r="AE95">
        <f>SMALL('Iter No Test'!$K$9:$K$108,93)</f>
        <v>349.26493077778127</v>
      </c>
      <c r="AF95">
        <f>1/(COUNT('Iter No Test'!$K$9:$K$108)-1)+$AF$94</f>
        <v>0.92929292929292762</v>
      </c>
      <c r="AH95">
        <f>SMALL('Iter No Test'!$N$9:$N$208,93)</f>
        <v>202.28017985979864</v>
      </c>
      <c r="AI95">
        <f>1/(COUNT('Iter No Test'!$N$9:$N$208)-1)+$AI$94</f>
        <v>0.46231155778894545</v>
      </c>
      <c r="AK95">
        <f>SMALL('Iter No Test'!$Q$9:$Q$508,93)</f>
        <v>136.56525678050659</v>
      </c>
      <c r="AL95">
        <f>1/(COUNT('Iter No Test'!$Q$9:$Q$508)-1)+$AL$94</f>
        <v>0.18436873747495003</v>
      </c>
      <c r="AN95">
        <f>SMALL('Iter No Test'!$T$9:$T$1008,93)</f>
        <v>101.90957979689779</v>
      </c>
      <c r="AO95">
        <f>1/(COUNT('Iter No Test'!$T$9:$T$1008)-1)+$AO$94</f>
        <v>9.2092092092092168E-2</v>
      </c>
      <c r="AQ95">
        <f>SMALL('Iter No Test'!$W$9:$W$5008,93)</f>
        <v>52.950853540905612</v>
      </c>
      <c r="AR95">
        <f>1/(COUNT('Iter No Test'!$W$9:$W$5008)-1)+$AR$94</f>
        <v>1.8403680736147225E-2</v>
      </c>
    </row>
    <row r="96" spans="4:44">
      <c r="D96">
        <f>SMALL('Iter No Test'!$E$9:$E$58,36)</f>
        <v>260.56699233997813</v>
      </c>
      <c r="E96">
        <f>1/(COUNT('Iter No Test'!$E$9:$E$58)-1)+$E$95</f>
        <v>0.71428571428571475</v>
      </c>
      <c r="J96">
        <v>88</v>
      </c>
      <c r="K96">
        <v>313.02476281839057</v>
      </c>
      <c r="M96">
        <v>88</v>
      </c>
      <c r="N96">
        <v>149.35715732567868</v>
      </c>
      <c r="P96">
        <v>88</v>
      </c>
      <c r="Q96">
        <v>243.48149119120666</v>
      </c>
      <c r="S96">
        <v>88</v>
      </c>
      <c r="T96">
        <v>142.22302755971381</v>
      </c>
      <c r="V96">
        <v>88</v>
      </c>
      <c r="W96">
        <v>190.53389940526014</v>
      </c>
      <c r="AE96">
        <f>SMALL('Iter No Test'!$K$9:$K$108,94)</f>
        <v>350.07694635949429</v>
      </c>
      <c r="AF96">
        <f>1/(COUNT('Iter No Test'!$K$9:$K$108)-1)+$AF$95</f>
        <v>0.93939393939393767</v>
      </c>
      <c r="AH96">
        <f>SMALL('Iter No Test'!$N$9:$N$208,94)</f>
        <v>202.34723684414422</v>
      </c>
      <c r="AI96">
        <f>1/(COUNT('Iter No Test'!$N$9:$N$208)-1)+$AI$95</f>
        <v>0.46733668341708617</v>
      </c>
      <c r="AK96">
        <f>SMALL('Iter No Test'!$Q$9:$Q$508,94)</f>
        <v>137.71985365241267</v>
      </c>
      <c r="AL96">
        <f>1/(COUNT('Iter No Test'!$Q$9:$Q$508)-1)+$AL$95</f>
        <v>0.18637274549098209</v>
      </c>
      <c r="AN96">
        <f>SMALL('Iter No Test'!$T$9:$T$1008,94)</f>
        <v>101.94629501406385</v>
      </c>
      <c r="AO96">
        <f>1/(COUNT('Iter No Test'!$T$9:$T$1008)-1)+$AO$95</f>
        <v>9.3093093093093174E-2</v>
      </c>
      <c r="AQ96">
        <f>SMALL('Iter No Test'!$W$9:$W$5008,94)</f>
        <v>53.061877934036261</v>
      </c>
      <c r="AR96">
        <f>1/(COUNT('Iter No Test'!$W$9:$W$5008)-1)+$AR$95</f>
        <v>1.8603720744148827E-2</v>
      </c>
    </row>
    <row r="97" spans="4:44">
      <c r="D97">
        <f>SMALL('Iter No Test'!$E$9:$E$58,37)</f>
        <v>261.34907928146094</v>
      </c>
      <c r="E97">
        <f>1/(COUNT('Iter No Test'!$E$9:$E$58)-1)+$E$96</f>
        <v>0.73469387755102089</v>
      </c>
      <c r="J97">
        <v>89</v>
      </c>
      <c r="K97">
        <v>274.32779196260935</v>
      </c>
      <c r="M97">
        <v>89</v>
      </c>
      <c r="N97">
        <v>207.72359571975187</v>
      </c>
      <c r="P97">
        <v>89</v>
      </c>
      <c r="Q97">
        <v>142.38428473065053</v>
      </c>
      <c r="S97">
        <v>89</v>
      </c>
      <c r="T97">
        <v>175.98237274761095</v>
      </c>
      <c r="V97">
        <v>89</v>
      </c>
      <c r="W97">
        <v>128.35270530710926</v>
      </c>
      <c r="AE97">
        <f>SMALL('Iter No Test'!$K$9:$K$108,95)</f>
        <v>364.56424825469333</v>
      </c>
      <c r="AF97">
        <f>1/(COUNT('Iter No Test'!$K$9:$K$108)-1)+$AF$96</f>
        <v>0.94949494949494773</v>
      </c>
      <c r="AH97">
        <f>SMALL('Iter No Test'!$N$9:$N$208,95)</f>
        <v>202.74918461904775</v>
      </c>
      <c r="AI97">
        <f>1/(COUNT('Iter No Test'!$N$9:$N$208)-1)+$AI$96</f>
        <v>0.4723618090452269</v>
      </c>
      <c r="AK97">
        <f>SMALL('Iter No Test'!$Q$9:$Q$508,95)</f>
        <v>138.81332257807225</v>
      </c>
      <c r="AL97">
        <f>1/(COUNT('Iter No Test'!$Q$9:$Q$508)-1)+$AL$96</f>
        <v>0.18837675350701416</v>
      </c>
      <c r="AN97">
        <f>SMALL('Iter No Test'!$T$9:$T$1008,95)</f>
        <v>102.73841643649614</v>
      </c>
      <c r="AO97">
        <f>1/(COUNT('Iter No Test'!$T$9:$T$1008)-1)+$AO$96</f>
        <v>9.409409409409418E-2</v>
      </c>
      <c r="AQ97">
        <f>SMALL('Iter No Test'!$W$9:$W$5008,95)</f>
        <v>53.164314672811201</v>
      </c>
      <c r="AR97">
        <f>1/(COUNT('Iter No Test'!$W$9:$W$5008)-1)+$AR$96</f>
        <v>1.8803760752150428E-2</v>
      </c>
    </row>
    <row r="98" spans="4:44">
      <c r="D98">
        <f>SMALL('Iter No Test'!$E$9:$E$58,38)</f>
        <v>268.98449175300982</v>
      </c>
      <c r="E98">
        <f>1/(COUNT('Iter No Test'!$E$9:$E$58)-1)+$E$97</f>
        <v>0.75510204081632704</v>
      </c>
      <c r="J98">
        <v>90</v>
      </c>
      <c r="K98">
        <v>308.47037134281004</v>
      </c>
      <c r="M98">
        <v>90</v>
      </c>
      <c r="N98">
        <v>165.74093047630845</v>
      </c>
      <c r="P98">
        <v>90</v>
      </c>
      <c r="Q98">
        <v>414.63588578563144</v>
      </c>
      <c r="S98">
        <v>90</v>
      </c>
      <c r="T98">
        <v>324.80105124469469</v>
      </c>
      <c r="V98">
        <v>90</v>
      </c>
      <c r="W98">
        <v>453.32069643596583</v>
      </c>
      <c r="AE98">
        <f>SMALL('Iter No Test'!$K$9:$K$108,96)</f>
        <v>372.36497216594825</v>
      </c>
      <c r="AF98">
        <f>1/(COUNT('Iter No Test'!$K$9:$K$108)-1)+$AF$97</f>
        <v>0.95959595959595778</v>
      </c>
      <c r="AH98">
        <f>SMALL('Iter No Test'!$N$9:$N$208,96)</f>
        <v>203.05018702092954</v>
      </c>
      <c r="AI98">
        <f>1/(COUNT('Iter No Test'!$N$9:$N$208)-1)+$AI$97</f>
        <v>0.47738693467336762</v>
      </c>
      <c r="AK98">
        <f>SMALL('Iter No Test'!$Q$9:$Q$508,96)</f>
        <v>140.59309055483143</v>
      </c>
      <c r="AL98">
        <f>1/(COUNT('Iter No Test'!$Q$9:$Q$508)-1)+$AL$97</f>
        <v>0.19038076152304623</v>
      </c>
      <c r="AN98">
        <f>SMALL('Iter No Test'!$T$9:$T$1008,96)</f>
        <v>103.71368034048561</v>
      </c>
      <c r="AO98">
        <f>1/(COUNT('Iter No Test'!$T$9:$T$1008)-1)+$AO$97</f>
        <v>9.5095095095095186E-2</v>
      </c>
      <c r="AQ98">
        <f>SMALL('Iter No Test'!$W$9:$W$5008,96)</f>
        <v>53.927195992312903</v>
      </c>
      <c r="AR98">
        <f>1/(COUNT('Iter No Test'!$W$9:$W$5008)-1)+$AR$97</f>
        <v>1.9003800760152029E-2</v>
      </c>
    </row>
    <row r="99" spans="4:44">
      <c r="D99">
        <f>SMALL('Iter No Test'!$E$9:$E$58,39)</f>
        <v>271.34006343073736</v>
      </c>
      <c r="E99">
        <f>1/(COUNT('Iter No Test'!$E$9:$E$58)-1)+$E$98</f>
        <v>0.77551020408163318</v>
      </c>
      <c r="J99">
        <v>91</v>
      </c>
      <c r="K99">
        <v>253.23466599874664</v>
      </c>
      <c r="M99">
        <v>91</v>
      </c>
      <c r="N99">
        <v>289.60887455010334</v>
      </c>
      <c r="P99">
        <v>91</v>
      </c>
      <c r="Q99">
        <v>248.09558142204699</v>
      </c>
      <c r="S99">
        <v>91</v>
      </c>
      <c r="T99">
        <v>227.2210650313269</v>
      </c>
      <c r="V99">
        <v>91</v>
      </c>
      <c r="W99">
        <v>281.98737301394402</v>
      </c>
      <c r="AE99">
        <f>SMALL('Iter No Test'!$K$9:$K$108,97)</f>
        <v>375.17577797234037</v>
      </c>
      <c r="AF99">
        <f>1/(COUNT('Iter No Test'!$K$9:$K$108)-1)+$AF$98</f>
        <v>0.96969696969696784</v>
      </c>
      <c r="AH99">
        <f>SMALL('Iter No Test'!$N$9:$N$208,97)</f>
        <v>203.80115497955649</v>
      </c>
      <c r="AI99">
        <f>1/(COUNT('Iter No Test'!$N$9:$N$208)-1)+$AI$98</f>
        <v>0.48241206030150835</v>
      </c>
      <c r="AK99">
        <f>SMALL('Iter No Test'!$Q$9:$Q$508,97)</f>
        <v>141.36811428323753</v>
      </c>
      <c r="AL99">
        <f>1/(COUNT('Iter No Test'!$Q$9:$Q$508)-1)+$AL$98</f>
        <v>0.19238476953907829</v>
      </c>
      <c r="AN99">
        <f>SMALL('Iter No Test'!$T$9:$T$1008,97)</f>
        <v>104.82695981221696</v>
      </c>
      <c r="AO99">
        <f>1/(COUNT('Iter No Test'!$T$9:$T$1008)-1)+$AO$98</f>
        <v>9.6096096096096192E-2</v>
      </c>
      <c r="AQ99">
        <f>SMALL('Iter No Test'!$W$9:$W$5008,97)</f>
        <v>54.097996269958173</v>
      </c>
      <c r="AR99">
        <f>1/(COUNT('Iter No Test'!$W$9:$W$5008)-1)+$AR$98</f>
        <v>1.9203840768153631E-2</v>
      </c>
    </row>
    <row r="100" spans="4:44">
      <c r="D100">
        <f>SMALL('Iter No Test'!$E$9:$E$58,40)</f>
        <v>281.33518186106699</v>
      </c>
      <c r="E100">
        <f>1/(COUNT('Iter No Test'!$E$9:$E$58)-1)+$E$99</f>
        <v>0.79591836734693933</v>
      </c>
      <c r="J100">
        <v>92</v>
      </c>
      <c r="K100">
        <v>98.048657651249925</v>
      </c>
      <c r="M100">
        <v>92</v>
      </c>
      <c r="N100">
        <v>156.61585728803999</v>
      </c>
      <c r="P100">
        <v>92</v>
      </c>
      <c r="Q100">
        <v>197.55612540292299</v>
      </c>
      <c r="S100">
        <v>92</v>
      </c>
      <c r="T100">
        <v>93.711474626270061</v>
      </c>
      <c r="V100">
        <v>92</v>
      </c>
      <c r="W100">
        <v>116.91122757682831</v>
      </c>
      <c r="AE100">
        <f>SMALL('Iter No Test'!$K$9:$K$108,98)</f>
        <v>379.28827415720889</v>
      </c>
      <c r="AF100">
        <f>1/(COUNT('Iter No Test'!$K$9:$K$108)-1)+$AF$99</f>
        <v>0.97979797979797789</v>
      </c>
      <c r="AH100">
        <f>SMALL('Iter No Test'!$N$9:$N$208,98)</f>
        <v>204.44483256769246</v>
      </c>
      <c r="AI100">
        <f>1/(COUNT('Iter No Test'!$N$9:$N$208)-1)+$AI$99</f>
        <v>0.48743718592964907</v>
      </c>
      <c r="AK100">
        <f>SMALL('Iter No Test'!$Q$9:$Q$508,98)</f>
        <v>142.38428473065053</v>
      </c>
      <c r="AL100">
        <f>1/(COUNT('Iter No Test'!$Q$9:$Q$508)-1)+$AL$99</f>
        <v>0.19438877755511036</v>
      </c>
      <c r="AN100">
        <f>SMALL('Iter No Test'!$T$9:$T$1008,98)</f>
        <v>104.99484298248812</v>
      </c>
      <c r="AO100">
        <f>1/(COUNT('Iter No Test'!$T$9:$T$1008)-1)+$AO$99</f>
        <v>9.7097097097097199E-2</v>
      </c>
      <c r="AQ100">
        <f>SMALL('Iter No Test'!$W$9:$W$5008,98)</f>
        <v>54.227396248662757</v>
      </c>
      <c r="AR100">
        <f>1/(COUNT('Iter No Test'!$W$9:$W$5008)-1)+$AR$99</f>
        <v>1.9403880776155232E-2</v>
      </c>
    </row>
    <row r="101" spans="4:44">
      <c r="D101">
        <f>SMALL('Iter No Test'!$E$9:$E$58,41)</f>
        <v>282.05398106316602</v>
      </c>
      <c r="E101">
        <f>1/(COUNT('Iter No Test'!$E$9:$E$58)-1)+$E$100</f>
        <v>0.81632653061224547</v>
      </c>
      <c r="J101">
        <v>93</v>
      </c>
      <c r="K101">
        <v>209.66087138301938</v>
      </c>
      <c r="M101">
        <v>93</v>
      </c>
      <c r="N101">
        <v>237.89243077249327</v>
      </c>
      <c r="P101">
        <v>93</v>
      </c>
      <c r="Q101">
        <v>320.43386946860164</v>
      </c>
      <c r="S101">
        <v>93</v>
      </c>
      <c r="T101">
        <v>207.55512016197662</v>
      </c>
      <c r="V101">
        <v>93</v>
      </c>
      <c r="W101">
        <v>200.45455712861224</v>
      </c>
      <c r="AE101">
        <f>SMALL('Iter No Test'!$K$9:$K$108,99)</f>
        <v>401.40365191817</v>
      </c>
      <c r="AF101">
        <f>1/(COUNT('Iter No Test'!$K$9:$K$108)-1)+$AF$100</f>
        <v>0.98989898989898795</v>
      </c>
      <c r="AH101">
        <f>SMALL('Iter No Test'!$N$9:$N$208,99)</f>
        <v>205.55984917806191</v>
      </c>
      <c r="AI101">
        <f>1/(COUNT('Iter No Test'!$N$9:$N$208)-1)+$AI$100</f>
        <v>0.4924623115577898</v>
      </c>
      <c r="AK101">
        <f>SMALL('Iter No Test'!$Q$9:$Q$508,99)</f>
        <v>142.79277601844171</v>
      </c>
      <c r="AL101">
        <f>1/(COUNT('Iter No Test'!$Q$9:$Q$508)-1)+$AL$100</f>
        <v>0.19639278557114243</v>
      </c>
      <c r="AN101">
        <f>SMALL('Iter No Test'!$T$9:$T$1008,99)</f>
        <v>105.05820792202148</v>
      </c>
      <c r="AO101">
        <f>1/(COUNT('Iter No Test'!$T$9:$T$1008)-1)+$AO$100</f>
        <v>9.8098098098098205E-2</v>
      </c>
      <c r="AQ101">
        <f>SMALL('Iter No Test'!$W$9:$W$5008,99)</f>
        <v>54.471113447497203</v>
      </c>
      <c r="AR101">
        <f>1/(COUNT('Iter No Test'!$W$9:$W$5008)-1)+$AR$100</f>
        <v>1.9603920784156834E-2</v>
      </c>
    </row>
    <row r="102" spans="4:44">
      <c r="D102">
        <f>SMALL('Iter No Test'!$E$9:$E$58,42)</f>
        <v>290.10028974877292</v>
      </c>
      <c r="E102">
        <f>1/(COUNT('Iter No Test'!$E$9:$E$58)-1)+$E$101</f>
        <v>0.83673469387755162</v>
      </c>
      <c r="J102">
        <v>94</v>
      </c>
      <c r="K102">
        <v>88.667609350607449</v>
      </c>
      <c r="M102">
        <v>94</v>
      </c>
      <c r="N102">
        <v>196.43596133142941</v>
      </c>
      <c r="P102">
        <v>94</v>
      </c>
      <c r="Q102">
        <v>214.63456542577114</v>
      </c>
      <c r="S102">
        <v>94</v>
      </c>
      <c r="T102">
        <v>52.53070363477643</v>
      </c>
      <c r="V102">
        <v>94</v>
      </c>
      <c r="W102">
        <v>438.11322365716546</v>
      </c>
      <c r="AE102">
        <f>SMALL('Iter No Test'!$K$9:$K$108,100)</f>
        <v>418.08520781231459</v>
      </c>
      <c r="AF102">
        <f>1/(COUNT('Iter No Test'!$K$9:$K$108)-1)+$AF$101</f>
        <v>0.999999999999998</v>
      </c>
      <c r="AH102">
        <f>SMALL('Iter No Test'!$N$9:$N$208,100)</f>
        <v>206.95407302459057</v>
      </c>
      <c r="AI102">
        <f>1/(COUNT('Iter No Test'!$N$9:$N$208)-1)+$AI$101</f>
        <v>0.49748743718593053</v>
      </c>
      <c r="AK102">
        <f>SMALL('Iter No Test'!$Q$9:$Q$508,100)</f>
        <v>143.04885088036167</v>
      </c>
      <c r="AL102">
        <f>1/(COUNT('Iter No Test'!$Q$9:$Q$508)-1)+$AL$101</f>
        <v>0.19839679358717449</v>
      </c>
      <c r="AN102">
        <f>SMALL('Iter No Test'!$T$9:$T$1008,100)</f>
        <v>105.55668550026611</v>
      </c>
      <c r="AO102">
        <f>1/(COUNT('Iter No Test'!$T$9:$T$1008)-1)+$AO$101</f>
        <v>9.9099099099099211E-2</v>
      </c>
      <c r="AQ102">
        <f>SMALL('Iter No Test'!$W$9:$W$5008,100)</f>
        <v>54.511872192669472</v>
      </c>
      <c r="AR102">
        <f>1/(COUNT('Iter No Test'!$W$9:$W$5008)-1)+$AR$101</f>
        <v>1.9803960792158435E-2</v>
      </c>
    </row>
    <row r="103" spans="4:44">
      <c r="D103">
        <f>SMALL('Iter No Test'!$E$9:$E$58,43)</f>
        <v>316.20083556103071</v>
      </c>
      <c r="E103">
        <f>1/(COUNT('Iter No Test'!$E$9:$E$58)-1)+$E$102</f>
        <v>0.85714285714285776</v>
      </c>
      <c r="J103">
        <v>95</v>
      </c>
      <c r="K103">
        <v>401.40365191817</v>
      </c>
      <c r="M103">
        <v>95</v>
      </c>
      <c r="N103">
        <v>155.66179508409638</v>
      </c>
      <c r="P103">
        <v>95</v>
      </c>
      <c r="Q103">
        <v>348.98852453813703</v>
      </c>
      <c r="S103">
        <v>95</v>
      </c>
      <c r="T103">
        <v>251.60489685979047</v>
      </c>
      <c r="V103">
        <v>95</v>
      </c>
      <c r="W103">
        <v>288.52756723667437</v>
      </c>
      <c r="AH103">
        <f>SMALL('Iter No Test'!$N$9:$N$208,101)</f>
        <v>207.06560179109536</v>
      </c>
      <c r="AI103">
        <f>1/(COUNT('Iter No Test'!$N$9:$N$208)-1)+$AI$102</f>
        <v>0.5025125628140712</v>
      </c>
      <c r="AK103">
        <f>SMALL('Iter No Test'!$Q$9:$Q$508,101)</f>
        <v>143.67710291014737</v>
      </c>
      <c r="AL103">
        <f>1/(COUNT('Iter No Test'!$Q$9:$Q$508)-1)+$AL$102</f>
        <v>0.20040080160320656</v>
      </c>
      <c r="AN103">
        <f>SMALL('Iter No Test'!$T$9:$T$1008,101)</f>
        <v>105.63804475461619</v>
      </c>
      <c r="AO103">
        <f>1/(COUNT('Iter No Test'!$T$9:$T$1008)-1)+$AO$102</f>
        <v>0.10010010010010022</v>
      </c>
      <c r="AQ103">
        <f>SMALL('Iter No Test'!$W$9:$W$5008,101)</f>
        <v>54.751187443434347</v>
      </c>
      <c r="AR103">
        <f>1/(COUNT('Iter No Test'!$W$9:$W$5008)-1)+$AR$102</f>
        <v>2.0004000800160036E-2</v>
      </c>
    </row>
    <row r="104" spans="4:44">
      <c r="D104">
        <f>SMALL('Iter No Test'!$E$9:$E$58,44)</f>
        <v>319.39620692790584</v>
      </c>
      <c r="E104">
        <f>1/(COUNT('Iter No Test'!$E$9:$E$58)-1)+$E$103</f>
        <v>0.87755102040816391</v>
      </c>
      <c r="J104">
        <v>96</v>
      </c>
      <c r="K104">
        <v>231.0461127486893</v>
      </c>
      <c r="M104">
        <v>96</v>
      </c>
      <c r="N104">
        <v>279.17847251153648</v>
      </c>
      <c r="P104">
        <v>96</v>
      </c>
      <c r="Q104">
        <v>255.95800599888935</v>
      </c>
      <c r="S104">
        <v>96</v>
      </c>
      <c r="T104">
        <v>198.52883473197551</v>
      </c>
      <c r="V104">
        <v>96</v>
      </c>
      <c r="W104">
        <v>181.05943822984418</v>
      </c>
      <c r="AH104">
        <f>SMALL('Iter No Test'!$N$9:$N$208,102)</f>
        <v>207.72359571975187</v>
      </c>
      <c r="AI104">
        <f>1/(COUNT('Iter No Test'!$N$9:$N$208)-1)+$AI$103</f>
        <v>0.50753768844221192</v>
      </c>
      <c r="AK104">
        <f>SMALL('Iter No Test'!$Q$9:$Q$508,102)</f>
        <v>144.15118664142247</v>
      </c>
      <c r="AL104">
        <f>1/(COUNT('Iter No Test'!$Q$9:$Q$508)-1)+$AL$103</f>
        <v>0.20240480961923862</v>
      </c>
      <c r="AN104">
        <f>SMALL('Iter No Test'!$T$9:$T$1008,102)</f>
        <v>105.89487243803751</v>
      </c>
      <c r="AO104">
        <f>1/(COUNT('Iter No Test'!$T$9:$T$1008)-1)+$AO$103</f>
        <v>0.10110110110110122</v>
      </c>
      <c r="AQ104">
        <f>SMALL('Iter No Test'!$W$9:$W$5008,102)</f>
        <v>54.870935894891602</v>
      </c>
      <c r="AR104">
        <f>1/(COUNT('Iter No Test'!$W$9:$W$5008)-1)+$AR$103</f>
        <v>2.0204040808161638E-2</v>
      </c>
    </row>
    <row r="105" spans="4:44">
      <c r="D105">
        <f>SMALL('Iter No Test'!$E$9:$E$58,45)</f>
        <v>321.4189349046535</v>
      </c>
      <c r="E105">
        <f>1/(COUNT('Iter No Test'!$E$9:$E$58)-1)+$E$104</f>
        <v>0.89795918367347005</v>
      </c>
      <c r="J105">
        <v>97</v>
      </c>
      <c r="K105">
        <v>124.24419642213893</v>
      </c>
      <c r="M105">
        <v>97</v>
      </c>
      <c r="N105">
        <v>309.44439697657072</v>
      </c>
      <c r="P105">
        <v>97</v>
      </c>
      <c r="Q105">
        <v>163.09064428428033</v>
      </c>
      <c r="S105">
        <v>97</v>
      </c>
      <c r="T105">
        <v>116.24612266815362</v>
      </c>
      <c r="V105">
        <v>97</v>
      </c>
      <c r="W105">
        <v>296.72406068644653</v>
      </c>
      <c r="AH105">
        <f>SMALL('Iter No Test'!$N$9:$N$208,103)</f>
        <v>208.95556973274171</v>
      </c>
      <c r="AI105">
        <f>1/(COUNT('Iter No Test'!$N$9:$N$208)-1)+$AI$104</f>
        <v>0.51256281407035265</v>
      </c>
      <c r="AK105">
        <f>SMALL('Iter No Test'!$Q$9:$Q$508,103)</f>
        <v>144.21704003011058</v>
      </c>
      <c r="AL105">
        <f>1/(COUNT('Iter No Test'!$Q$9:$Q$508)-1)+$AL$104</f>
        <v>0.20440881763527069</v>
      </c>
      <c r="AN105">
        <f>SMALL('Iter No Test'!$T$9:$T$1008,103)</f>
        <v>106.20810592698447</v>
      </c>
      <c r="AO105">
        <f>1/(COUNT('Iter No Test'!$T$9:$T$1008)-1)+$AO$104</f>
        <v>0.10210210210210223</v>
      </c>
      <c r="AQ105">
        <f>SMALL('Iter No Test'!$W$9:$W$5008,103)</f>
        <v>54.872841112177241</v>
      </c>
      <c r="AR105">
        <f>1/(COUNT('Iter No Test'!$W$9:$W$5008)-1)+$AR$104</f>
        <v>2.0404080816163239E-2</v>
      </c>
    </row>
    <row r="106" spans="4:44">
      <c r="D106">
        <f>SMALL('Iter No Test'!$E$9:$E$58,46)</f>
        <v>323.6222434110191</v>
      </c>
      <c r="E106">
        <f>1/(COUNT('Iter No Test'!$E$9:$E$58)-1)+$E$105</f>
        <v>0.9183673469387762</v>
      </c>
      <c r="J106">
        <v>98</v>
      </c>
      <c r="K106">
        <v>160.24010424886791</v>
      </c>
      <c r="M106">
        <v>98</v>
      </c>
      <c r="N106">
        <v>169.4376542737424</v>
      </c>
      <c r="P106">
        <v>98</v>
      </c>
      <c r="Q106">
        <v>267.94873194133447</v>
      </c>
      <c r="S106">
        <v>98</v>
      </c>
      <c r="T106">
        <v>170.82243177300575</v>
      </c>
      <c r="V106">
        <v>98</v>
      </c>
      <c r="W106">
        <v>257.66821810241231</v>
      </c>
      <c r="AH106">
        <f>SMALL('Iter No Test'!$N$9:$N$208,104)</f>
        <v>209.36945456265596</v>
      </c>
      <c r="AI106">
        <f>1/(COUNT('Iter No Test'!$N$9:$N$208)-1)+$AI$105</f>
        <v>0.51758793969849337</v>
      </c>
      <c r="AK106">
        <f>SMALL('Iter No Test'!$Q$9:$Q$508,104)</f>
        <v>144.49105059144108</v>
      </c>
      <c r="AL106">
        <f>1/(COUNT('Iter No Test'!$Q$9:$Q$508)-1)+$AL$105</f>
        <v>0.20641282565130276</v>
      </c>
      <c r="AN106">
        <f>SMALL('Iter No Test'!$T$9:$T$1008,104)</f>
        <v>107.18103296926023</v>
      </c>
      <c r="AO106">
        <f>1/(COUNT('Iter No Test'!$T$9:$T$1008)-1)+$AO$105</f>
        <v>0.10310310310310324</v>
      </c>
      <c r="AQ106">
        <f>SMALL('Iter No Test'!$W$9:$W$5008,104)</f>
        <v>55.084390382039828</v>
      </c>
      <c r="AR106">
        <f>1/(COUNT('Iter No Test'!$W$9:$W$5008)-1)+$AR$105</f>
        <v>2.0604120824164841E-2</v>
      </c>
    </row>
    <row r="107" spans="4:44">
      <c r="D107">
        <f>SMALL('Iter No Test'!$E$9:$E$58,47)</f>
        <v>333.25618861141788</v>
      </c>
      <c r="E107">
        <f>1/(COUNT('Iter No Test'!$E$9:$E$58)-1)+$E$106</f>
        <v>0.93877551020408234</v>
      </c>
      <c r="J107">
        <v>99</v>
      </c>
      <c r="K107">
        <v>152.68283533575979</v>
      </c>
      <c r="M107">
        <v>99</v>
      </c>
      <c r="N107">
        <v>322.8408736402377</v>
      </c>
      <c r="P107">
        <v>99</v>
      </c>
      <c r="Q107">
        <v>246.42538095537589</v>
      </c>
      <c r="S107">
        <v>99</v>
      </c>
      <c r="T107">
        <v>52.900146109467073</v>
      </c>
      <c r="V107">
        <v>99</v>
      </c>
      <c r="W107">
        <v>205.19922936230699</v>
      </c>
      <c r="AH107">
        <f>SMALL('Iter No Test'!$N$9:$N$208,105)</f>
        <v>209.72972245385259</v>
      </c>
      <c r="AI107">
        <f>1/(COUNT('Iter No Test'!$N$9:$N$208)-1)+$AI$106</f>
        <v>0.5226130653266341</v>
      </c>
      <c r="AK107">
        <f>SMALL('Iter No Test'!$Q$9:$Q$508,105)</f>
        <v>145.59081600398198</v>
      </c>
      <c r="AL107">
        <f>1/(COUNT('Iter No Test'!$Q$9:$Q$508)-1)+$AL$106</f>
        <v>0.20841683366733482</v>
      </c>
      <c r="AN107">
        <f>SMALL('Iter No Test'!$T$9:$T$1008,105)</f>
        <v>107.44624508740034</v>
      </c>
      <c r="AO107">
        <f>1/(COUNT('Iter No Test'!$T$9:$T$1008)-1)+$AO$106</f>
        <v>0.10410410410410424</v>
      </c>
      <c r="AQ107">
        <f>SMALL('Iter No Test'!$W$9:$W$5008,105)</f>
        <v>55.120707557525577</v>
      </c>
      <c r="AR107">
        <f>1/(COUNT('Iter No Test'!$W$9:$W$5008)-1)+$AR$106</f>
        <v>2.0804160832166442E-2</v>
      </c>
    </row>
    <row r="108" spans="4:44">
      <c r="D108">
        <f>SMALL('Iter No Test'!$E$9:$E$58,48)</f>
        <v>339.74908049361267</v>
      </c>
      <c r="E108">
        <f>1/(COUNT('Iter No Test'!$E$9:$E$58)-1)+$E$107</f>
        <v>0.95918367346938849</v>
      </c>
      <c r="J108">
        <v>100</v>
      </c>
      <c r="K108">
        <v>272.75482476397968</v>
      </c>
      <c r="M108">
        <v>100</v>
      </c>
      <c r="N108">
        <v>200.71877915692821</v>
      </c>
      <c r="P108">
        <v>100</v>
      </c>
      <c r="Q108">
        <v>173.46787464461312</v>
      </c>
      <c r="S108">
        <v>100</v>
      </c>
      <c r="T108">
        <v>167.34802528585266</v>
      </c>
      <c r="V108">
        <v>100</v>
      </c>
      <c r="W108">
        <v>172.35838988466713</v>
      </c>
      <c r="AH108">
        <f>SMALL('Iter No Test'!$N$9:$N$208,106)</f>
        <v>211.96771341872889</v>
      </c>
      <c r="AI108">
        <f>1/(COUNT('Iter No Test'!$N$9:$N$208)-1)+$AI$107</f>
        <v>0.52763819095477482</v>
      </c>
      <c r="AK108">
        <f>SMALL('Iter No Test'!$Q$9:$Q$508,106)</f>
        <v>145.77482186707675</v>
      </c>
      <c r="AL108">
        <f>1/(COUNT('Iter No Test'!$Q$9:$Q$508)-1)+$AL$107</f>
        <v>0.21042084168336689</v>
      </c>
      <c r="AN108">
        <f>SMALL('Iter No Test'!$T$9:$T$1008,106)</f>
        <v>107.70231671071548</v>
      </c>
      <c r="AO108">
        <f>1/(COUNT('Iter No Test'!$T$9:$T$1008)-1)+$AO$107</f>
        <v>0.10510510510510525</v>
      </c>
      <c r="AQ108">
        <f>SMALL('Iter No Test'!$W$9:$W$5008,106)</f>
        <v>55.139108409252515</v>
      </c>
      <c r="AR108">
        <f>1/(COUNT('Iter No Test'!$W$9:$W$5008)-1)+$AR$107</f>
        <v>2.1004200840168043E-2</v>
      </c>
    </row>
    <row r="109" spans="4:44">
      <c r="D109">
        <f>SMALL('Iter No Test'!$E$9:$E$58,49)</f>
        <v>376.12154213259913</v>
      </c>
      <c r="E109">
        <f>1/(COUNT('Iter No Test'!$E$9:$E$58)-1)+$E$108</f>
        <v>0.97959183673469463</v>
      </c>
      <c r="M109">
        <v>101</v>
      </c>
      <c r="N109">
        <v>253.86860388706219</v>
      </c>
      <c r="P109">
        <v>101</v>
      </c>
      <c r="Q109">
        <v>299.92318497262903</v>
      </c>
      <c r="S109">
        <v>101</v>
      </c>
      <c r="T109">
        <v>273.75160946383045</v>
      </c>
      <c r="V109">
        <v>101</v>
      </c>
      <c r="W109">
        <v>237.90257671068261</v>
      </c>
      <c r="AH109">
        <f>SMALL('Iter No Test'!$N$9:$N$208,107)</f>
        <v>213.2209366594021</v>
      </c>
      <c r="AI109">
        <f>1/(COUNT('Iter No Test'!$N$9:$N$208)-1)+$AI$108</f>
        <v>0.53266331658291555</v>
      </c>
      <c r="AK109">
        <f>SMALL('Iter No Test'!$Q$9:$Q$508,107)</f>
        <v>146.25294373559331</v>
      </c>
      <c r="AL109">
        <f>1/(COUNT('Iter No Test'!$Q$9:$Q$508)-1)+$AL$108</f>
        <v>0.21242484969939895</v>
      </c>
      <c r="AN109">
        <f>SMALL('Iter No Test'!$T$9:$T$1008,107)</f>
        <v>107.92045843280928</v>
      </c>
      <c r="AO109">
        <f>1/(COUNT('Iter No Test'!$T$9:$T$1008)-1)+$AO$108</f>
        <v>0.10610610610610625</v>
      </c>
      <c r="AQ109">
        <f>SMALL('Iter No Test'!$W$9:$W$5008,107)</f>
        <v>55.259325935735561</v>
      </c>
      <c r="AR109">
        <f>1/(COUNT('Iter No Test'!$W$9:$W$5008)-1)+$AR$108</f>
        <v>2.1204240848169645E-2</v>
      </c>
    </row>
    <row r="110" spans="4:44">
      <c r="D110">
        <f>SMALL('Iter No Test'!$E$9:$E$58,50)</f>
        <v>423.35009834277878</v>
      </c>
      <c r="E110">
        <f>1/(COUNT('Iter No Test'!$E$9:$E$58)-1)+$E$109</f>
        <v>1.0000000000000007</v>
      </c>
      <c r="J110" t="s">
        <v>40</v>
      </c>
      <c r="M110">
        <v>102</v>
      </c>
      <c r="N110">
        <v>263.14375745736828</v>
      </c>
      <c r="P110">
        <v>102</v>
      </c>
      <c r="Q110">
        <v>239.48090970001343</v>
      </c>
      <c r="S110">
        <v>102</v>
      </c>
      <c r="T110">
        <v>248.27671602464025</v>
      </c>
      <c r="V110">
        <v>102</v>
      </c>
      <c r="W110">
        <v>216.70644036065096</v>
      </c>
      <c r="AH110">
        <f>SMALL('Iter No Test'!$N$9:$N$208,108)</f>
        <v>213.23944350639007</v>
      </c>
      <c r="AI110">
        <f>1/(COUNT('Iter No Test'!$N$9:$N$208)-1)+$AI$109</f>
        <v>0.53768844221105627</v>
      </c>
      <c r="AK110">
        <f>SMALL('Iter No Test'!$Q$9:$Q$508,108)</f>
        <v>147.32124641729308</v>
      </c>
      <c r="AL110">
        <f>1/(COUNT('Iter No Test'!$Q$9:$Q$508)-1)+$AL$109</f>
        <v>0.21442885771543102</v>
      </c>
      <c r="AN110">
        <f>SMALL('Iter No Test'!$T$9:$T$1008,108)</f>
        <v>110.68921427764145</v>
      </c>
      <c r="AO110">
        <f>1/(COUNT('Iter No Test'!$T$9:$T$1008)-1)+$AO$109</f>
        <v>0.10710710710710726</v>
      </c>
      <c r="AQ110">
        <f>SMALL('Iter No Test'!$W$9:$W$5008,108)</f>
        <v>55.697382353432289</v>
      </c>
      <c r="AR110">
        <f>1/(COUNT('Iter No Test'!$W$9:$W$5008)-1)+$AR$109</f>
        <v>2.1404280856171246E-2</v>
      </c>
    </row>
    <row r="111" spans="4:44">
      <c r="J111" t="s">
        <v>41</v>
      </c>
      <c r="K111" t="s">
        <v>29</v>
      </c>
      <c r="M111">
        <v>103</v>
      </c>
      <c r="N111">
        <v>274.35127797540139</v>
      </c>
      <c r="P111">
        <v>103</v>
      </c>
      <c r="Q111">
        <v>215.44836186755253</v>
      </c>
      <c r="S111">
        <v>103</v>
      </c>
      <c r="T111">
        <v>286.01875249943578</v>
      </c>
      <c r="V111">
        <v>103</v>
      </c>
      <c r="W111">
        <v>246.79326453060307</v>
      </c>
      <c r="AH111">
        <f>SMALL('Iter No Test'!$N$9:$N$208,109)</f>
        <v>216.15810870884428</v>
      </c>
      <c r="AI111">
        <f>1/(COUNT('Iter No Test'!$N$9:$N$208)-1)+$AI$110</f>
        <v>0.542713567839197</v>
      </c>
      <c r="AK111">
        <f>SMALL('Iter No Test'!$Q$9:$Q$508,109)</f>
        <v>147.59465607962295</v>
      </c>
      <c r="AL111">
        <f>1/(COUNT('Iter No Test'!$Q$9:$Q$508)-1)+$AL$110</f>
        <v>0.21643286573146309</v>
      </c>
      <c r="AN111">
        <f>SMALL('Iter No Test'!$T$9:$T$1008,109)</f>
        <v>111.0034643539268</v>
      </c>
      <c r="AO111">
        <f>1/(COUNT('Iter No Test'!$T$9:$T$1008)-1)+$AO$110</f>
        <v>0.10810810810810827</v>
      </c>
      <c r="AQ111">
        <f>SMALL('Iter No Test'!$W$9:$W$5008,109)</f>
        <v>56.223733744937206</v>
      </c>
      <c r="AR111">
        <f>1/(COUNT('Iter No Test'!$W$9:$W$5008)-1)+$AR$110</f>
        <v>2.1604320864172848E-2</v>
      </c>
    </row>
    <row r="112" spans="4:44">
      <c r="J112" t="s">
        <v>42</v>
      </c>
      <c r="M112">
        <v>104</v>
      </c>
      <c r="N112">
        <v>100.56632105966884</v>
      </c>
      <c r="P112">
        <v>104</v>
      </c>
      <c r="Q112">
        <v>153.09938117578702</v>
      </c>
      <c r="S112">
        <v>104</v>
      </c>
      <c r="T112">
        <v>49.526301647079649</v>
      </c>
      <c r="V112">
        <v>104</v>
      </c>
      <c r="W112">
        <v>147.77855291306702</v>
      </c>
      <c r="AH112">
        <f>SMALL('Iter No Test'!$N$9:$N$208,110)</f>
        <v>218.87123984360792</v>
      </c>
      <c r="AI112">
        <f>1/(COUNT('Iter No Test'!$N$9:$N$208)-1)+$AI$111</f>
        <v>0.54773869346733772</v>
      </c>
      <c r="AK112">
        <f>SMALL('Iter No Test'!$Q$9:$Q$508,110)</f>
        <v>147.59982399713491</v>
      </c>
      <c r="AL112">
        <f>1/(COUNT('Iter No Test'!$Q$9:$Q$508)-1)+$AL$111</f>
        <v>0.21843687374749515</v>
      </c>
      <c r="AN112">
        <f>SMALL('Iter No Test'!$T$9:$T$1008,110)</f>
        <v>111.33581860852593</v>
      </c>
      <c r="AO112">
        <f>1/(COUNT('Iter No Test'!$T$9:$T$1008)-1)+$AO$111</f>
        <v>0.10910910910910927</v>
      </c>
      <c r="AQ112">
        <f>SMALL('Iter No Test'!$W$9:$W$5008,110)</f>
        <v>56.229697810325575</v>
      </c>
      <c r="AR112">
        <f>1/(COUNT('Iter No Test'!$W$9:$W$5008)-1)+$AR$111</f>
        <v>2.1804360872174449E-2</v>
      </c>
    </row>
    <row r="113" spans="10:44">
      <c r="J113" t="s">
        <v>43</v>
      </c>
      <c r="K113" t="s">
        <v>29</v>
      </c>
      <c r="M113">
        <v>105</v>
      </c>
      <c r="N113">
        <v>102.4985418077808</v>
      </c>
      <c r="P113">
        <v>105</v>
      </c>
      <c r="Q113">
        <v>268.68154669624016</v>
      </c>
      <c r="S113">
        <v>105</v>
      </c>
      <c r="T113">
        <v>252.34509887080034</v>
      </c>
      <c r="V113">
        <v>105</v>
      </c>
      <c r="W113">
        <v>217.0677672798318</v>
      </c>
      <c r="AH113">
        <f>SMALL('Iter No Test'!$N$9:$N$208,111)</f>
        <v>219.97060253487098</v>
      </c>
      <c r="AI113">
        <f>1/(COUNT('Iter No Test'!$N$9:$N$208)-1)+$AI$112</f>
        <v>0.55276381909547845</v>
      </c>
      <c r="AK113">
        <f>SMALL('Iter No Test'!$Q$9:$Q$508,111)</f>
        <v>148.04269792338241</v>
      </c>
      <c r="AL113">
        <f>1/(COUNT('Iter No Test'!$Q$9:$Q$508)-1)+$AL$112</f>
        <v>0.22044088176352722</v>
      </c>
      <c r="AN113">
        <f>SMALL('Iter No Test'!$T$9:$T$1008,111)</f>
        <v>111.55833992551983</v>
      </c>
      <c r="AO113">
        <f>1/(COUNT('Iter No Test'!$T$9:$T$1008)-1)+$AO$112</f>
        <v>0.11011011011011028</v>
      </c>
      <c r="AQ113">
        <f>SMALL('Iter No Test'!$W$9:$W$5008,111)</f>
        <v>56.325511759234558</v>
      </c>
      <c r="AR113">
        <f>1/(COUNT('Iter No Test'!$W$9:$W$5008)-1)+$AR$112</f>
        <v>2.200440088017605E-2</v>
      </c>
    </row>
    <row r="114" spans="10:44">
      <c r="J114" t="s">
        <v>44</v>
      </c>
      <c r="M114">
        <v>106</v>
      </c>
      <c r="N114">
        <v>162.28900119100538</v>
      </c>
      <c r="P114">
        <v>106</v>
      </c>
      <c r="Q114">
        <v>153.60330318755587</v>
      </c>
      <c r="S114">
        <v>106</v>
      </c>
      <c r="T114">
        <v>245.15755031775657</v>
      </c>
      <c r="V114">
        <v>106</v>
      </c>
      <c r="W114">
        <v>177.86509471074285</v>
      </c>
      <c r="AH114">
        <f>SMALL('Iter No Test'!$N$9:$N$208,112)</f>
        <v>220.8918175401642</v>
      </c>
      <c r="AI114">
        <f>1/(COUNT('Iter No Test'!$N$9:$N$208)-1)+$AI$113</f>
        <v>0.55778894472361917</v>
      </c>
      <c r="AK114">
        <f>SMALL('Iter No Test'!$Q$9:$Q$508,112)</f>
        <v>148.87788999144738</v>
      </c>
      <c r="AL114">
        <f>1/(COUNT('Iter No Test'!$Q$9:$Q$508)-1)+$AL$113</f>
        <v>0.22244488977955928</v>
      </c>
      <c r="AN114">
        <f>SMALL('Iter No Test'!$T$9:$T$1008,112)</f>
        <v>111.560242672144</v>
      </c>
      <c r="AO114">
        <f>1/(COUNT('Iter No Test'!$T$9:$T$1008)-1)+$AO$113</f>
        <v>0.11111111111111129</v>
      </c>
      <c r="AQ114">
        <f>SMALL('Iter No Test'!$W$9:$W$5008,112)</f>
        <v>56.419970548353206</v>
      </c>
      <c r="AR114">
        <f>1/(COUNT('Iter No Test'!$W$9:$W$5008)-1)+$AR$113</f>
        <v>2.2204440888177652E-2</v>
      </c>
    </row>
    <row r="115" spans="10:44">
      <c r="J115" t="s">
        <v>45</v>
      </c>
      <c r="K115" t="s">
        <v>29</v>
      </c>
      <c r="M115">
        <v>107</v>
      </c>
      <c r="N115">
        <v>209.72972245385259</v>
      </c>
      <c r="P115">
        <v>107</v>
      </c>
      <c r="Q115">
        <v>243.35600778141753</v>
      </c>
      <c r="S115">
        <v>107</v>
      </c>
      <c r="T115">
        <v>438.98893394627117</v>
      </c>
      <c r="V115">
        <v>107</v>
      </c>
      <c r="W115">
        <v>341.46438967528593</v>
      </c>
      <c r="AH115">
        <f>SMALL('Iter No Test'!$N$9:$N$208,113)</f>
        <v>222.04829523637315</v>
      </c>
      <c r="AI115">
        <f>1/(COUNT('Iter No Test'!$N$9:$N$208)-1)+$AI$114</f>
        <v>0.5628140703517599</v>
      </c>
      <c r="AK115">
        <f>SMALL('Iter No Test'!$Q$9:$Q$508,113)</f>
        <v>150.13095887821979</v>
      </c>
      <c r="AL115">
        <f>1/(COUNT('Iter No Test'!$Q$9:$Q$508)-1)+$AL$114</f>
        <v>0.22444889779559135</v>
      </c>
      <c r="AN115">
        <f>SMALL('Iter No Test'!$T$9:$T$1008,113)</f>
        <v>111.76540174568119</v>
      </c>
      <c r="AO115">
        <f>1/(COUNT('Iter No Test'!$T$9:$T$1008)-1)+$AO$114</f>
        <v>0.11211211211211229</v>
      </c>
      <c r="AQ115">
        <f>SMALL('Iter No Test'!$W$9:$W$5008,113)</f>
        <v>56.483556772849823</v>
      </c>
      <c r="AR115">
        <f>1/(COUNT('Iter No Test'!$W$9:$W$5008)-1)+$AR$114</f>
        <v>2.2404480896179253E-2</v>
      </c>
    </row>
    <row r="116" spans="10:44">
      <c r="J116" t="s">
        <v>46</v>
      </c>
      <c r="M116">
        <v>108</v>
      </c>
      <c r="N116">
        <v>116.78100909288287</v>
      </c>
      <c r="P116">
        <v>108</v>
      </c>
      <c r="Q116">
        <v>110.70128563725592</v>
      </c>
      <c r="S116">
        <v>108</v>
      </c>
      <c r="T116">
        <v>259.28919034233775</v>
      </c>
      <c r="V116">
        <v>108</v>
      </c>
      <c r="W116">
        <v>217.84219485558728</v>
      </c>
      <c r="AH116">
        <f>SMALL('Iter No Test'!$N$9:$N$208,114)</f>
        <v>226.95347353460005</v>
      </c>
      <c r="AI116">
        <f>1/(COUNT('Iter No Test'!$N$9:$N$208)-1)+$AI$115</f>
        <v>0.56783919597990062</v>
      </c>
      <c r="AK116">
        <f>SMALL('Iter No Test'!$Q$9:$Q$508,114)</f>
        <v>150.99988286131568</v>
      </c>
      <c r="AL116">
        <f>1/(COUNT('Iter No Test'!$Q$9:$Q$508)-1)+$AL$115</f>
        <v>0.22645290581162342</v>
      </c>
      <c r="AN116">
        <f>SMALL('Iter No Test'!$T$9:$T$1008,114)</f>
        <v>112.22681872323727</v>
      </c>
      <c r="AO116">
        <f>1/(COUNT('Iter No Test'!$T$9:$T$1008)-1)+$AO$115</f>
        <v>0.1131131131131133</v>
      </c>
      <c r="AQ116">
        <f>SMALL('Iter No Test'!$W$9:$W$5008,114)</f>
        <v>56.488855662845253</v>
      </c>
      <c r="AR116">
        <f>1/(COUNT('Iter No Test'!$W$9:$W$5008)-1)+$AR$115</f>
        <v>2.2604520904180855E-2</v>
      </c>
    </row>
    <row r="117" spans="10:44">
      <c r="J117" t="s">
        <v>47</v>
      </c>
      <c r="K117" t="s">
        <v>29</v>
      </c>
      <c r="M117">
        <v>109</v>
      </c>
      <c r="N117">
        <v>202.28017985979864</v>
      </c>
      <c r="P117">
        <v>109</v>
      </c>
      <c r="Q117">
        <v>188.67226769575436</v>
      </c>
      <c r="S117">
        <v>109</v>
      </c>
      <c r="T117">
        <v>147.87775872745547</v>
      </c>
      <c r="V117">
        <v>109</v>
      </c>
      <c r="W117">
        <v>154.14553092290751</v>
      </c>
      <c r="AH117">
        <f>SMALL('Iter No Test'!$N$9:$N$208,115)</f>
        <v>229.99249888742878</v>
      </c>
      <c r="AI117">
        <f>1/(COUNT('Iter No Test'!$N$9:$N$208)-1)+$AI$116</f>
        <v>0.57286432160804135</v>
      </c>
      <c r="AK117">
        <f>SMALL('Iter No Test'!$Q$9:$Q$508,115)</f>
        <v>151.22934648626546</v>
      </c>
      <c r="AL117">
        <f>1/(COUNT('Iter No Test'!$Q$9:$Q$508)-1)+$AL$116</f>
        <v>0.22845691382765548</v>
      </c>
      <c r="AN117">
        <f>SMALL('Iter No Test'!$T$9:$T$1008,115)</f>
        <v>112.34605048985782</v>
      </c>
      <c r="AO117">
        <f>1/(COUNT('Iter No Test'!$T$9:$T$1008)-1)+$AO$116</f>
        <v>0.1141141141141143</v>
      </c>
      <c r="AQ117">
        <f>SMALL('Iter No Test'!$W$9:$W$5008,115)</f>
        <v>56.983499944200148</v>
      </c>
      <c r="AR117">
        <f>1/(COUNT('Iter No Test'!$W$9:$W$5008)-1)+$AR$116</f>
        <v>2.2804560912182456E-2</v>
      </c>
    </row>
    <row r="118" spans="10:44">
      <c r="J118" t="s">
        <v>48</v>
      </c>
      <c r="M118">
        <v>110</v>
      </c>
      <c r="N118">
        <v>200.11596872939629</v>
      </c>
      <c r="P118">
        <v>110</v>
      </c>
      <c r="Q118">
        <v>217.52125748886644</v>
      </c>
      <c r="S118">
        <v>110</v>
      </c>
      <c r="T118">
        <v>155.77436972349449</v>
      </c>
      <c r="V118">
        <v>110</v>
      </c>
      <c r="W118">
        <v>303.42128963298592</v>
      </c>
      <c r="AH118">
        <f>SMALL('Iter No Test'!$N$9:$N$208,116)</f>
        <v>230.00068112141346</v>
      </c>
      <c r="AI118">
        <f>1/(COUNT('Iter No Test'!$N$9:$N$208)-1)+$AI$117</f>
        <v>0.57788944723618207</v>
      </c>
      <c r="AK118">
        <f>SMALL('Iter No Test'!$Q$9:$Q$508,116)</f>
        <v>151.61531013463343</v>
      </c>
      <c r="AL118">
        <f>1/(COUNT('Iter No Test'!$Q$9:$Q$508)-1)+$AL$117</f>
        <v>0.23046092184368755</v>
      </c>
      <c r="AN118">
        <f>SMALL('Iter No Test'!$T$9:$T$1008,116)</f>
        <v>112.35021949587356</v>
      </c>
      <c r="AO118">
        <f>1/(COUNT('Iter No Test'!$T$9:$T$1008)-1)+$AO$117</f>
        <v>0.11511511511511531</v>
      </c>
      <c r="AQ118">
        <f>SMALL('Iter No Test'!$W$9:$W$5008,116)</f>
        <v>57.032836783285063</v>
      </c>
      <c r="AR118">
        <f>1/(COUNT('Iter No Test'!$W$9:$W$5008)-1)+$AR$117</f>
        <v>2.3004600920184057E-2</v>
      </c>
    </row>
    <row r="119" spans="10:44">
      <c r="J119" t="s">
        <v>49</v>
      </c>
      <c r="K119" t="s">
        <v>29</v>
      </c>
      <c r="M119">
        <v>111</v>
      </c>
      <c r="N119">
        <v>171.49148150154321</v>
      </c>
      <c r="P119">
        <v>111</v>
      </c>
      <c r="Q119">
        <v>270.73268239968041</v>
      </c>
      <c r="S119">
        <v>111</v>
      </c>
      <c r="T119">
        <v>185.88215964480327</v>
      </c>
      <c r="V119">
        <v>111</v>
      </c>
      <c r="W119">
        <v>203.56317288481748</v>
      </c>
      <c r="AH119">
        <f>SMALL('Iter No Test'!$N$9:$N$208,117)</f>
        <v>232.54672909221745</v>
      </c>
      <c r="AI119">
        <f>1/(COUNT('Iter No Test'!$N$9:$N$208)-1)+$AI$118</f>
        <v>0.5829145728643228</v>
      </c>
      <c r="AK119">
        <f>SMALL('Iter No Test'!$Q$9:$Q$508,117)</f>
        <v>151.66976696763231</v>
      </c>
      <c r="AL119">
        <f>1/(COUNT('Iter No Test'!$Q$9:$Q$508)-1)+$AL$118</f>
        <v>0.23246492985971962</v>
      </c>
      <c r="AN119">
        <f>SMALL('Iter No Test'!$T$9:$T$1008,117)</f>
        <v>112.50935630767174</v>
      </c>
      <c r="AO119">
        <f>1/(COUNT('Iter No Test'!$T$9:$T$1008)-1)+$AO$118</f>
        <v>0.11611611611611632</v>
      </c>
      <c r="AQ119">
        <f>SMALL('Iter No Test'!$W$9:$W$5008,117)</f>
        <v>57.700890250855394</v>
      </c>
      <c r="AR119">
        <f>1/(COUNT('Iter No Test'!$W$9:$W$5008)-1)+$AR$118</f>
        <v>2.3204640928185659E-2</v>
      </c>
    </row>
    <row r="120" spans="10:44">
      <c r="M120">
        <v>112</v>
      </c>
      <c r="N120">
        <v>94.562810012777192</v>
      </c>
      <c r="P120">
        <v>112</v>
      </c>
      <c r="Q120">
        <v>114.18892179076886</v>
      </c>
      <c r="S120">
        <v>112</v>
      </c>
      <c r="T120">
        <v>415.40609867906016</v>
      </c>
      <c r="V120">
        <v>112</v>
      </c>
      <c r="W120">
        <v>252.7523691632795</v>
      </c>
      <c r="AH120">
        <f>SMALL('Iter No Test'!$N$9:$N$208,118)</f>
        <v>232.58919597059537</v>
      </c>
      <c r="AI120">
        <f>1/(COUNT('Iter No Test'!$N$9:$N$208)-1)+$AI$119</f>
        <v>0.58793969849246352</v>
      </c>
      <c r="AK120">
        <f>SMALL('Iter No Test'!$Q$9:$Q$508,118)</f>
        <v>152.05400472197837</v>
      </c>
      <c r="AL120">
        <f>1/(COUNT('Iter No Test'!$Q$9:$Q$508)-1)+$AL$119</f>
        <v>0.23446893787575168</v>
      </c>
      <c r="AN120">
        <f>SMALL('Iter No Test'!$T$9:$T$1008,118)</f>
        <v>112.59091010594715</v>
      </c>
      <c r="AO120">
        <f>1/(COUNT('Iter No Test'!$T$9:$T$1008)-1)+$AO$119</f>
        <v>0.11711711711711732</v>
      </c>
      <c r="AQ120">
        <f>SMALL('Iter No Test'!$W$9:$W$5008,118)</f>
        <v>57.832948065496822</v>
      </c>
      <c r="AR120">
        <f>1/(COUNT('Iter No Test'!$W$9:$W$5008)-1)+$AR$119</f>
        <v>2.340468093618726E-2</v>
      </c>
    </row>
    <row r="121" spans="10:44">
      <c r="M121">
        <v>113</v>
      </c>
      <c r="N121">
        <v>146.63940288217907</v>
      </c>
      <c r="P121">
        <v>113</v>
      </c>
      <c r="Q121">
        <v>173.43163235940634</v>
      </c>
      <c r="S121">
        <v>113</v>
      </c>
      <c r="T121">
        <v>246.98112511311626</v>
      </c>
      <c r="V121">
        <v>113</v>
      </c>
      <c r="W121">
        <v>271.35090687233628</v>
      </c>
      <c r="AH121">
        <f>SMALL('Iter No Test'!$N$9:$N$208,119)</f>
        <v>233.14548413409207</v>
      </c>
      <c r="AI121">
        <f>1/(COUNT('Iter No Test'!$N$9:$N$208)-1)+$AI$120</f>
        <v>0.59296482412060425</v>
      </c>
      <c r="AK121">
        <f>SMALL('Iter No Test'!$Q$9:$Q$508,119)</f>
        <v>152.0949491454366</v>
      </c>
      <c r="AL121">
        <f>1/(COUNT('Iter No Test'!$Q$9:$Q$508)-1)+$AL$120</f>
        <v>0.23647294589178375</v>
      </c>
      <c r="AN121">
        <f>SMALL('Iter No Test'!$T$9:$T$1008,119)</f>
        <v>112.71045366186199</v>
      </c>
      <c r="AO121">
        <f>1/(COUNT('Iter No Test'!$T$9:$T$1008)-1)+$AO$120</f>
        <v>0.11811811811811833</v>
      </c>
      <c r="AQ121">
        <f>SMALL('Iter No Test'!$W$9:$W$5008,119)</f>
        <v>58.084015282170895</v>
      </c>
      <c r="AR121">
        <f>1/(COUNT('Iter No Test'!$W$9:$W$5008)-1)+$AR$120</f>
        <v>2.3604720944188862E-2</v>
      </c>
    </row>
    <row r="122" spans="10:44">
      <c r="M122">
        <v>114</v>
      </c>
      <c r="N122">
        <v>196.73567732820058</v>
      </c>
      <c r="P122">
        <v>114</v>
      </c>
      <c r="Q122">
        <v>315.74855252909703</v>
      </c>
      <c r="S122">
        <v>114</v>
      </c>
      <c r="T122">
        <v>333.52016615586876</v>
      </c>
      <c r="V122">
        <v>114</v>
      </c>
      <c r="W122">
        <v>257.73502559665309</v>
      </c>
      <c r="AH122">
        <f>SMALL('Iter No Test'!$N$9:$N$208,120)</f>
        <v>233.29201146083386</v>
      </c>
      <c r="AI122">
        <f>1/(COUNT('Iter No Test'!$N$9:$N$208)-1)+$AI$121</f>
        <v>0.59798994974874498</v>
      </c>
      <c r="AK122">
        <f>SMALL('Iter No Test'!$Q$9:$Q$508,120)</f>
        <v>152.23150784515985</v>
      </c>
      <c r="AL122">
        <f>1/(COUNT('Iter No Test'!$Q$9:$Q$508)-1)+$AL$121</f>
        <v>0.23847695390781581</v>
      </c>
      <c r="AN122">
        <f>SMALL('Iter No Test'!$T$9:$T$1008,120)</f>
        <v>112.84185549722237</v>
      </c>
      <c r="AO122">
        <f>1/(COUNT('Iter No Test'!$T$9:$T$1008)-1)+$AO$121</f>
        <v>0.11911911911911933</v>
      </c>
      <c r="AQ122">
        <f>SMALL('Iter No Test'!$W$9:$W$5008,120)</f>
        <v>59.503708534124456</v>
      </c>
      <c r="AR122">
        <f>1/(COUNT('Iter No Test'!$W$9:$W$5008)-1)+$AR$121</f>
        <v>2.3804760952190463E-2</v>
      </c>
    </row>
    <row r="123" spans="10:44">
      <c r="M123">
        <v>115</v>
      </c>
      <c r="N123">
        <v>156.34186162518785</v>
      </c>
      <c r="P123">
        <v>115</v>
      </c>
      <c r="Q123">
        <v>252.79978242163048</v>
      </c>
      <c r="S123">
        <v>115</v>
      </c>
      <c r="T123">
        <v>173.59312817365418</v>
      </c>
      <c r="V123">
        <v>115</v>
      </c>
      <c r="W123">
        <v>134.74136767354196</v>
      </c>
      <c r="AH123">
        <f>SMALL('Iter No Test'!$N$9:$N$208,121)</f>
        <v>237.7549405668604</v>
      </c>
      <c r="AI123">
        <f>1/(COUNT('Iter No Test'!$N$9:$N$208)-1)+$AI$122</f>
        <v>0.6030150753768857</v>
      </c>
      <c r="AK123">
        <f>SMALL('Iter No Test'!$Q$9:$Q$508,121)</f>
        <v>152.42087726486488</v>
      </c>
      <c r="AL123">
        <f>1/(COUNT('Iter No Test'!$Q$9:$Q$508)-1)+$AL$122</f>
        <v>0.24048096192384788</v>
      </c>
      <c r="AN123">
        <f>SMALL('Iter No Test'!$T$9:$T$1008,121)</f>
        <v>112.99682897505031</v>
      </c>
      <c r="AO123">
        <f>1/(COUNT('Iter No Test'!$T$9:$T$1008)-1)+$AO$122</f>
        <v>0.12012012012012034</v>
      </c>
      <c r="AQ123">
        <f>SMALL('Iter No Test'!$W$9:$W$5008,121)</f>
        <v>59.676661601537418</v>
      </c>
      <c r="AR123">
        <f>1/(COUNT('Iter No Test'!$W$9:$W$5008)-1)+$AR$122</f>
        <v>2.4004800960192064E-2</v>
      </c>
    </row>
    <row r="124" spans="10:44">
      <c r="M124">
        <v>116</v>
      </c>
      <c r="N124">
        <v>38.112933893184689</v>
      </c>
      <c r="P124">
        <v>116</v>
      </c>
      <c r="Q124">
        <v>255.10774110331553</v>
      </c>
      <c r="S124">
        <v>116</v>
      </c>
      <c r="T124">
        <v>240.75187257577619</v>
      </c>
      <c r="V124">
        <v>116</v>
      </c>
      <c r="W124">
        <v>399.96540756350396</v>
      </c>
      <c r="AH124">
        <f>SMALL('Iter No Test'!$N$9:$N$208,122)</f>
        <v>237.89243077249327</v>
      </c>
      <c r="AI124">
        <f>1/(COUNT('Iter No Test'!$N$9:$N$208)-1)+$AI$123</f>
        <v>0.60804020100502643</v>
      </c>
      <c r="AK124">
        <f>SMALL('Iter No Test'!$Q$9:$Q$508,122)</f>
        <v>152.92625930657474</v>
      </c>
      <c r="AL124">
        <f>1/(COUNT('Iter No Test'!$Q$9:$Q$508)-1)+$AL$123</f>
        <v>0.24248496993987995</v>
      </c>
      <c r="AN124">
        <f>SMALL('Iter No Test'!$T$9:$T$1008,122)</f>
        <v>113.34425945577381</v>
      </c>
      <c r="AO124">
        <f>1/(COUNT('Iter No Test'!$T$9:$T$1008)-1)+$AO$123</f>
        <v>0.12112112112112135</v>
      </c>
      <c r="AQ124">
        <f>SMALL('Iter No Test'!$W$9:$W$5008,122)</f>
        <v>59.876729991428704</v>
      </c>
      <c r="AR124">
        <f>1/(COUNT('Iter No Test'!$W$9:$W$5008)-1)+$AR$123</f>
        <v>2.4204840968193666E-2</v>
      </c>
    </row>
    <row r="125" spans="10:44">
      <c r="M125">
        <v>117</v>
      </c>
      <c r="N125">
        <v>190.47802166012039</v>
      </c>
      <c r="P125">
        <v>117</v>
      </c>
      <c r="Q125">
        <v>260.12772318438903</v>
      </c>
      <c r="S125">
        <v>117</v>
      </c>
      <c r="T125">
        <v>324.27544107944044</v>
      </c>
      <c r="V125">
        <v>117</v>
      </c>
      <c r="W125">
        <v>234.52740441721275</v>
      </c>
      <c r="AH125">
        <f>SMALL('Iter No Test'!$N$9:$N$208,123)</f>
        <v>238.06637455003775</v>
      </c>
      <c r="AI125">
        <f>1/(COUNT('Iter No Test'!$N$9:$N$208)-1)+$AI$124</f>
        <v>0.61306532663316715</v>
      </c>
      <c r="AK125">
        <f>SMALL('Iter No Test'!$Q$9:$Q$508,123)</f>
        <v>153.09938117578702</v>
      </c>
      <c r="AL125">
        <f>1/(COUNT('Iter No Test'!$Q$9:$Q$508)-1)+$AL$124</f>
        <v>0.24448897795591201</v>
      </c>
      <c r="AN125">
        <f>SMALL('Iter No Test'!$T$9:$T$1008,123)</f>
        <v>113.45018290243567</v>
      </c>
      <c r="AO125">
        <f>1/(COUNT('Iter No Test'!$T$9:$T$1008)-1)+$AO$124</f>
        <v>0.12212212212212235</v>
      </c>
      <c r="AQ125">
        <f>SMALL('Iter No Test'!$W$9:$W$5008,123)</f>
        <v>59.999477900759885</v>
      </c>
      <c r="AR125">
        <f>1/(COUNT('Iter No Test'!$W$9:$W$5008)-1)+$AR$124</f>
        <v>2.4404880976195267E-2</v>
      </c>
    </row>
    <row r="126" spans="10:44">
      <c r="M126">
        <v>118</v>
      </c>
      <c r="N126">
        <v>319.6657181370125</v>
      </c>
      <c r="P126">
        <v>118</v>
      </c>
      <c r="Q126">
        <v>301.34421572730628</v>
      </c>
      <c r="S126">
        <v>118</v>
      </c>
      <c r="T126">
        <v>260.12757555219275</v>
      </c>
      <c r="V126">
        <v>118</v>
      </c>
      <c r="W126">
        <v>262.57020232870241</v>
      </c>
      <c r="AH126">
        <f>SMALL('Iter No Test'!$N$9:$N$208,124)</f>
        <v>238.97346118307544</v>
      </c>
      <c r="AI126">
        <f>1/(COUNT('Iter No Test'!$N$9:$N$208)-1)+$AI$125</f>
        <v>0.61809045226130788</v>
      </c>
      <c r="AK126">
        <f>SMALL('Iter No Test'!$Q$9:$Q$508,124)</f>
        <v>153.25589492448626</v>
      </c>
      <c r="AL126">
        <f>1/(COUNT('Iter No Test'!$Q$9:$Q$508)-1)+$AL$125</f>
        <v>0.24649298597194408</v>
      </c>
      <c r="AN126">
        <f>SMALL('Iter No Test'!$T$9:$T$1008,124)</f>
        <v>114.10718588580554</v>
      </c>
      <c r="AO126">
        <f>1/(COUNT('Iter No Test'!$T$9:$T$1008)-1)+$AO$125</f>
        <v>0.12312312312312336</v>
      </c>
      <c r="AQ126">
        <f>SMALL('Iter No Test'!$W$9:$W$5008,124)</f>
        <v>60.266183121924485</v>
      </c>
      <c r="AR126">
        <f>1/(COUNT('Iter No Test'!$W$9:$W$5008)-1)+$AR$125</f>
        <v>2.4604920984196869E-2</v>
      </c>
    </row>
    <row r="127" spans="10:44">
      <c r="M127">
        <v>119</v>
      </c>
      <c r="N127">
        <v>208.95556973274171</v>
      </c>
      <c r="P127">
        <v>119</v>
      </c>
      <c r="Q127">
        <v>106.87118258200545</v>
      </c>
      <c r="S127">
        <v>119</v>
      </c>
      <c r="T127">
        <v>163.59104141966171</v>
      </c>
      <c r="V127">
        <v>119</v>
      </c>
      <c r="W127">
        <v>185.36525911117903</v>
      </c>
      <c r="AH127">
        <f>SMALL('Iter No Test'!$N$9:$N$208,125)</f>
        <v>240.43823885224069</v>
      </c>
      <c r="AI127">
        <f>1/(COUNT('Iter No Test'!$N$9:$N$208)-1)+$AI$126</f>
        <v>0.6231155778894486</v>
      </c>
      <c r="AK127">
        <f>SMALL('Iter No Test'!$Q$9:$Q$508,125)</f>
        <v>153.60330318755587</v>
      </c>
      <c r="AL127">
        <f>1/(COUNT('Iter No Test'!$Q$9:$Q$508)-1)+$AL$126</f>
        <v>0.24849699398797614</v>
      </c>
      <c r="AN127">
        <f>SMALL('Iter No Test'!$T$9:$T$1008,125)</f>
        <v>114.58794186513963</v>
      </c>
      <c r="AO127">
        <f>1/(COUNT('Iter No Test'!$T$9:$T$1008)-1)+$AO$126</f>
        <v>0.12412412412412437</v>
      </c>
      <c r="AQ127">
        <f>SMALL('Iter No Test'!$W$9:$W$5008,125)</f>
        <v>60.671212082180205</v>
      </c>
      <c r="AR127">
        <f>1/(COUNT('Iter No Test'!$W$9:$W$5008)-1)+$AR$126</f>
        <v>2.480496099219847E-2</v>
      </c>
    </row>
    <row r="128" spans="10:44">
      <c r="M128">
        <v>120</v>
      </c>
      <c r="N128">
        <v>189.96172442330311</v>
      </c>
      <c r="P128">
        <v>120</v>
      </c>
      <c r="Q128">
        <v>187.30659466858668</v>
      </c>
      <c r="S128">
        <v>120</v>
      </c>
      <c r="T128">
        <v>191.0533591218998</v>
      </c>
      <c r="V128">
        <v>120</v>
      </c>
      <c r="W128">
        <v>124.85421584045275</v>
      </c>
      <c r="AH128">
        <f>SMALL('Iter No Test'!$N$9:$N$208,126)</f>
        <v>241.74361863295348</v>
      </c>
      <c r="AI128">
        <f>1/(COUNT('Iter No Test'!$N$9:$N$208)-1)+$AI$127</f>
        <v>0.62814070351758933</v>
      </c>
      <c r="AK128">
        <f>SMALL('Iter No Test'!$Q$9:$Q$508,126)</f>
        <v>153.69769847080377</v>
      </c>
      <c r="AL128">
        <f>1/(COUNT('Iter No Test'!$Q$9:$Q$508)-1)+$AL$127</f>
        <v>0.25050100200400821</v>
      </c>
      <c r="AN128">
        <f>SMALL('Iter No Test'!$T$9:$T$1008,126)</f>
        <v>114.72225391669548</v>
      </c>
      <c r="AO128">
        <f>1/(COUNT('Iter No Test'!$T$9:$T$1008)-1)+$AO$127</f>
        <v>0.12512512512512536</v>
      </c>
      <c r="AQ128">
        <f>SMALL('Iter No Test'!$W$9:$W$5008,126)</f>
        <v>60.808962995654667</v>
      </c>
      <c r="AR128">
        <f>1/(COUNT('Iter No Test'!$W$9:$W$5008)-1)+$AR$127</f>
        <v>2.5005001000200072E-2</v>
      </c>
    </row>
    <row r="129" spans="13:44">
      <c r="M129">
        <v>121</v>
      </c>
      <c r="N129">
        <v>200.7558480188261</v>
      </c>
      <c r="P129">
        <v>121</v>
      </c>
      <c r="Q129">
        <v>77.566710444043181</v>
      </c>
      <c r="S129">
        <v>121</v>
      </c>
      <c r="T129">
        <v>142.09207063708152</v>
      </c>
      <c r="V129">
        <v>121</v>
      </c>
      <c r="W129">
        <v>179.3327055805328</v>
      </c>
      <c r="AH129">
        <f>SMALL('Iter No Test'!$N$9:$N$208,127)</f>
        <v>242.34433531158041</v>
      </c>
      <c r="AI129">
        <f>1/(COUNT('Iter No Test'!$N$9:$N$208)-1)+$AI$128</f>
        <v>0.63316582914573005</v>
      </c>
      <c r="AK129">
        <f>SMALL('Iter No Test'!$Q$9:$Q$508,127)</f>
        <v>153.72364697218583</v>
      </c>
      <c r="AL129">
        <f>1/(COUNT('Iter No Test'!$Q$9:$Q$508)-1)+$AL$128</f>
        <v>0.25250501002004028</v>
      </c>
      <c r="AN129">
        <f>SMALL('Iter No Test'!$T$9:$T$1008,127)</f>
        <v>115.51981336612901</v>
      </c>
      <c r="AO129">
        <f>1/(COUNT('Iter No Test'!$T$9:$T$1008)-1)+$AO$128</f>
        <v>0.12612612612612636</v>
      </c>
      <c r="AQ129">
        <f>SMALL('Iter No Test'!$W$9:$W$5008,127)</f>
        <v>60.848688071792907</v>
      </c>
      <c r="AR129">
        <f>1/(COUNT('Iter No Test'!$W$9:$W$5008)-1)+$AR$128</f>
        <v>2.5205041008201673E-2</v>
      </c>
    </row>
    <row r="130" spans="13:44">
      <c r="M130">
        <v>122</v>
      </c>
      <c r="N130">
        <v>245.15597886657093</v>
      </c>
      <c r="P130">
        <v>122</v>
      </c>
      <c r="Q130">
        <v>294.95978677789498</v>
      </c>
      <c r="S130">
        <v>122</v>
      </c>
      <c r="T130">
        <v>111.560242672144</v>
      </c>
      <c r="V130">
        <v>122</v>
      </c>
      <c r="W130">
        <v>391.69774893009185</v>
      </c>
      <c r="AH130">
        <f>SMALL('Iter No Test'!$N$9:$N$208,128)</f>
        <v>242.53177968338954</v>
      </c>
      <c r="AI130">
        <f>1/(COUNT('Iter No Test'!$N$9:$N$208)-1)+$AI$129</f>
        <v>0.63819095477387078</v>
      </c>
      <c r="AK130">
        <f>SMALL('Iter No Test'!$Q$9:$Q$508,128)</f>
        <v>154.57906678178853</v>
      </c>
      <c r="AL130">
        <f>1/(COUNT('Iter No Test'!$Q$9:$Q$508)-1)+$AL$129</f>
        <v>0.25450901803607234</v>
      </c>
      <c r="AN130">
        <f>SMALL('Iter No Test'!$T$9:$T$1008,128)</f>
        <v>116.24612266815362</v>
      </c>
      <c r="AO130">
        <f>1/(COUNT('Iter No Test'!$T$9:$T$1008)-1)+$AO$129</f>
        <v>0.12712712712712737</v>
      </c>
      <c r="AQ130">
        <f>SMALL('Iter No Test'!$W$9:$W$5008,128)</f>
        <v>60.869579854266746</v>
      </c>
      <c r="AR130">
        <f>1/(COUNT('Iter No Test'!$W$9:$W$5008)-1)+$AR$129</f>
        <v>2.5405081016203274E-2</v>
      </c>
    </row>
    <row r="131" spans="13:44">
      <c r="M131">
        <v>123</v>
      </c>
      <c r="N131">
        <v>285.7283511791004</v>
      </c>
      <c r="P131">
        <v>123</v>
      </c>
      <c r="Q131">
        <v>303.16165871727048</v>
      </c>
      <c r="S131">
        <v>123</v>
      </c>
      <c r="T131">
        <v>252.35007727509128</v>
      </c>
      <c r="V131">
        <v>123</v>
      </c>
      <c r="W131">
        <v>137.06346117049057</v>
      </c>
      <c r="AH131">
        <f>SMALL('Iter No Test'!$N$9:$N$208,129)</f>
        <v>243.14408520207382</v>
      </c>
      <c r="AI131">
        <f>1/(COUNT('Iter No Test'!$N$9:$N$208)-1)+$AI$130</f>
        <v>0.6432160804020115</v>
      </c>
      <c r="AK131">
        <f>SMALL('Iter No Test'!$Q$9:$Q$508,129)</f>
        <v>156.1534006084633</v>
      </c>
      <c r="AL131">
        <f>1/(COUNT('Iter No Test'!$Q$9:$Q$508)-1)+$AL$130</f>
        <v>0.25651302605210441</v>
      </c>
      <c r="AN131">
        <f>SMALL('Iter No Test'!$T$9:$T$1008,129)</f>
        <v>116.56572056717849</v>
      </c>
      <c r="AO131">
        <f>1/(COUNT('Iter No Test'!$T$9:$T$1008)-1)+$AO$130</f>
        <v>0.12812812812812838</v>
      </c>
      <c r="AQ131">
        <f>SMALL('Iter No Test'!$W$9:$W$5008,129)</f>
        <v>61.092317983238303</v>
      </c>
      <c r="AR131">
        <f>1/(COUNT('Iter No Test'!$W$9:$W$5008)-1)+$AR$130</f>
        <v>2.5605121024204876E-2</v>
      </c>
    </row>
    <row r="132" spans="13:44">
      <c r="M132">
        <v>124</v>
      </c>
      <c r="N132">
        <v>204.44483256769246</v>
      </c>
      <c r="P132">
        <v>124</v>
      </c>
      <c r="Q132">
        <v>165.27121731536127</v>
      </c>
      <c r="S132">
        <v>124</v>
      </c>
      <c r="T132">
        <v>194.62515599464555</v>
      </c>
      <c r="V132">
        <v>124</v>
      </c>
      <c r="W132">
        <v>178.95439932386358</v>
      </c>
      <c r="AH132">
        <f>SMALL('Iter No Test'!$N$9:$N$208,130)</f>
        <v>243.84078136470666</v>
      </c>
      <c r="AI132">
        <f>1/(COUNT('Iter No Test'!$N$9:$N$208)-1)+$AI$131</f>
        <v>0.64824120603015223</v>
      </c>
      <c r="AK132">
        <f>SMALL('Iter No Test'!$Q$9:$Q$508,130)</f>
        <v>156.75542571750236</v>
      </c>
      <c r="AL132">
        <f>1/(COUNT('Iter No Test'!$Q$9:$Q$508)-1)+$AL$131</f>
        <v>0.25851703406813648</v>
      </c>
      <c r="AN132">
        <f>SMALL('Iter No Test'!$T$9:$T$1008,130)</f>
        <v>117.06308451412264</v>
      </c>
      <c r="AO132">
        <f>1/(COUNT('Iter No Test'!$T$9:$T$1008)-1)+$AO$131</f>
        <v>0.12912912912912938</v>
      </c>
      <c r="AQ132">
        <f>SMALL('Iter No Test'!$W$9:$W$5008,130)</f>
        <v>61.114230681426534</v>
      </c>
      <c r="AR132">
        <f>1/(COUNT('Iter No Test'!$W$9:$W$5008)-1)+$AR$131</f>
        <v>2.5805161032206477E-2</v>
      </c>
    </row>
    <row r="133" spans="13:44">
      <c r="M133">
        <v>125</v>
      </c>
      <c r="N133">
        <v>154.62879312663537</v>
      </c>
      <c r="P133">
        <v>125</v>
      </c>
      <c r="Q133">
        <v>261.71416866211416</v>
      </c>
      <c r="S133">
        <v>125</v>
      </c>
      <c r="T133">
        <v>317.48753071218266</v>
      </c>
      <c r="V133">
        <v>125</v>
      </c>
      <c r="W133">
        <v>201.94818882466581</v>
      </c>
      <c r="AH133">
        <f>SMALL('Iter No Test'!$N$9:$N$208,131)</f>
        <v>244.05447356671246</v>
      </c>
      <c r="AI133">
        <f>1/(COUNT('Iter No Test'!$N$9:$N$208)-1)+$AI$132</f>
        <v>0.65326633165829295</v>
      </c>
      <c r="AK133">
        <f>SMALL('Iter No Test'!$Q$9:$Q$508,131)</f>
        <v>157.37416865680012</v>
      </c>
      <c r="AL133">
        <f>1/(COUNT('Iter No Test'!$Q$9:$Q$508)-1)+$AL$132</f>
        <v>0.26052104208416854</v>
      </c>
      <c r="AN133">
        <f>SMALL('Iter No Test'!$T$9:$T$1008,131)</f>
        <v>117.69044439822071</v>
      </c>
      <c r="AO133">
        <f>1/(COUNT('Iter No Test'!$T$9:$T$1008)-1)+$AO$132</f>
        <v>0.13013013013013039</v>
      </c>
      <c r="AQ133">
        <f>SMALL('Iter No Test'!$W$9:$W$5008,131)</f>
        <v>61.172285964849223</v>
      </c>
      <c r="AR133">
        <f>1/(COUNT('Iter No Test'!$W$9:$W$5008)-1)+$AR$132</f>
        <v>2.6005201040208079E-2</v>
      </c>
    </row>
    <row r="134" spans="13:44">
      <c r="M134">
        <v>126</v>
      </c>
      <c r="N134">
        <v>308.36950107809093</v>
      </c>
      <c r="P134">
        <v>126</v>
      </c>
      <c r="Q134">
        <v>101.36754993665163</v>
      </c>
      <c r="S134">
        <v>126</v>
      </c>
      <c r="T134">
        <v>312.86551725421208</v>
      </c>
      <c r="V134">
        <v>126</v>
      </c>
      <c r="W134">
        <v>229.28833008454137</v>
      </c>
      <c r="AH134">
        <f>SMALL('Iter No Test'!$N$9:$N$208,132)</f>
        <v>245.15597886657093</v>
      </c>
      <c r="AI134">
        <f>1/(COUNT('Iter No Test'!$N$9:$N$208)-1)+$AI$133</f>
        <v>0.65829145728643368</v>
      </c>
      <c r="AK134">
        <f>SMALL('Iter No Test'!$Q$9:$Q$508,132)</f>
        <v>157.97547684725123</v>
      </c>
      <c r="AL134">
        <f>1/(COUNT('Iter No Test'!$Q$9:$Q$508)-1)+$AL$133</f>
        <v>0.26252505010020061</v>
      </c>
      <c r="AN134">
        <f>SMALL('Iter No Test'!$T$9:$T$1008,132)</f>
        <v>119.01957416084889</v>
      </c>
      <c r="AO134">
        <f>1/(COUNT('Iter No Test'!$T$9:$T$1008)-1)+$AO$133</f>
        <v>0.1311311311311314</v>
      </c>
      <c r="AQ134">
        <f>SMALL('Iter No Test'!$W$9:$W$5008,132)</f>
        <v>62.078421567418715</v>
      </c>
      <c r="AR134">
        <f>1/(COUNT('Iter No Test'!$W$9:$W$5008)-1)+$AR$133</f>
        <v>2.620524104820968E-2</v>
      </c>
    </row>
    <row r="135" spans="13:44">
      <c r="M135">
        <v>127</v>
      </c>
      <c r="N135">
        <v>144.3225214786099</v>
      </c>
      <c r="P135">
        <v>127</v>
      </c>
      <c r="Q135">
        <v>224.48824604367553</v>
      </c>
      <c r="S135">
        <v>127</v>
      </c>
      <c r="T135">
        <v>273.63322015996863</v>
      </c>
      <c r="V135">
        <v>127</v>
      </c>
      <c r="W135">
        <v>164.43682274267914</v>
      </c>
      <c r="AH135">
        <f>SMALL('Iter No Test'!$N$9:$N$208,133)</f>
        <v>246.39036908068002</v>
      </c>
      <c r="AI135">
        <f>1/(COUNT('Iter No Test'!$N$9:$N$208)-1)+$AI$134</f>
        <v>0.6633165829145744</v>
      </c>
      <c r="AK135">
        <f>SMALL('Iter No Test'!$Q$9:$Q$508,133)</f>
        <v>158.486814631849</v>
      </c>
      <c r="AL135">
        <f>1/(COUNT('Iter No Test'!$Q$9:$Q$508)-1)+$AL$134</f>
        <v>0.26452905811623267</v>
      </c>
      <c r="AN135">
        <f>SMALL('Iter No Test'!$T$9:$T$1008,133)</f>
        <v>119.66735365826419</v>
      </c>
      <c r="AO135">
        <f>1/(COUNT('Iter No Test'!$T$9:$T$1008)-1)+$AO$134</f>
        <v>0.1321321321321324</v>
      </c>
      <c r="AQ135">
        <f>SMALL('Iter No Test'!$W$9:$W$5008,133)</f>
        <v>62.463318176180536</v>
      </c>
      <c r="AR135">
        <f>1/(COUNT('Iter No Test'!$W$9:$W$5008)-1)+$AR$134</f>
        <v>2.6405281056211281E-2</v>
      </c>
    </row>
    <row r="136" spans="13:44">
      <c r="M136">
        <v>128</v>
      </c>
      <c r="N136">
        <v>213.2209366594021</v>
      </c>
      <c r="P136">
        <v>128</v>
      </c>
      <c r="Q136">
        <v>130.94439750496082</v>
      </c>
      <c r="S136">
        <v>128</v>
      </c>
      <c r="T136">
        <v>250.71850714316906</v>
      </c>
      <c r="V136">
        <v>128</v>
      </c>
      <c r="W136">
        <v>232.17384836191661</v>
      </c>
      <c r="AH136">
        <f>SMALL('Iter No Test'!$N$9:$N$208,134)</f>
        <v>246.41888429270205</v>
      </c>
      <c r="AI136">
        <f>1/(COUNT('Iter No Test'!$N$9:$N$208)-1)+$AI$135</f>
        <v>0.66834170854271513</v>
      </c>
      <c r="AK136">
        <f>SMALL('Iter No Test'!$Q$9:$Q$508,134)</f>
        <v>158.55379454252579</v>
      </c>
      <c r="AL136">
        <f>1/(COUNT('Iter No Test'!$Q$9:$Q$508)-1)+$AL$135</f>
        <v>0.26653306613226474</v>
      </c>
      <c r="AN136">
        <f>SMALL('Iter No Test'!$T$9:$T$1008,134)</f>
        <v>120.77757129072344</v>
      </c>
      <c r="AO136">
        <f>1/(COUNT('Iter No Test'!$T$9:$T$1008)-1)+$AO$135</f>
        <v>0.13313313313313341</v>
      </c>
      <c r="AQ136">
        <f>SMALL('Iter No Test'!$W$9:$W$5008,134)</f>
        <v>62.74469133061784</v>
      </c>
      <c r="AR136">
        <f>1/(COUNT('Iter No Test'!$W$9:$W$5008)-1)+$AR$135</f>
        <v>2.6605321064212883E-2</v>
      </c>
    </row>
    <row r="137" spans="13:44">
      <c r="M137">
        <v>129</v>
      </c>
      <c r="N137">
        <v>277.90050357939867</v>
      </c>
      <c r="P137">
        <v>129</v>
      </c>
      <c r="Q137">
        <v>204.19989323431801</v>
      </c>
      <c r="S137">
        <v>129</v>
      </c>
      <c r="T137">
        <v>201.26394586419354</v>
      </c>
      <c r="V137">
        <v>129</v>
      </c>
      <c r="W137">
        <v>285.75207972716942</v>
      </c>
      <c r="AH137">
        <f>SMALL('Iter No Test'!$N$9:$N$208,135)</f>
        <v>247.33856711039715</v>
      </c>
      <c r="AI137">
        <f>1/(COUNT('Iter No Test'!$N$9:$N$208)-1)+$AI$136</f>
        <v>0.67336683417085585</v>
      </c>
      <c r="AK137">
        <f>SMALL('Iter No Test'!$Q$9:$Q$508,135)</f>
        <v>158.82177735755482</v>
      </c>
      <c r="AL137">
        <f>1/(COUNT('Iter No Test'!$Q$9:$Q$508)-1)+$AL$136</f>
        <v>0.26853707414829681</v>
      </c>
      <c r="AN137">
        <f>SMALL('Iter No Test'!$T$9:$T$1008,135)</f>
        <v>120.83616314277413</v>
      </c>
      <c r="AO137">
        <f>1/(COUNT('Iter No Test'!$T$9:$T$1008)-1)+$AO$136</f>
        <v>0.13413413413413441</v>
      </c>
      <c r="AQ137">
        <f>SMALL('Iter No Test'!$W$9:$W$5008,135)</f>
        <v>63.009782961633704</v>
      </c>
      <c r="AR137">
        <f>1/(COUNT('Iter No Test'!$W$9:$W$5008)-1)+$AR$136</f>
        <v>2.6805361072214484E-2</v>
      </c>
    </row>
    <row r="138" spans="13:44">
      <c r="M138">
        <v>130</v>
      </c>
      <c r="N138">
        <v>202.74918461904775</v>
      </c>
      <c r="P138">
        <v>130</v>
      </c>
      <c r="Q138">
        <v>178.38308577999481</v>
      </c>
      <c r="S138">
        <v>130</v>
      </c>
      <c r="T138">
        <v>68.328614172469301</v>
      </c>
      <c r="V138">
        <v>130</v>
      </c>
      <c r="W138">
        <v>157.66698267701179</v>
      </c>
      <c r="AH138">
        <f>SMALL('Iter No Test'!$N$9:$N$208,136)</f>
        <v>248.52166138029159</v>
      </c>
      <c r="AI138">
        <f>1/(COUNT('Iter No Test'!$N$9:$N$208)-1)+$AI$137</f>
        <v>0.67839195979899658</v>
      </c>
      <c r="AK138">
        <f>SMALL('Iter No Test'!$Q$9:$Q$508,136)</f>
        <v>159.31073945656499</v>
      </c>
      <c r="AL138">
        <f>1/(COUNT('Iter No Test'!$Q$9:$Q$508)-1)+$AL$137</f>
        <v>0.27054108216432887</v>
      </c>
      <c r="AN138">
        <f>SMALL('Iter No Test'!$T$9:$T$1008,136)</f>
        <v>121.3811831907787</v>
      </c>
      <c r="AO138">
        <f>1/(COUNT('Iter No Test'!$T$9:$T$1008)-1)+$AO$137</f>
        <v>0.13513513513513542</v>
      </c>
      <c r="AQ138">
        <f>SMALL('Iter No Test'!$W$9:$W$5008,136)</f>
        <v>63.370147689355079</v>
      </c>
      <c r="AR138">
        <f>1/(COUNT('Iter No Test'!$W$9:$W$5008)-1)+$AR$137</f>
        <v>2.7005401080216086E-2</v>
      </c>
    </row>
    <row r="139" spans="13:44">
      <c r="M139">
        <v>131</v>
      </c>
      <c r="N139">
        <v>259.82896443919572</v>
      </c>
      <c r="P139">
        <v>131</v>
      </c>
      <c r="Q139">
        <v>134.15018434092272</v>
      </c>
      <c r="S139">
        <v>131</v>
      </c>
      <c r="T139">
        <v>260.92359460728869</v>
      </c>
      <c r="V139">
        <v>131</v>
      </c>
      <c r="W139">
        <v>160.75997634496184</v>
      </c>
      <c r="AH139">
        <f>SMALL('Iter No Test'!$N$9:$N$208,137)</f>
        <v>251.90228646642731</v>
      </c>
      <c r="AI139">
        <f>1/(COUNT('Iter No Test'!$N$9:$N$208)-1)+$AI$138</f>
        <v>0.68341708542713731</v>
      </c>
      <c r="AK139">
        <f>SMALL('Iter No Test'!$Q$9:$Q$508,137)</f>
        <v>159.37007280334615</v>
      </c>
      <c r="AL139">
        <f>1/(COUNT('Iter No Test'!$Q$9:$Q$508)-1)+$AL$138</f>
        <v>0.27254509018036094</v>
      </c>
      <c r="AN139">
        <f>SMALL('Iter No Test'!$T$9:$T$1008,137)</f>
        <v>121.62077945748899</v>
      </c>
      <c r="AO139">
        <f>1/(COUNT('Iter No Test'!$T$9:$T$1008)-1)+$AO$138</f>
        <v>0.13613613613613643</v>
      </c>
      <c r="AQ139">
        <f>SMALL('Iter No Test'!$W$9:$W$5008,137)</f>
        <v>63.479906843320876</v>
      </c>
      <c r="AR139">
        <f>1/(COUNT('Iter No Test'!$W$9:$W$5008)-1)+$AR$138</f>
        <v>2.7205441088217687E-2</v>
      </c>
    </row>
    <row r="140" spans="13:44">
      <c r="M140">
        <v>132</v>
      </c>
      <c r="N140">
        <v>189.90656006369417</v>
      </c>
      <c r="P140">
        <v>132</v>
      </c>
      <c r="Q140">
        <v>248.77412874387545</v>
      </c>
      <c r="S140">
        <v>132</v>
      </c>
      <c r="T140">
        <v>244.07830410778141</v>
      </c>
      <c r="V140">
        <v>132</v>
      </c>
      <c r="W140">
        <v>188.44500859708981</v>
      </c>
      <c r="AH140">
        <f>SMALL('Iter No Test'!$N$9:$N$208,138)</f>
        <v>252.11934341346011</v>
      </c>
      <c r="AI140">
        <f>1/(COUNT('Iter No Test'!$N$9:$N$208)-1)+$AI$139</f>
        <v>0.68844221105527803</v>
      </c>
      <c r="AK140">
        <f>SMALL('Iter No Test'!$Q$9:$Q$508,138)</f>
        <v>160.01554929791601</v>
      </c>
      <c r="AL140">
        <f>1/(COUNT('Iter No Test'!$Q$9:$Q$508)-1)+$AL$139</f>
        <v>0.274549098196393</v>
      </c>
      <c r="AN140">
        <f>SMALL('Iter No Test'!$T$9:$T$1008,138)</f>
        <v>121.77095589389729</v>
      </c>
      <c r="AO140">
        <f>1/(COUNT('Iter No Test'!$T$9:$T$1008)-1)+$AO$139</f>
        <v>0.13713713713713743</v>
      </c>
      <c r="AQ140">
        <f>SMALL('Iter No Test'!$W$9:$W$5008,138)</f>
        <v>63.576096958374578</v>
      </c>
      <c r="AR140">
        <f>1/(COUNT('Iter No Test'!$W$9:$W$5008)-1)+$AR$139</f>
        <v>2.7405481096219288E-2</v>
      </c>
    </row>
    <row r="141" spans="13:44">
      <c r="M141">
        <v>133</v>
      </c>
      <c r="N141">
        <v>68.763761794651103</v>
      </c>
      <c r="P141">
        <v>133</v>
      </c>
      <c r="Q141">
        <v>227.65300989849038</v>
      </c>
      <c r="S141">
        <v>133</v>
      </c>
      <c r="T141">
        <v>201.73651422025458</v>
      </c>
      <c r="V141">
        <v>133</v>
      </c>
      <c r="W141">
        <v>228.71699270143418</v>
      </c>
      <c r="AH141">
        <f>SMALL('Iter No Test'!$N$9:$N$208,139)</f>
        <v>252.9726169561626</v>
      </c>
      <c r="AI141">
        <f>1/(COUNT('Iter No Test'!$N$9:$N$208)-1)+$AI$140</f>
        <v>0.69346733668341876</v>
      </c>
      <c r="AK141">
        <f>SMALL('Iter No Test'!$Q$9:$Q$508,139)</f>
        <v>161.74175901024114</v>
      </c>
      <c r="AL141">
        <f>1/(COUNT('Iter No Test'!$Q$9:$Q$508)-1)+$AL$140</f>
        <v>0.27655310621242507</v>
      </c>
      <c r="AN141">
        <f>SMALL('Iter No Test'!$T$9:$T$1008,139)</f>
        <v>122.03264225206028</v>
      </c>
      <c r="AO141">
        <f>1/(COUNT('Iter No Test'!$T$9:$T$1008)-1)+$AO$140</f>
        <v>0.13813813813813844</v>
      </c>
      <c r="AQ141">
        <f>SMALL('Iter No Test'!$W$9:$W$5008,139)</f>
        <v>63.579060837751797</v>
      </c>
      <c r="AR141">
        <f>1/(COUNT('Iter No Test'!$W$9:$W$5008)-1)+$AR$140</f>
        <v>2.760552110422089E-2</v>
      </c>
    </row>
    <row r="142" spans="13:44">
      <c r="M142">
        <v>134</v>
      </c>
      <c r="N142">
        <v>243.84078136470666</v>
      </c>
      <c r="P142">
        <v>134</v>
      </c>
      <c r="Q142">
        <v>179.67772431288296</v>
      </c>
      <c r="S142">
        <v>134</v>
      </c>
      <c r="T142">
        <v>247.28232258338736</v>
      </c>
      <c r="V142">
        <v>134</v>
      </c>
      <c r="W142">
        <v>275.42833938849924</v>
      </c>
      <c r="AH142">
        <f>SMALL('Iter No Test'!$N$9:$N$208,140)</f>
        <v>253.86860388706219</v>
      </c>
      <c r="AI142">
        <f>1/(COUNT('Iter No Test'!$N$9:$N$208)-1)+$AI$141</f>
        <v>0.69849246231155948</v>
      </c>
      <c r="AK142">
        <f>SMALL('Iter No Test'!$Q$9:$Q$508,140)</f>
        <v>161.91310842517981</v>
      </c>
      <c r="AL142">
        <f>1/(COUNT('Iter No Test'!$Q$9:$Q$508)-1)+$AL$141</f>
        <v>0.27855711422845714</v>
      </c>
      <c r="AN142">
        <f>SMALL('Iter No Test'!$T$9:$T$1008,140)</f>
        <v>122.92843205283201</v>
      </c>
      <c r="AO142">
        <f>1/(COUNT('Iter No Test'!$T$9:$T$1008)-1)+$AO$141</f>
        <v>0.13913913913913944</v>
      </c>
      <c r="AQ142">
        <f>SMALL('Iter No Test'!$W$9:$W$5008,140)</f>
        <v>63.58227620062307</v>
      </c>
      <c r="AR142">
        <f>1/(COUNT('Iter No Test'!$W$9:$W$5008)-1)+$AR$141</f>
        <v>2.7805561112222491E-2</v>
      </c>
    </row>
    <row r="143" spans="13:44">
      <c r="M143">
        <v>135</v>
      </c>
      <c r="N143">
        <v>288.6519003228521</v>
      </c>
      <c r="P143">
        <v>135</v>
      </c>
      <c r="Q143">
        <v>87.740540760983606</v>
      </c>
      <c r="S143">
        <v>135</v>
      </c>
      <c r="T143">
        <v>152.91119230749553</v>
      </c>
      <c r="V143">
        <v>135</v>
      </c>
      <c r="W143">
        <v>261.2609681082161</v>
      </c>
      <c r="AH143">
        <f>SMALL('Iter No Test'!$N$9:$N$208,141)</f>
        <v>254.50649940633741</v>
      </c>
      <c r="AI143">
        <f>1/(COUNT('Iter No Test'!$N$9:$N$208)-1)+$AI$142</f>
        <v>0.70351758793970021</v>
      </c>
      <c r="AK143">
        <f>SMALL('Iter No Test'!$Q$9:$Q$508,141)</f>
        <v>162.50707584028081</v>
      </c>
      <c r="AL143">
        <f>1/(COUNT('Iter No Test'!$Q$9:$Q$508)-1)+$AL$142</f>
        <v>0.2805611222444892</v>
      </c>
      <c r="AN143">
        <f>SMALL('Iter No Test'!$T$9:$T$1008,141)</f>
        <v>123.52417872087497</v>
      </c>
      <c r="AO143">
        <f>1/(COUNT('Iter No Test'!$T$9:$T$1008)-1)+$AO$142</f>
        <v>0.14014014014014045</v>
      </c>
      <c r="AQ143">
        <f>SMALL('Iter No Test'!$W$9:$W$5008,141)</f>
        <v>63.854759604229912</v>
      </c>
      <c r="AR143">
        <f>1/(COUNT('Iter No Test'!$W$9:$W$5008)-1)+$AR$142</f>
        <v>2.8005601120224093E-2</v>
      </c>
    </row>
    <row r="144" spans="13:44">
      <c r="M144">
        <v>136</v>
      </c>
      <c r="N144">
        <v>257.1297548652949</v>
      </c>
      <c r="P144">
        <v>136</v>
      </c>
      <c r="Q144">
        <v>228.9562185163191</v>
      </c>
      <c r="S144">
        <v>136</v>
      </c>
      <c r="T144">
        <v>253.85789296637282</v>
      </c>
      <c r="V144">
        <v>136</v>
      </c>
      <c r="W144">
        <v>142.73459992217869</v>
      </c>
      <c r="AH144">
        <f>SMALL('Iter No Test'!$N$9:$N$208,142)</f>
        <v>256.33639108061203</v>
      </c>
      <c r="AI144">
        <f>1/(COUNT('Iter No Test'!$N$9:$N$208)-1)+$AI$143</f>
        <v>0.70854271356784093</v>
      </c>
      <c r="AK144">
        <f>SMALL('Iter No Test'!$Q$9:$Q$508,142)</f>
        <v>162.70879037375866</v>
      </c>
      <c r="AL144">
        <f>1/(COUNT('Iter No Test'!$Q$9:$Q$508)-1)+$AL$143</f>
        <v>0.28256513026052127</v>
      </c>
      <c r="AN144">
        <f>SMALL('Iter No Test'!$T$9:$T$1008,142)</f>
        <v>124.09816592398165</v>
      </c>
      <c r="AO144">
        <f>1/(COUNT('Iter No Test'!$T$9:$T$1008)-1)+$AO$143</f>
        <v>0.14114114114114146</v>
      </c>
      <c r="AQ144">
        <f>SMALL('Iter No Test'!$W$9:$W$5008,142)</f>
        <v>63.944377847923676</v>
      </c>
      <c r="AR144">
        <f>1/(COUNT('Iter No Test'!$W$9:$W$5008)-1)+$AR$143</f>
        <v>2.8205641128225694E-2</v>
      </c>
    </row>
    <row r="145" spans="13:44">
      <c r="M145">
        <v>137</v>
      </c>
      <c r="N145">
        <v>152.45379041632299</v>
      </c>
      <c r="P145">
        <v>137</v>
      </c>
      <c r="Q145">
        <v>248.4006194749058</v>
      </c>
      <c r="S145">
        <v>137</v>
      </c>
      <c r="T145">
        <v>226.52524723322264</v>
      </c>
      <c r="V145">
        <v>137</v>
      </c>
      <c r="W145">
        <v>181.10522526187447</v>
      </c>
      <c r="AH145">
        <f>SMALL('Iter No Test'!$N$9:$N$208,143)</f>
        <v>257.1297548652949</v>
      </c>
      <c r="AI145">
        <f>1/(COUNT('Iter No Test'!$N$9:$N$208)-1)+$AI$144</f>
        <v>0.71356783919598166</v>
      </c>
      <c r="AK145">
        <f>SMALL('Iter No Test'!$Q$9:$Q$508,143)</f>
        <v>162.86763668144107</v>
      </c>
      <c r="AL145">
        <f>1/(COUNT('Iter No Test'!$Q$9:$Q$508)-1)+$AL$144</f>
        <v>0.28456913827655334</v>
      </c>
      <c r="AN145">
        <f>SMALL('Iter No Test'!$T$9:$T$1008,143)</f>
        <v>124.58708975272413</v>
      </c>
      <c r="AO145">
        <f>1/(COUNT('Iter No Test'!$T$9:$T$1008)-1)+$AO$144</f>
        <v>0.14214214214214246</v>
      </c>
      <c r="AQ145">
        <f>SMALL('Iter No Test'!$W$9:$W$5008,143)</f>
        <v>63.960779611918412</v>
      </c>
      <c r="AR145">
        <f>1/(COUNT('Iter No Test'!$W$9:$W$5008)-1)+$AR$144</f>
        <v>2.8405681136227295E-2</v>
      </c>
    </row>
    <row r="146" spans="13:44">
      <c r="M146">
        <v>138</v>
      </c>
      <c r="N146">
        <v>201.85576162821627</v>
      </c>
      <c r="P146">
        <v>138</v>
      </c>
      <c r="Q146">
        <v>171.48614110716667</v>
      </c>
      <c r="S146">
        <v>138</v>
      </c>
      <c r="T146">
        <v>162.47735843129402</v>
      </c>
      <c r="V146">
        <v>138</v>
      </c>
      <c r="W146">
        <v>140.40217882682754</v>
      </c>
      <c r="AH146">
        <f>SMALL('Iter No Test'!$N$9:$N$208,144)</f>
        <v>258.61176345121521</v>
      </c>
      <c r="AI146">
        <f>1/(COUNT('Iter No Test'!$N$9:$N$208)-1)+$AI$145</f>
        <v>0.71859296482412238</v>
      </c>
      <c r="AK146">
        <f>SMALL('Iter No Test'!$Q$9:$Q$508,144)</f>
        <v>163.09064428428033</v>
      </c>
      <c r="AL146">
        <f>1/(COUNT('Iter No Test'!$Q$9:$Q$508)-1)+$AL$145</f>
        <v>0.2865731462925854</v>
      </c>
      <c r="AN146">
        <f>SMALL('Iter No Test'!$T$9:$T$1008,144)</f>
        <v>124.82765636054182</v>
      </c>
      <c r="AO146">
        <f>1/(COUNT('Iter No Test'!$T$9:$T$1008)-1)+$AO$145</f>
        <v>0.14314314314314347</v>
      </c>
      <c r="AQ146">
        <f>SMALL('Iter No Test'!$W$9:$W$5008,144)</f>
        <v>64.000256222790284</v>
      </c>
      <c r="AR146">
        <f>1/(COUNT('Iter No Test'!$W$9:$W$5008)-1)+$AR$145</f>
        <v>2.8605721144228897E-2</v>
      </c>
    </row>
    <row r="147" spans="13:44">
      <c r="M147">
        <v>139</v>
      </c>
      <c r="N147">
        <v>101.59944521168175</v>
      </c>
      <c r="P147">
        <v>139</v>
      </c>
      <c r="Q147">
        <v>161.74175901024114</v>
      </c>
      <c r="S147">
        <v>139</v>
      </c>
      <c r="T147">
        <v>170.47879024362032</v>
      </c>
      <c r="V147">
        <v>139</v>
      </c>
      <c r="W147">
        <v>253.20691044748736</v>
      </c>
      <c r="AH147">
        <f>SMALL('Iter No Test'!$N$9:$N$208,145)</f>
        <v>259.69440233761429</v>
      </c>
      <c r="AI147">
        <f>1/(COUNT('Iter No Test'!$N$9:$N$208)-1)+$AI$146</f>
        <v>0.72361809045226311</v>
      </c>
      <c r="AK147">
        <f>SMALL('Iter No Test'!$Q$9:$Q$508,145)</f>
        <v>163.52727744012176</v>
      </c>
      <c r="AL147">
        <f>1/(COUNT('Iter No Test'!$Q$9:$Q$508)-1)+$AL$146</f>
        <v>0.28857715430861747</v>
      </c>
      <c r="AN147">
        <f>SMALL('Iter No Test'!$T$9:$T$1008,145)</f>
        <v>125.25647370464488</v>
      </c>
      <c r="AO147">
        <f>1/(COUNT('Iter No Test'!$T$9:$T$1008)-1)+$AO$146</f>
        <v>0.14414414414414448</v>
      </c>
      <c r="AQ147">
        <f>SMALL('Iter No Test'!$W$9:$W$5008,145)</f>
        <v>64.18671678096203</v>
      </c>
      <c r="AR147">
        <f>1/(COUNT('Iter No Test'!$W$9:$W$5008)-1)+$AR$146</f>
        <v>2.8805761152230498E-2</v>
      </c>
    </row>
    <row r="148" spans="13:44">
      <c r="M148">
        <v>140</v>
      </c>
      <c r="N148">
        <v>159.81849610691214</v>
      </c>
      <c r="P148">
        <v>140</v>
      </c>
      <c r="Q148">
        <v>153.72364697218583</v>
      </c>
      <c r="S148">
        <v>140</v>
      </c>
      <c r="T148">
        <v>302.4994603322408</v>
      </c>
      <c r="V148">
        <v>140</v>
      </c>
      <c r="W148">
        <v>353.80826327594724</v>
      </c>
      <c r="AH148">
        <f>SMALL('Iter No Test'!$N$9:$N$208,146)</f>
        <v>259.75783562387085</v>
      </c>
      <c r="AI148">
        <f>1/(COUNT('Iter No Test'!$N$9:$N$208)-1)+$AI$147</f>
        <v>0.72864321608040383</v>
      </c>
      <c r="AK148">
        <f>SMALL('Iter No Test'!$Q$9:$Q$508,146)</f>
        <v>164.14950451087293</v>
      </c>
      <c r="AL148">
        <f>1/(COUNT('Iter No Test'!$Q$9:$Q$508)-1)+$AL$147</f>
        <v>0.29058116232464953</v>
      </c>
      <c r="AN148">
        <f>SMALL('Iter No Test'!$T$9:$T$1008,146)</f>
        <v>125.46294129957369</v>
      </c>
      <c r="AO148">
        <f>1/(COUNT('Iter No Test'!$T$9:$T$1008)-1)+$AO$147</f>
        <v>0.14514514514514548</v>
      </c>
      <c r="AQ148">
        <f>SMALL('Iter No Test'!$W$9:$W$5008,146)</f>
        <v>64.9440523435578</v>
      </c>
      <c r="AR148">
        <f>1/(COUNT('Iter No Test'!$W$9:$W$5008)-1)+$AR$147</f>
        <v>2.90058011602321E-2</v>
      </c>
    </row>
    <row r="149" spans="13:44">
      <c r="M149">
        <v>141</v>
      </c>
      <c r="N149">
        <v>229.99249888742878</v>
      </c>
      <c r="P149">
        <v>141</v>
      </c>
      <c r="Q149">
        <v>194.21103712599128</v>
      </c>
      <c r="S149">
        <v>141</v>
      </c>
      <c r="T149">
        <v>188.91427014237053</v>
      </c>
      <c r="V149">
        <v>141</v>
      </c>
      <c r="W149">
        <v>275.54531650814681</v>
      </c>
      <c r="AH149">
        <f>SMALL('Iter No Test'!$N$9:$N$208,147)</f>
        <v>259.82896443919572</v>
      </c>
      <c r="AI149">
        <f>1/(COUNT('Iter No Test'!$N$9:$N$208)-1)+$AI$148</f>
        <v>0.73366834170854456</v>
      </c>
      <c r="AK149">
        <f>SMALL('Iter No Test'!$Q$9:$Q$508,147)</f>
        <v>164.58328746858228</v>
      </c>
      <c r="AL149">
        <f>1/(COUNT('Iter No Test'!$Q$9:$Q$508)-1)+$AL$148</f>
        <v>0.2925851703406816</v>
      </c>
      <c r="AN149">
        <f>SMALL('Iter No Test'!$T$9:$T$1008,147)</f>
        <v>125.4720205916981</v>
      </c>
      <c r="AO149">
        <f>1/(COUNT('Iter No Test'!$T$9:$T$1008)-1)+$AO$148</f>
        <v>0.14614614614614649</v>
      </c>
      <c r="AQ149">
        <f>SMALL('Iter No Test'!$W$9:$W$5008,147)</f>
        <v>65.009687958173402</v>
      </c>
      <c r="AR149">
        <f>1/(COUNT('Iter No Test'!$W$9:$W$5008)-1)+$AR$148</f>
        <v>2.9205841168233701E-2</v>
      </c>
    </row>
    <row r="150" spans="13:44">
      <c r="M150">
        <v>142</v>
      </c>
      <c r="N150">
        <v>474.72396061103569</v>
      </c>
      <c r="P150">
        <v>142</v>
      </c>
      <c r="Q150">
        <v>338.58162205873919</v>
      </c>
      <c r="S150">
        <v>142</v>
      </c>
      <c r="T150">
        <v>317.7832945627066</v>
      </c>
      <c r="V150">
        <v>142</v>
      </c>
      <c r="W150">
        <v>199.36719215919561</v>
      </c>
      <c r="AH150">
        <f>SMALL('Iter No Test'!$N$9:$N$208,148)</f>
        <v>263.14375745736828</v>
      </c>
      <c r="AI150">
        <f>1/(COUNT('Iter No Test'!$N$9:$N$208)-1)+$AI$149</f>
        <v>0.73869346733668528</v>
      </c>
      <c r="AK150">
        <f>SMALL('Iter No Test'!$Q$9:$Q$508,148)</f>
        <v>165.05111117385763</v>
      </c>
      <c r="AL150">
        <f>1/(COUNT('Iter No Test'!$Q$9:$Q$508)-1)+$AL$149</f>
        <v>0.29458917835671367</v>
      </c>
      <c r="AN150">
        <f>SMALL('Iter No Test'!$T$9:$T$1008,148)</f>
        <v>125.89328133686357</v>
      </c>
      <c r="AO150">
        <f>1/(COUNT('Iter No Test'!$T$9:$T$1008)-1)+$AO$149</f>
        <v>0.14714714714714749</v>
      </c>
      <c r="AQ150">
        <f>SMALL('Iter No Test'!$W$9:$W$5008,148)</f>
        <v>65.104509083830294</v>
      </c>
      <c r="AR150">
        <f>1/(COUNT('Iter No Test'!$W$9:$W$5008)-1)+$AR$149</f>
        <v>2.9405881176235302E-2</v>
      </c>
    </row>
    <row r="151" spans="13:44">
      <c r="M151">
        <v>143</v>
      </c>
      <c r="N151">
        <v>316.03571008226027</v>
      </c>
      <c r="P151">
        <v>143</v>
      </c>
      <c r="Q151">
        <v>163.52727744012176</v>
      </c>
      <c r="S151">
        <v>143</v>
      </c>
      <c r="T151">
        <v>155.92756487007796</v>
      </c>
      <c r="V151">
        <v>143</v>
      </c>
      <c r="W151">
        <v>96.556647917702406</v>
      </c>
      <c r="AH151">
        <f>SMALL('Iter No Test'!$N$9:$N$208,149)</f>
        <v>266.10949188497443</v>
      </c>
      <c r="AI151">
        <f>1/(COUNT('Iter No Test'!$N$9:$N$208)-1)+$AI$150</f>
        <v>0.74371859296482601</v>
      </c>
      <c r="AK151">
        <f>SMALL('Iter No Test'!$Q$9:$Q$508,149)</f>
        <v>165.27121731536127</v>
      </c>
      <c r="AL151">
        <f>1/(COUNT('Iter No Test'!$Q$9:$Q$508)-1)+$AL$150</f>
        <v>0.29659318637274573</v>
      </c>
      <c r="AN151">
        <f>SMALL('Iter No Test'!$T$9:$T$1008,149)</f>
        <v>125.91111653553031</v>
      </c>
      <c r="AO151">
        <f>1/(COUNT('Iter No Test'!$T$9:$T$1008)-1)+$AO$150</f>
        <v>0.1481481481481485</v>
      </c>
      <c r="AQ151">
        <f>SMALL('Iter No Test'!$W$9:$W$5008,149)</f>
        <v>65.11578504733771</v>
      </c>
      <c r="AR151">
        <f>1/(COUNT('Iter No Test'!$W$9:$W$5008)-1)+$AR$150</f>
        <v>2.9605921184236904E-2</v>
      </c>
    </row>
    <row r="152" spans="13:44">
      <c r="M152">
        <v>144</v>
      </c>
      <c r="N152">
        <v>179.52472346730093</v>
      </c>
      <c r="P152">
        <v>144</v>
      </c>
      <c r="Q152">
        <v>84.894404619395118</v>
      </c>
      <c r="S152">
        <v>144</v>
      </c>
      <c r="T152">
        <v>322.65121562211721</v>
      </c>
      <c r="V152">
        <v>144</v>
      </c>
      <c r="W152">
        <v>215.32672037660436</v>
      </c>
      <c r="AH152">
        <f>SMALL('Iter No Test'!$N$9:$N$208,150)</f>
        <v>267.73550359346166</v>
      </c>
      <c r="AI152">
        <f>1/(COUNT('Iter No Test'!$N$9:$N$208)-1)+$AI$151</f>
        <v>0.74874371859296673</v>
      </c>
      <c r="AK152">
        <f>SMALL('Iter No Test'!$Q$9:$Q$508,150)</f>
        <v>165.32692355763848</v>
      </c>
      <c r="AL152">
        <f>1/(COUNT('Iter No Test'!$Q$9:$Q$508)-1)+$AL$151</f>
        <v>0.2985971943887778</v>
      </c>
      <c r="AN152">
        <f>SMALL('Iter No Test'!$T$9:$T$1008,150)</f>
        <v>126.15119373138189</v>
      </c>
      <c r="AO152">
        <f>1/(COUNT('Iter No Test'!$T$9:$T$1008)-1)+$AO$151</f>
        <v>0.14914914914914951</v>
      </c>
      <c r="AQ152">
        <f>SMALL('Iter No Test'!$W$9:$W$5008,150)</f>
        <v>65.444818081469691</v>
      </c>
      <c r="AR152">
        <f>1/(COUNT('Iter No Test'!$W$9:$W$5008)-1)+$AR$151</f>
        <v>2.9805961192238505E-2</v>
      </c>
    </row>
    <row r="153" spans="13:44">
      <c r="M153">
        <v>145</v>
      </c>
      <c r="N153">
        <v>238.06637455003775</v>
      </c>
      <c r="P153">
        <v>145</v>
      </c>
      <c r="Q153">
        <v>119.20633068989196</v>
      </c>
      <c r="S153">
        <v>145</v>
      </c>
      <c r="T153">
        <v>408.07398107169115</v>
      </c>
      <c r="V153">
        <v>145</v>
      </c>
      <c r="W153">
        <v>282.25260955608564</v>
      </c>
      <c r="AH153">
        <f>SMALL('Iter No Test'!$N$9:$N$208,151)</f>
        <v>269.14661389928358</v>
      </c>
      <c r="AI153">
        <f>1/(COUNT('Iter No Test'!$N$9:$N$208)-1)+$AI$152</f>
        <v>0.75376884422110746</v>
      </c>
      <c r="AK153">
        <f>SMALL('Iter No Test'!$Q$9:$Q$508,151)</f>
        <v>165.35577732909292</v>
      </c>
      <c r="AL153">
        <f>1/(COUNT('Iter No Test'!$Q$9:$Q$508)-1)+$AL$152</f>
        <v>0.30060120240480986</v>
      </c>
      <c r="AN153">
        <f>SMALL('Iter No Test'!$T$9:$T$1008,151)</f>
        <v>126.65706535358495</v>
      </c>
      <c r="AO153">
        <f>1/(COUNT('Iter No Test'!$T$9:$T$1008)-1)+$AO$152</f>
        <v>0.15015015015015051</v>
      </c>
      <c r="AQ153">
        <f>SMALL('Iter No Test'!$W$9:$W$5008,151)</f>
        <v>66.140467937441358</v>
      </c>
      <c r="AR153">
        <f>1/(COUNT('Iter No Test'!$W$9:$W$5008)-1)+$AR$152</f>
        <v>3.0006001200240107E-2</v>
      </c>
    </row>
    <row r="154" spans="13:44">
      <c r="M154">
        <v>146</v>
      </c>
      <c r="N154">
        <v>138.46036116755991</v>
      </c>
      <c r="P154">
        <v>146</v>
      </c>
      <c r="Q154">
        <v>168.13503696837759</v>
      </c>
      <c r="S154">
        <v>146</v>
      </c>
      <c r="T154">
        <v>222.8661122803021</v>
      </c>
      <c r="V154">
        <v>146</v>
      </c>
      <c r="W154">
        <v>172.05936296982043</v>
      </c>
      <c r="AH154">
        <f>SMALL('Iter No Test'!$N$9:$N$208,152)</f>
        <v>271.45791119754858</v>
      </c>
      <c r="AI154">
        <f>1/(COUNT('Iter No Test'!$N$9:$N$208)-1)+$AI$153</f>
        <v>0.75879396984924818</v>
      </c>
      <c r="AK154">
        <f>SMALL('Iter No Test'!$Q$9:$Q$508,152)</f>
        <v>165.67283673048223</v>
      </c>
      <c r="AL154">
        <f>1/(COUNT('Iter No Test'!$Q$9:$Q$508)-1)+$AL$153</f>
        <v>0.30260521042084193</v>
      </c>
      <c r="AN154">
        <f>SMALL('Iter No Test'!$T$9:$T$1008,152)</f>
        <v>126.72681209644703</v>
      </c>
      <c r="AO154">
        <f>1/(COUNT('Iter No Test'!$T$9:$T$1008)-1)+$AO$153</f>
        <v>0.15115115115115152</v>
      </c>
      <c r="AQ154">
        <f>SMALL('Iter No Test'!$W$9:$W$5008,152)</f>
        <v>66.429490961419759</v>
      </c>
      <c r="AR154">
        <f>1/(COUNT('Iter No Test'!$W$9:$W$5008)-1)+$AR$153</f>
        <v>3.0206041208241708E-2</v>
      </c>
    </row>
    <row r="155" spans="13:44">
      <c r="M155">
        <v>147</v>
      </c>
      <c r="N155">
        <v>256.33639108061203</v>
      </c>
      <c r="P155">
        <v>147</v>
      </c>
      <c r="Q155">
        <v>343.45026506092142</v>
      </c>
      <c r="S155">
        <v>147</v>
      </c>
      <c r="T155">
        <v>244.85708728689622</v>
      </c>
      <c r="V155">
        <v>147</v>
      </c>
      <c r="W155">
        <v>187.15788190501797</v>
      </c>
      <c r="AH155">
        <f>SMALL('Iter No Test'!$N$9:$N$208,153)</f>
        <v>272.66909850713319</v>
      </c>
      <c r="AI155">
        <f>1/(COUNT('Iter No Test'!$N$9:$N$208)-1)+$AI$154</f>
        <v>0.76381909547738891</v>
      </c>
      <c r="AK155">
        <f>SMALL('Iter No Test'!$Q$9:$Q$508,153)</f>
        <v>165.67382297088645</v>
      </c>
      <c r="AL155">
        <f>1/(COUNT('Iter No Test'!$Q$9:$Q$508)-1)+$AL$154</f>
        <v>0.304609218436874</v>
      </c>
      <c r="AN155">
        <f>SMALL('Iter No Test'!$T$9:$T$1008,153)</f>
        <v>127.55942243827462</v>
      </c>
      <c r="AO155">
        <f>1/(COUNT('Iter No Test'!$T$9:$T$1008)-1)+$AO$154</f>
        <v>0.15215215215215253</v>
      </c>
      <c r="AQ155">
        <f>SMALL('Iter No Test'!$W$9:$W$5008,153)</f>
        <v>66.643904483790323</v>
      </c>
      <c r="AR155">
        <f>1/(COUNT('Iter No Test'!$W$9:$W$5008)-1)+$AR$154</f>
        <v>3.0406081216243309E-2</v>
      </c>
    </row>
    <row r="156" spans="13:44">
      <c r="M156">
        <v>148</v>
      </c>
      <c r="N156">
        <v>32.66771821967312</v>
      </c>
      <c r="P156">
        <v>148</v>
      </c>
      <c r="Q156">
        <v>193.24485858600642</v>
      </c>
      <c r="S156">
        <v>148</v>
      </c>
      <c r="T156">
        <v>190.63979666585669</v>
      </c>
      <c r="V156">
        <v>148</v>
      </c>
      <c r="W156">
        <v>117.0817819820037</v>
      </c>
      <c r="AH156">
        <f>SMALL('Iter No Test'!$N$9:$N$208,154)</f>
        <v>274.35127797540139</v>
      </c>
      <c r="AI156">
        <f>1/(COUNT('Iter No Test'!$N$9:$N$208)-1)+$AI$155</f>
        <v>0.76884422110552963</v>
      </c>
      <c r="AK156">
        <f>SMALL('Iter No Test'!$Q$9:$Q$508,154)</f>
        <v>166.73353338991484</v>
      </c>
      <c r="AL156">
        <f>1/(COUNT('Iter No Test'!$Q$9:$Q$508)-1)+$AL$155</f>
        <v>0.30661322645290606</v>
      </c>
      <c r="AN156">
        <f>SMALL('Iter No Test'!$T$9:$T$1008,154)</f>
        <v>127.75302951856051</v>
      </c>
      <c r="AO156">
        <f>1/(COUNT('Iter No Test'!$T$9:$T$1008)-1)+$AO$155</f>
        <v>0.15315315315315353</v>
      </c>
      <c r="AQ156">
        <f>SMALL('Iter No Test'!$W$9:$W$5008,154)</f>
        <v>67.0187577125578</v>
      </c>
      <c r="AR156">
        <f>1/(COUNT('Iter No Test'!$W$9:$W$5008)-1)+$AR$155</f>
        <v>3.0606121224244911E-2</v>
      </c>
    </row>
    <row r="157" spans="13:44">
      <c r="M157">
        <v>149</v>
      </c>
      <c r="N157">
        <v>242.53177968338954</v>
      </c>
      <c r="P157">
        <v>149</v>
      </c>
      <c r="Q157">
        <v>200.26596805689485</v>
      </c>
      <c r="S157">
        <v>149</v>
      </c>
      <c r="T157">
        <v>103.71368034048561</v>
      </c>
      <c r="V157">
        <v>149</v>
      </c>
      <c r="W157">
        <v>186.46798828831325</v>
      </c>
      <c r="AH157">
        <f>SMALL('Iter No Test'!$N$9:$N$208,155)</f>
        <v>276.58688647989493</v>
      </c>
      <c r="AI157">
        <f>1/(COUNT('Iter No Test'!$N$9:$N$208)-1)+$AI$156</f>
        <v>0.77386934673367036</v>
      </c>
      <c r="AK157">
        <f>SMALL('Iter No Test'!$Q$9:$Q$508,155)</f>
        <v>166.81431843230789</v>
      </c>
      <c r="AL157">
        <f>1/(COUNT('Iter No Test'!$Q$9:$Q$508)-1)+$AL$156</f>
        <v>0.30861723446893813</v>
      </c>
      <c r="AN157">
        <f>SMALL('Iter No Test'!$T$9:$T$1008,155)</f>
        <v>127.82662717976217</v>
      </c>
      <c r="AO157">
        <f>1/(COUNT('Iter No Test'!$T$9:$T$1008)-1)+$AO$156</f>
        <v>0.15415415415415454</v>
      </c>
      <c r="AQ157">
        <f>SMALL('Iter No Test'!$W$9:$W$5008,155)</f>
        <v>67.218390858227195</v>
      </c>
      <c r="AR157">
        <f>1/(COUNT('Iter No Test'!$W$9:$W$5008)-1)+$AR$156</f>
        <v>3.0806161232246512E-2</v>
      </c>
    </row>
    <row r="158" spans="13:44">
      <c r="M158">
        <v>150</v>
      </c>
      <c r="N158">
        <v>105.99235730679459</v>
      </c>
      <c r="P158">
        <v>150</v>
      </c>
      <c r="Q158">
        <v>190.52214231741658</v>
      </c>
      <c r="S158">
        <v>150</v>
      </c>
      <c r="T158">
        <v>225.261050766491</v>
      </c>
      <c r="V158">
        <v>150</v>
      </c>
      <c r="W158">
        <v>216.06574146615421</v>
      </c>
      <c r="AH158">
        <f>SMALL('Iter No Test'!$N$9:$N$208,156)</f>
        <v>277.86931312687108</v>
      </c>
      <c r="AI158">
        <f>1/(COUNT('Iter No Test'!$N$9:$N$208)-1)+$AI$157</f>
        <v>0.77889447236181109</v>
      </c>
      <c r="AK158">
        <f>SMALL('Iter No Test'!$Q$9:$Q$508,156)</f>
        <v>167.68307005991636</v>
      </c>
      <c r="AL158">
        <f>1/(COUNT('Iter No Test'!$Q$9:$Q$508)-1)+$AL$157</f>
        <v>0.31062124248497019</v>
      </c>
      <c r="AN158">
        <f>SMALL('Iter No Test'!$T$9:$T$1008,156)</f>
        <v>127.86665683100529</v>
      </c>
      <c r="AO158">
        <f>1/(COUNT('Iter No Test'!$T$9:$T$1008)-1)+$AO$157</f>
        <v>0.15515515515515554</v>
      </c>
      <c r="AQ158">
        <f>SMALL('Iter No Test'!$W$9:$W$5008,156)</f>
        <v>67.55197034614595</v>
      </c>
      <c r="AR158">
        <f>1/(COUNT('Iter No Test'!$W$9:$W$5008)-1)+$AR$157</f>
        <v>3.1006201240248114E-2</v>
      </c>
    </row>
    <row r="159" spans="13:44">
      <c r="M159">
        <v>151</v>
      </c>
      <c r="N159">
        <v>166.53875404131756</v>
      </c>
      <c r="P159">
        <v>151</v>
      </c>
      <c r="Q159">
        <v>308.40777530635364</v>
      </c>
      <c r="S159">
        <v>151</v>
      </c>
      <c r="T159">
        <v>264.40065088046595</v>
      </c>
      <c r="V159">
        <v>151</v>
      </c>
      <c r="W159">
        <v>324.01302118893318</v>
      </c>
      <c r="AH159">
        <f>SMALL('Iter No Test'!$N$9:$N$208,157)</f>
        <v>277.89075456910064</v>
      </c>
      <c r="AI159">
        <f>1/(COUNT('Iter No Test'!$N$9:$N$208)-1)+$AI$158</f>
        <v>0.78391959798995181</v>
      </c>
      <c r="AK159">
        <f>SMALL('Iter No Test'!$Q$9:$Q$508,157)</f>
        <v>168.13503696837759</v>
      </c>
      <c r="AL159">
        <f>1/(COUNT('Iter No Test'!$Q$9:$Q$508)-1)+$AL$158</f>
        <v>0.31262525050100226</v>
      </c>
      <c r="AN159">
        <f>SMALL('Iter No Test'!$T$9:$T$1008,157)</f>
        <v>128.68002989857476</v>
      </c>
      <c r="AO159">
        <f>1/(COUNT('Iter No Test'!$T$9:$T$1008)-1)+$AO$158</f>
        <v>0.15615615615615655</v>
      </c>
      <c r="AQ159">
        <f>SMALL('Iter No Test'!$W$9:$W$5008,157)</f>
        <v>67.68703009354536</v>
      </c>
      <c r="AR159">
        <f>1/(COUNT('Iter No Test'!$W$9:$W$5008)-1)+$AR$158</f>
        <v>3.1206241248249715E-2</v>
      </c>
    </row>
    <row r="160" spans="13:44">
      <c r="M160">
        <v>152</v>
      </c>
      <c r="N160">
        <v>238.97346118307544</v>
      </c>
      <c r="P160">
        <v>152</v>
      </c>
      <c r="Q160">
        <v>191.99622645797174</v>
      </c>
      <c r="S160">
        <v>152</v>
      </c>
      <c r="T160">
        <v>297.68289749897872</v>
      </c>
      <c r="V160">
        <v>152</v>
      </c>
      <c r="W160">
        <v>220.05919621051805</v>
      </c>
      <c r="AH160">
        <f>SMALL('Iter No Test'!$N$9:$N$208,158)</f>
        <v>277.90050357939867</v>
      </c>
      <c r="AI160">
        <f>1/(COUNT('Iter No Test'!$N$9:$N$208)-1)+$AI$159</f>
        <v>0.78894472361809254</v>
      </c>
      <c r="AK160">
        <f>SMALL('Iter No Test'!$Q$9:$Q$508,158)</f>
        <v>168.30978178843566</v>
      </c>
      <c r="AL160">
        <f>1/(COUNT('Iter No Test'!$Q$9:$Q$508)-1)+$AL$159</f>
        <v>0.31462925851703433</v>
      </c>
      <c r="AN160">
        <f>SMALL('Iter No Test'!$T$9:$T$1008,158)</f>
        <v>129.1681115660229</v>
      </c>
      <c r="AO160">
        <f>1/(COUNT('Iter No Test'!$T$9:$T$1008)-1)+$AO$159</f>
        <v>0.15715715715715756</v>
      </c>
      <c r="AQ160">
        <f>SMALL('Iter No Test'!$W$9:$W$5008,158)</f>
        <v>68.02109964696244</v>
      </c>
      <c r="AR160">
        <f>1/(COUNT('Iter No Test'!$W$9:$W$5008)-1)+$AR$159</f>
        <v>3.1406281256251313E-2</v>
      </c>
    </row>
    <row r="161" spans="8:44">
      <c r="H161" s="1"/>
      <c r="M161">
        <v>153</v>
      </c>
      <c r="N161">
        <v>121.23678284585412</v>
      </c>
      <c r="P161">
        <v>153</v>
      </c>
      <c r="Q161">
        <v>354.27787796697021</v>
      </c>
      <c r="S161">
        <v>153</v>
      </c>
      <c r="T161">
        <v>259.83496380745163</v>
      </c>
      <c r="V161">
        <v>153</v>
      </c>
      <c r="W161">
        <v>229.76172265094257</v>
      </c>
      <c r="AH161">
        <f>SMALL('Iter No Test'!$N$9:$N$208,159)</f>
        <v>279.17847251153648</v>
      </c>
      <c r="AI161">
        <f>1/(COUNT('Iter No Test'!$N$9:$N$208)-1)+$AI$160</f>
        <v>0.79396984924623326</v>
      </c>
      <c r="AK161">
        <f>SMALL('Iter No Test'!$Q$9:$Q$508,159)</f>
        <v>168.97615442806551</v>
      </c>
      <c r="AL161">
        <f>1/(COUNT('Iter No Test'!$Q$9:$Q$508)-1)+$AL$160</f>
        <v>0.31663326653306639</v>
      </c>
      <c r="AN161">
        <f>SMALL('Iter No Test'!$T$9:$T$1008,159)</f>
        <v>129.49201855685678</v>
      </c>
      <c r="AO161">
        <f>1/(COUNT('Iter No Test'!$T$9:$T$1008)-1)+$AO$160</f>
        <v>0.15815815815815856</v>
      </c>
      <c r="AQ161">
        <f>SMALL('Iter No Test'!$W$9:$W$5008,159)</f>
        <v>68.070684298227491</v>
      </c>
      <c r="AR161">
        <f>1/(COUNT('Iter No Test'!$W$9:$W$5008)-1)+$AR$160</f>
        <v>3.1606321264252911E-2</v>
      </c>
    </row>
    <row r="162" spans="8:44">
      <c r="H162" s="1"/>
      <c r="M162">
        <v>154</v>
      </c>
      <c r="N162">
        <v>247.33856711039715</v>
      </c>
      <c r="P162">
        <v>154</v>
      </c>
      <c r="Q162">
        <v>162.50707584028081</v>
      </c>
      <c r="S162">
        <v>154</v>
      </c>
      <c r="T162">
        <v>48.950531272495475</v>
      </c>
      <c r="V162">
        <v>154</v>
      </c>
      <c r="W162">
        <v>399.41910919558029</v>
      </c>
      <c r="AH162">
        <f>SMALL('Iter No Test'!$N$9:$N$208,160)</f>
        <v>284.41947571026401</v>
      </c>
      <c r="AI162">
        <f>1/(COUNT('Iter No Test'!$N$9:$N$208)-1)+$AI$161</f>
        <v>0.79899497487437399</v>
      </c>
      <c r="AK162">
        <f>SMALL('Iter No Test'!$Q$9:$Q$508,160)</f>
        <v>170.93185422632499</v>
      </c>
      <c r="AL162">
        <f>1/(COUNT('Iter No Test'!$Q$9:$Q$508)-1)+$AL$161</f>
        <v>0.31863727454909846</v>
      </c>
      <c r="AN162">
        <f>SMALL('Iter No Test'!$T$9:$T$1008,160)</f>
        <v>129.79124495850425</v>
      </c>
      <c r="AO162">
        <f>1/(COUNT('Iter No Test'!$T$9:$T$1008)-1)+$AO$161</f>
        <v>0.15915915915915957</v>
      </c>
      <c r="AQ162">
        <f>SMALL('Iter No Test'!$W$9:$W$5008,160)</f>
        <v>68.076246048754484</v>
      </c>
      <c r="AR162">
        <f>1/(COUNT('Iter No Test'!$W$9:$W$5008)-1)+$AR$161</f>
        <v>3.1806361272254509E-2</v>
      </c>
    </row>
    <row r="163" spans="8:44">
      <c r="H163" s="1"/>
      <c r="M163">
        <v>155</v>
      </c>
      <c r="N163">
        <v>254.50649940633741</v>
      </c>
      <c r="P163">
        <v>155</v>
      </c>
      <c r="Q163">
        <v>144.21704003011058</v>
      </c>
      <c r="S163">
        <v>155</v>
      </c>
      <c r="T163">
        <v>83.584317939602116</v>
      </c>
      <c r="V163">
        <v>155</v>
      </c>
      <c r="W163">
        <v>127.51273825421633</v>
      </c>
      <c r="AH163">
        <f>SMALL('Iter No Test'!$N$9:$N$208,161)</f>
        <v>285.7283511791004</v>
      </c>
      <c r="AI163">
        <f>1/(COUNT('Iter No Test'!$N$9:$N$208)-1)+$AI$162</f>
        <v>0.80402010050251471</v>
      </c>
      <c r="AK163">
        <f>SMALL('Iter No Test'!$Q$9:$Q$508,161)</f>
        <v>171.42870236296935</v>
      </c>
      <c r="AL163">
        <f>1/(COUNT('Iter No Test'!$Q$9:$Q$508)-1)+$AL$162</f>
        <v>0.32064128256513053</v>
      </c>
      <c r="AN163">
        <f>SMALL('Iter No Test'!$T$9:$T$1008,161)</f>
        <v>129.82633729694828</v>
      </c>
      <c r="AO163">
        <f>1/(COUNT('Iter No Test'!$T$9:$T$1008)-1)+$AO$162</f>
        <v>0.16016016016016058</v>
      </c>
      <c r="AQ163">
        <f>SMALL('Iter No Test'!$W$9:$W$5008,161)</f>
        <v>68.077379186529811</v>
      </c>
      <c r="AR163">
        <f>1/(COUNT('Iter No Test'!$W$9:$W$5008)-1)+$AR$162</f>
        <v>3.2006401280256107E-2</v>
      </c>
    </row>
    <row r="164" spans="8:44">
      <c r="H164" s="1"/>
      <c r="M164">
        <v>156</v>
      </c>
      <c r="N164">
        <v>308.89023245794272</v>
      </c>
      <c r="P164">
        <v>156</v>
      </c>
      <c r="Q164">
        <v>409.59720203999603</v>
      </c>
      <c r="S164">
        <v>156</v>
      </c>
      <c r="T164">
        <v>306.8125182684999</v>
      </c>
      <c r="V164">
        <v>156</v>
      </c>
      <c r="W164">
        <v>416.83659059785475</v>
      </c>
      <c r="AH164">
        <f>SMALL('Iter No Test'!$N$9:$N$208,162)</f>
        <v>287.51613514508904</v>
      </c>
      <c r="AI164">
        <f>1/(COUNT('Iter No Test'!$N$9:$N$208)-1)+$AI$163</f>
        <v>0.80904522613065544</v>
      </c>
      <c r="AK164">
        <f>SMALL('Iter No Test'!$Q$9:$Q$508,162)</f>
        <v>171.48614110716667</v>
      </c>
      <c r="AL164">
        <f>1/(COUNT('Iter No Test'!$Q$9:$Q$508)-1)+$AL$163</f>
        <v>0.32264529058116259</v>
      </c>
      <c r="AN164">
        <f>SMALL('Iter No Test'!$T$9:$T$1008,162)</f>
        <v>130.29903107477116</v>
      </c>
      <c r="AO164">
        <f>1/(COUNT('Iter No Test'!$T$9:$T$1008)-1)+$AO$163</f>
        <v>0.16116116116116158</v>
      </c>
      <c r="AQ164">
        <f>SMALL('Iter No Test'!$W$9:$W$5008,162)</f>
        <v>68.251723347358507</v>
      </c>
      <c r="AR164">
        <f>1/(COUNT('Iter No Test'!$W$9:$W$5008)-1)+$AR$163</f>
        <v>3.2206441288257705E-2</v>
      </c>
    </row>
    <row r="165" spans="8:44">
      <c r="H165" s="1"/>
      <c r="M165">
        <v>157</v>
      </c>
      <c r="N165">
        <v>170.02037442841822</v>
      </c>
      <c r="P165">
        <v>157</v>
      </c>
      <c r="Q165">
        <v>127.57130795400346</v>
      </c>
      <c r="S165">
        <v>157</v>
      </c>
      <c r="T165">
        <v>257.87305970731688</v>
      </c>
      <c r="V165">
        <v>157</v>
      </c>
      <c r="W165">
        <v>117.33534860871998</v>
      </c>
      <c r="AH165">
        <f>SMALL('Iter No Test'!$N$9:$N$208,163)</f>
        <v>288.6519003228521</v>
      </c>
      <c r="AI165">
        <f>1/(COUNT('Iter No Test'!$N$9:$N$208)-1)+$AI$164</f>
        <v>0.81407035175879616</v>
      </c>
      <c r="AK165">
        <f>SMALL('Iter No Test'!$Q$9:$Q$508,163)</f>
        <v>172.7696395092523</v>
      </c>
      <c r="AL165">
        <f>1/(COUNT('Iter No Test'!$Q$9:$Q$508)-1)+$AL$164</f>
        <v>0.32464929859719466</v>
      </c>
      <c r="AN165">
        <f>SMALL('Iter No Test'!$T$9:$T$1008,163)</f>
        <v>130.49471280445405</v>
      </c>
      <c r="AO165">
        <f>1/(COUNT('Iter No Test'!$T$9:$T$1008)-1)+$AO$164</f>
        <v>0.16216216216216259</v>
      </c>
      <c r="AQ165">
        <f>SMALL('Iter No Test'!$W$9:$W$5008,163)</f>
        <v>68.68006820272322</v>
      </c>
      <c r="AR165">
        <f>1/(COUNT('Iter No Test'!$W$9:$W$5008)-1)+$AR$164</f>
        <v>3.2406481296259303E-2</v>
      </c>
    </row>
    <row r="166" spans="8:44">
      <c r="H166" s="1"/>
      <c r="M166">
        <v>158</v>
      </c>
      <c r="N166">
        <v>52.996800266559745</v>
      </c>
      <c r="P166">
        <v>158</v>
      </c>
      <c r="Q166">
        <v>291.85436405649682</v>
      </c>
      <c r="S166">
        <v>158</v>
      </c>
      <c r="T166">
        <v>225.4230025796885</v>
      </c>
      <c r="V166">
        <v>158</v>
      </c>
      <c r="W166">
        <v>271.75844055208546</v>
      </c>
      <c r="AH166">
        <f>SMALL('Iter No Test'!$N$9:$N$208,164)</f>
        <v>288.86220841092336</v>
      </c>
      <c r="AI166">
        <f>1/(COUNT('Iter No Test'!$N$9:$N$208)-1)+$AI$165</f>
        <v>0.81909547738693689</v>
      </c>
      <c r="AK166">
        <f>SMALL('Iter No Test'!$Q$9:$Q$508,164)</f>
        <v>173.07902223307451</v>
      </c>
      <c r="AL166">
        <f>1/(COUNT('Iter No Test'!$Q$9:$Q$508)-1)+$AL$165</f>
        <v>0.32665330661322672</v>
      </c>
      <c r="AN166">
        <f>SMALL('Iter No Test'!$T$9:$T$1008,164)</f>
        <v>130.6098593213606</v>
      </c>
      <c r="AO166">
        <f>1/(COUNT('Iter No Test'!$T$9:$T$1008)-1)+$AO$165</f>
        <v>0.16316316316316359</v>
      </c>
      <c r="AQ166">
        <f>SMALL('Iter No Test'!$W$9:$W$5008,164)</f>
        <v>69.17608530262514</v>
      </c>
      <c r="AR166">
        <f>1/(COUNT('Iter No Test'!$W$9:$W$5008)-1)+$AR$165</f>
        <v>3.2606521304260901E-2</v>
      </c>
    </row>
    <row r="167" spans="8:44">
      <c r="H167" s="1"/>
      <c r="M167">
        <v>159</v>
      </c>
      <c r="N167">
        <v>213.23944350639007</v>
      </c>
      <c r="P167">
        <v>159</v>
      </c>
      <c r="Q167">
        <v>165.32692355763848</v>
      </c>
      <c r="S167">
        <v>159</v>
      </c>
      <c r="T167">
        <v>194.30532871634571</v>
      </c>
      <c r="V167">
        <v>159</v>
      </c>
      <c r="W167">
        <v>165.6871325419622</v>
      </c>
      <c r="AH167">
        <f>SMALL('Iter No Test'!$N$9:$N$208,165)</f>
        <v>289.0714818906207</v>
      </c>
      <c r="AI167">
        <f>1/(COUNT('Iter No Test'!$N$9:$N$208)-1)+$AI$166</f>
        <v>0.82412060301507761</v>
      </c>
      <c r="AK167">
        <f>SMALL('Iter No Test'!$Q$9:$Q$508,165)</f>
        <v>173.21261619801774</v>
      </c>
      <c r="AL167">
        <f>1/(COUNT('Iter No Test'!$Q$9:$Q$508)-1)+$AL$166</f>
        <v>0.32865731462925879</v>
      </c>
      <c r="AN167">
        <f>SMALL('Iter No Test'!$T$9:$T$1008,165)</f>
        <v>131.07256055180756</v>
      </c>
      <c r="AO167">
        <f>1/(COUNT('Iter No Test'!$T$9:$T$1008)-1)+$AO$166</f>
        <v>0.1641641641641646</v>
      </c>
      <c r="AQ167">
        <f>SMALL('Iter No Test'!$W$9:$W$5008,165)</f>
        <v>69.654593072621935</v>
      </c>
      <c r="AR167">
        <f>1/(COUNT('Iter No Test'!$W$9:$W$5008)-1)+$AR$166</f>
        <v>3.2806561312262499E-2</v>
      </c>
    </row>
    <row r="168" spans="8:44">
      <c r="H168" s="1"/>
      <c r="M168">
        <v>160</v>
      </c>
      <c r="N168">
        <v>181.52388476846289</v>
      </c>
      <c r="P168">
        <v>160</v>
      </c>
      <c r="Q168">
        <v>230.40814012150688</v>
      </c>
      <c r="S168">
        <v>160</v>
      </c>
      <c r="T168">
        <v>178.49526630683351</v>
      </c>
      <c r="V168">
        <v>160</v>
      </c>
      <c r="W168">
        <v>166.12091762795933</v>
      </c>
      <c r="AH168">
        <f>SMALL('Iter No Test'!$N$9:$N$208,166)</f>
        <v>289.60887455010334</v>
      </c>
      <c r="AI168">
        <f>1/(COUNT('Iter No Test'!$N$9:$N$208)-1)+$AI$167</f>
        <v>0.82914572864321834</v>
      </c>
      <c r="AK168">
        <f>SMALL('Iter No Test'!$Q$9:$Q$508,166)</f>
        <v>173.43163235940634</v>
      </c>
      <c r="AL168">
        <f>1/(COUNT('Iter No Test'!$Q$9:$Q$508)-1)+$AL$167</f>
        <v>0.33066132264529086</v>
      </c>
      <c r="AN168">
        <f>SMALL('Iter No Test'!$T$9:$T$1008,166)</f>
        <v>132.98360591206594</v>
      </c>
      <c r="AO168">
        <f>1/(COUNT('Iter No Test'!$T$9:$T$1008)-1)+$AO$167</f>
        <v>0.16516516516516561</v>
      </c>
      <c r="AQ168">
        <f>SMALL('Iter No Test'!$W$9:$W$5008,166)</f>
        <v>70.05935716696537</v>
      </c>
      <c r="AR168">
        <f>1/(COUNT('Iter No Test'!$W$9:$W$5008)-1)+$AR$167</f>
        <v>3.3006601320264096E-2</v>
      </c>
    </row>
    <row r="169" spans="8:44">
      <c r="H169" s="1"/>
      <c r="M169">
        <v>161</v>
      </c>
      <c r="N169">
        <v>311.43038057692809</v>
      </c>
      <c r="P169">
        <v>161</v>
      </c>
      <c r="Q169">
        <v>132.73667183520757</v>
      </c>
      <c r="S169">
        <v>161</v>
      </c>
      <c r="T169">
        <v>114.10718588580554</v>
      </c>
      <c r="V169">
        <v>161</v>
      </c>
      <c r="W169">
        <v>70.143686385089723</v>
      </c>
      <c r="AH169">
        <f>SMALL('Iter No Test'!$N$9:$N$208,167)</f>
        <v>291.32353634689639</v>
      </c>
      <c r="AI169">
        <f>1/(COUNT('Iter No Test'!$N$9:$N$208)-1)+$AI$168</f>
        <v>0.83417085427135906</v>
      </c>
      <c r="AK169">
        <f>SMALL('Iter No Test'!$Q$9:$Q$508,167)</f>
        <v>173.46787464461312</v>
      </c>
      <c r="AL169">
        <f>1/(COUNT('Iter No Test'!$Q$9:$Q$508)-1)+$AL$168</f>
        <v>0.33266533066132292</v>
      </c>
      <c r="AN169">
        <f>SMALL('Iter No Test'!$T$9:$T$1008,167)</f>
        <v>133.27265200764765</v>
      </c>
      <c r="AO169">
        <f>1/(COUNT('Iter No Test'!$T$9:$T$1008)-1)+$AO$168</f>
        <v>0.16616616616616661</v>
      </c>
      <c r="AQ169">
        <f>SMALL('Iter No Test'!$W$9:$W$5008,167)</f>
        <v>70.143686385089723</v>
      </c>
      <c r="AR169">
        <f>1/(COUNT('Iter No Test'!$W$9:$W$5008)-1)+$AR$168</f>
        <v>3.3206641328265694E-2</v>
      </c>
    </row>
    <row r="170" spans="8:44">
      <c r="H170" s="1"/>
      <c r="M170">
        <v>162</v>
      </c>
      <c r="N170">
        <v>333.50846977908242</v>
      </c>
      <c r="P170">
        <v>162</v>
      </c>
      <c r="Q170">
        <v>222.51625566738426</v>
      </c>
      <c r="S170">
        <v>162</v>
      </c>
      <c r="T170">
        <v>68.248570302739267</v>
      </c>
      <c r="V170">
        <v>162</v>
      </c>
      <c r="W170">
        <v>52.114582832022876</v>
      </c>
      <c r="AH170">
        <f>SMALL('Iter No Test'!$N$9:$N$208,168)</f>
        <v>292.0527964571628</v>
      </c>
      <c r="AI170">
        <f>1/(COUNT('Iter No Test'!$N$9:$N$208)-1)+$AI$169</f>
        <v>0.83919597989949979</v>
      </c>
      <c r="AK170">
        <f>SMALL('Iter No Test'!$Q$9:$Q$508,168)</f>
        <v>174.25658899486163</v>
      </c>
      <c r="AL170">
        <f>1/(COUNT('Iter No Test'!$Q$9:$Q$508)-1)+$AL$169</f>
        <v>0.33466933867735499</v>
      </c>
      <c r="AN170">
        <f>SMALL('Iter No Test'!$T$9:$T$1008,168)</f>
        <v>133.9332232650091</v>
      </c>
      <c r="AO170">
        <f>1/(COUNT('Iter No Test'!$T$9:$T$1008)-1)+$AO$169</f>
        <v>0.16716716716716762</v>
      </c>
      <c r="AQ170">
        <f>SMALL('Iter No Test'!$W$9:$W$5008,168)</f>
        <v>70.341402732511881</v>
      </c>
      <c r="AR170">
        <f>1/(COUNT('Iter No Test'!$W$9:$W$5008)-1)+$AR$169</f>
        <v>3.3406681336267292E-2</v>
      </c>
    </row>
    <row r="171" spans="8:44">
      <c r="H171" s="1"/>
      <c r="M171">
        <v>163</v>
      </c>
      <c r="N171">
        <v>266.10949188497443</v>
      </c>
      <c r="P171">
        <v>163</v>
      </c>
      <c r="Q171">
        <v>186.86367177945357</v>
      </c>
      <c r="S171">
        <v>163</v>
      </c>
      <c r="T171">
        <v>261.99972702544153</v>
      </c>
      <c r="V171">
        <v>163</v>
      </c>
      <c r="W171">
        <v>325.90560001822109</v>
      </c>
      <c r="AH171">
        <f>SMALL('Iter No Test'!$N$9:$N$208,169)</f>
        <v>294.56536733730252</v>
      </c>
      <c r="AI171">
        <f>1/(COUNT('Iter No Test'!$N$9:$N$208)-1)+$AI$170</f>
        <v>0.84422110552764051</v>
      </c>
      <c r="AK171">
        <f>SMALL('Iter No Test'!$Q$9:$Q$508,169)</f>
        <v>174.31807450375356</v>
      </c>
      <c r="AL171">
        <f>1/(COUNT('Iter No Test'!$Q$9:$Q$508)-1)+$AL$170</f>
        <v>0.33667334669338705</v>
      </c>
      <c r="AN171">
        <f>SMALL('Iter No Test'!$T$9:$T$1008,169)</f>
        <v>134.12653661463605</v>
      </c>
      <c r="AO171">
        <f>1/(COUNT('Iter No Test'!$T$9:$T$1008)-1)+$AO$170</f>
        <v>0.16816816816816862</v>
      </c>
      <c r="AQ171">
        <f>SMALL('Iter No Test'!$W$9:$W$5008,169)</f>
        <v>70.429128543397439</v>
      </c>
      <c r="AR171">
        <f>1/(COUNT('Iter No Test'!$W$9:$W$5008)-1)+$AR$170</f>
        <v>3.360672134426889E-2</v>
      </c>
    </row>
    <row r="172" spans="8:44">
      <c r="H172" s="1"/>
      <c r="M172">
        <v>164</v>
      </c>
      <c r="N172">
        <v>171.11012654991754</v>
      </c>
      <c r="P172">
        <v>164</v>
      </c>
      <c r="Q172">
        <v>227.57156902580317</v>
      </c>
      <c r="S172">
        <v>164</v>
      </c>
      <c r="T172">
        <v>174.78417468132301</v>
      </c>
      <c r="V172">
        <v>164</v>
      </c>
      <c r="W172">
        <v>217.08862711941552</v>
      </c>
      <c r="AH172">
        <f>SMALL('Iter No Test'!$N$9:$N$208,170)</f>
        <v>296.77547967843111</v>
      </c>
      <c r="AI172">
        <f>1/(COUNT('Iter No Test'!$N$9:$N$208)-1)+$AI$171</f>
        <v>0.84924623115578124</v>
      </c>
      <c r="AK172">
        <f>SMALL('Iter No Test'!$Q$9:$Q$508,170)</f>
        <v>174.66782502910215</v>
      </c>
      <c r="AL172">
        <f>1/(COUNT('Iter No Test'!$Q$9:$Q$508)-1)+$AL$171</f>
        <v>0.33867735470941912</v>
      </c>
      <c r="AN172">
        <f>SMALL('Iter No Test'!$T$9:$T$1008,170)</f>
        <v>134.67479946520763</v>
      </c>
      <c r="AO172">
        <f>1/(COUNT('Iter No Test'!$T$9:$T$1008)-1)+$AO$171</f>
        <v>0.16916916916916963</v>
      </c>
      <c r="AQ172">
        <f>SMALL('Iter No Test'!$W$9:$W$5008,170)</f>
        <v>70.574173547008016</v>
      </c>
      <c r="AR172">
        <f>1/(COUNT('Iter No Test'!$W$9:$W$5008)-1)+$AR$171</f>
        <v>3.3806761352270488E-2</v>
      </c>
    </row>
    <row r="173" spans="8:44">
      <c r="H173" s="1"/>
      <c r="M173">
        <v>165</v>
      </c>
      <c r="N173">
        <v>85.806687086976439</v>
      </c>
      <c r="P173">
        <v>165</v>
      </c>
      <c r="Q173">
        <v>253.02003174346248</v>
      </c>
      <c r="S173">
        <v>165</v>
      </c>
      <c r="T173">
        <v>140.17667439460411</v>
      </c>
      <c r="V173">
        <v>165</v>
      </c>
      <c r="W173">
        <v>47.003435730026766</v>
      </c>
      <c r="AH173">
        <f>SMALL('Iter No Test'!$N$9:$N$208,171)</f>
        <v>298.46674474767826</v>
      </c>
      <c r="AI173">
        <f>1/(COUNT('Iter No Test'!$N$9:$N$208)-1)+$AI$172</f>
        <v>0.85427135678392196</v>
      </c>
      <c r="AK173">
        <f>SMALL('Iter No Test'!$Q$9:$Q$508,171)</f>
        <v>174.73867790241013</v>
      </c>
      <c r="AL173">
        <f>1/(COUNT('Iter No Test'!$Q$9:$Q$508)-1)+$AL$172</f>
        <v>0.34068136272545119</v>
      </c>
      <c r="AN173">
        <f>SMALL('Iter No Test'!$T$9:$T$1008,171)</f>
        <v>134.74433885497416</v>
      </c>
      <c r="AO173">
        <f>1/(COUNT('Iter No Test'!$T$9:$T$1008)-1)+$AO$172</f>
        <v>0.17017017017017064</v>
      </c>
      <c r="AQ173">
        <f>SMALL('Iter No Test'!$W$9:$W$5008,171)</f>
        <v>70.605007477337097</v>
      </c>
      <c r="AR173">
        <f>1/(COUNT('Iter No Test'!$W$9:$W$5008)-1)+$AR$172</f>
        <v>3.4006801360272086E-2</v>
      </c>
    </row>
    <row r="174" spans="8:44">
      <c r="H174" s="1"/>
      <c r="M174">
        <v>166</v>
      </c>
      <c r="N174">
        <v>71.578073503115462</v>
      </c>
      <c r="P174">
        <v>166</v>
      </c>
      <c r="Q174">
        <v>248.36014980570249</v>
      </c>
      <c r="S174">
        <v>166</v>
      </c>
      <c r="T174">
        <v>227.46689827730336</v>
      </c>
      <c r="V174">
        <v>166</v>
      </c>
      <c r="W174">
        <v>162.85824448373742</v>
      </c>
      <c r="AH174">
        <f>SMALL('Iter No Test'!$N$9:$N$208,172)</f>
        <v>299.05844510215655</v>
      </c>
      <c r="AI174">
        <f>1/(COUNT('Iter No Test'!$N$9:$N$208)-1)+$AI$173</f>
        <v>0.85929648241206269</v>
      </c>
      <c r="AK174">
        <f>SMALL('Iter No Test'!$Q$9:$Q$508,172)</f>
        <v>175.58902514122224</v>
      </c>
      <c r="AL174">
        <f>1/(COUNT('Iter No Test'!$Q$9:$Q$508)-1)+$AL$173</f>
        <v>0.34268537074148325</v>
      </c>
      <c r="AN174">
        <f>SMALL('Iter No Test'!$T$9:$T$1008,172)</f>
        <v>134.78192640058825</v>
      </c>
      <c r="AO174">
        <f>1/(COUNT('Iter No Test'!$T$9:$T$1008)-1)+$AO$173</f>
        <v>0.17117117117117164</v>
      </c>
      <c r="AQ174">
        <f>SMALL('Iter No Test'!$W$9:$W$5008,172)</f>
        <v>70.633956136570148</v>
      </c>
      <c r="AR174">
        <f>1/(COUNT('Iter No Test'!$W$9:$W$5008)-1)+$AR$173</f>
        <v>3.4206841368273684E-2</v>
      </c>
    </row>
    <row r="175" spans="8:44">
      <c r="H175" s="1"/>
      <c r="M175">
        <v>167</v>
      </c>
      <c r="N175">
        <v>67.155004866863607</v>
      </c>
      <c r="P175">
        <v>167</v>
      </c>
      <c r="Q175">
        <v>151.66976696763231</v>
      </c>
      <c r="S175">
        <v>167</v>
      </c>
      <c r="T175">
        <v>223.21572471019954</v>
      </c>
      <c r="V175">
        <v>167</v>
      </c>
      <c r="W175">
        <v>209.53574696953814</v>
      </c>
      <c r="AH175">
        <f>SMALL('Iter No Test'!$N$9:$N$208,173)</f>
        <v>306.25032134821026</v>
      </c>
      <c r="AI175">
        <f>1/(COUNT('Iter No Test'!$N$9:$N$208)-1)+$AI$174</f>
        <v>0.86432160804020342</v>
      </c>
      <c r="AK175">
        <f>SMALL('Iter No Test'!$Q$9:$Q$508,173)</f>
        <v>175.76586358512355</v>
      </c>
      <c r="AL175">
        <f>1/(COUNT('Iter No Test'!$Q$9:$Q$508)-1)+$AL$174</f>
        <v>0.34468937875751532</v>
      </c>
      <c r="AN175">
        <f>SMALL('Iter No Test'!$T$9:$T$1008,173)</f>
        <v>134.80331092583134</v>
      </c>
      <c r="AO175">
        <f>1/(COUNT('Iter No Test'!$T$9:$T$1008)-1)+$AO$174</f>
        <v>0.17217217217217265</v>
      </c>
      <c r="AQ175">
        <f>SMALL('Iter No Test'!$W$9:$W$5008,173)</f>
        <v>71.146062658950797</v>
      </c>
      <c r="AR175">
        <f>1/(COUNT('Iter No Test'!$W$9:$W$5008)-1)+$AR$174</f>
        <v>3.4406881376275282E-2</v>
      </c>
    </row>
    <row r="176" spans="8:44">
      <c r="H176" s="1"/>
      <c r="M176">
        <v>168</v>
      </c>
      <c r="N176">
        <v>232.58919597059537</v>
      </c>
      <c r="P176">
        <v>168</v>
      </c>
      <c r="Q176">
        <v>178.0788056973249</v>
      </c>
      <c r="S176">
        <v>168</v>
      </c>
      <c r="T176">
        <v>174.00584366754657</v>
      </c>
      <c r="V176">
        <v>168</v>
      </c>
      <c r="W176">
        <v>208.27034731358182</v>
      </c>
      <c r="AH176">
        <f>SMALL('Iter No Test'!$N$9:$N$208,174)</f>
        <v>308.36950107809093</v>
      </c>
      <c r="AI176">
        <f>1/(COUNT('Iter No Test'!$N$9:$N$208)-1)+$AI$175</f>
        <v>0.86934673366834414</v>
      </c>
      <c r="AK176">
        <f>SMALL('Iter No Test'!$Q$9:$Q$508,174)</f>
        <v>176.43458976583048</v>
      </c>
      <c r="AL176">
        <f>1/(COUNT('Iter No Test'!$Q$9:$Q$508)-1)+$AL$175</f>
        <v>0.34669338677354739</v>
      </c>
      <c r="AN176">
        <f>SMALL('Iter No Test'!$T$9:$T$1008,174)</f>
        <v>134.93483111933372</v>
      </c>
      <c r="AO176">
        <f>1/(COUNT('Iter No Test'!$T$9:$T$1008)-1)+$AO$175</f>
        <v>0.17317317317317366</v>
      </c>
      <c r="AQ176">
        <f>SMALL('Iter No Test'!$W$9:$W$5008,174)</f>
        <v>71.404392086886617</v>
      </c>
      <c r="AR176">
        <f>1/(COUNT('Iter No Test'!$W$9:$W$5008)-1)+$AR$175</f>
        <v>3.460692138427688E-2</v>
      </c>
    </row>
    <row r="177" spans="8:44">
      <c r="H177" s="1"/>
      <c r="M177">
        <v>169</v>
      </c>
      <c r="N177">
        <v>373.29040886992846</v>
      </c>
      <c r="P177">
        <v>169</v>
      </c>
      <c r="Q177">
        <v>269.87307604346717</v>
      </c>
      <c r="S177">
        <v>169</v>
      </c>
      <c r="T177">
        <v>68.37920356249748</v>
      </c>
      <c r="V177">
        <v>169</v>
      </c>
      <c r="W177">
        <v>36.076436087868871</v>
      </c>
      <c r="AH177">
        <f>SMALL('Iter No Test'!$N$9:$N$208,175)</f>
        <v>308.89023245794272</v>
      </c>
      <c r="AI177">
        <f>1/(COUNT('Iter No Test'!$N$9:$N$208)-1)+$AI$176</f>
        <v>0.87437185929648487</v>
      </c>
      <c r="AK177">
        <f>SMALL('Iter No Test'!$Q$9:$Q$508,175)</f>
        <v>177.18020369049341</v>
      </c>
      <c r="AL177">
        <f>1/(COUNT('Iter No Test'!$Q$9:$Q$508)-1)+$AL$176</f>
        <v>0.34869739478957945</v>
      </c>
      <c r="AN177">
        <f>SMALL('Iter No Test'!$T$9:$T$1008,175)</f>
        <v>135.98757280609786</v>
      </c>
      <c r="AO177">
        <f>1/(COUNT('Iter No Test'!$T$9:$T$1008)-1)+$AO$176</f>
        <v>0.17417417417417466</v>
      </c>
      <c r="AQ177">
        <f>SMALL('Iter No Test'!$W$9:$W$5008,175)</f>
        <v>71.496033399720474</v>
      </c>
      <c r="AR177">
        <f>1/(COUNT('Iter No Test'!$W$9:$W$5008)-1)+$AR$176</f>
        <v>3.4806961392278478E-2</v>
      </c>
    </row>
    <row r="178" spans="8:44">
      <c r="H178" s="1"/>
      <c r="M178">
        <v>170</v>
      </c>
      <c r="N178">
        <v>150.27872532742776</v>
      </c>
      <c r="P178">
        <v>170</v>
      </c>
      <c r="Q178">
        <v>152.23150784515985</v>
      </c>
      <c r="S178">
        <v>170</v>
      </c>
      <c r="T178">
        <v>175.36704118388295</v>
      </c>
      <c r="V178">
        <v>170</v>
      </c>
      <c r="W178">
        <v>174.13128637247166</v>
      </c>
      <c r="AH178">
        <f>SMALL('Iter No Test'!$N$9:$N$208,176)</f>
        <v>309.44439697657072</v>
      </c>
      <c r="AI178">
        <f>1/(COUNT('Iter No Test'!$N$9:$N$208)-1)+$AI$177</f>
        <v>0.87939698492462559</v>
      </c>
      <c r="AK178">
        <f>SMALL('Iter No Test'!$Q$9:$Q$508,176)</f>
        <v>178.0788056973249</v>
      </c>
      <c r="AL178">
        <f>1/(COUNT('Iter No Test'!$Q$9:$Q$508)-1)+$AL$177</f>
        <v>0.35070140280561152</v>
      </c>
      <c r="AN178">
        <f>SMALL('Iter No Test'!$T$9:$T$1008,176)</f>
        <v>136.77890012323346</v>
      </c>
      <c r="AO178">
        <f>1/(COUNT('Iter No Test'!$T$9:$T$1008)-1)+$AO$177</f>
        <v>0.17517517517517567</v>
      </c>
      <c r="AQ178">
        <f>SMALL('Iter No Test'!$W$9:$W$5008,176)</f>
        <v>71.505341728543456</v>
      </c>
      <c r="AR178">
        <f>1/(COUNT('Iter No Test'!$W$9:$W$5008)-1)+$AR$177</f>
        <v>3.5007001400280076E-2</v>
      </c>
    </row>
    <row r="179" spans="8:44">
      <c r="H179" s="1"/>
      <c r="M179">
        <v>171</v>
      </c>
      <c r="N179">
        <v>95.369115819418596</v>
      </c>
      <c r="P179">
        <v>171</v>
      </c>
      <c r="Q179">
        <v>205.43091799172689</v>
      </c>
      <c r="S179">
        <v>171</v>
      </c>
      <c r="T179">
        <v>143.19070970437971</v>
      </c>
      <c r="V179">
        <v>171</v>
      </c>
      <c r="W179">
        <v>124.13149686072904</v>
      </c>
      <c r="AH179">
        <f>SMALL('Iter No Test'!$N$9:$N$208,177)</f>
        <v>311.43038057692809</v>
      </c>
      <c r="AI179">
        <f>1/(COUNT('Iter No Test'!$N$9:$N$208)-1)+$AI$178</f>
        <v>0.88442211055276632</v>
      </c>
      <c r="AK179">
        <f>SMALL('Iter No Test'!$Q$9:$Q$508,177)</f>
        <v>178.37629042410038</v>
      </c>
      <c r="AL179">
        <f>1/(COUNT('Iter No Test'!$Q$9:$Q$508)-1)+$AL$178</f>
        <v>0.35270541082164358</v>
      </c>
      <c r="AN179">
        <f>SMALL('Iter No Test'!$T$9:$T$1008,177)</f>
        <v>137.00810937444726</v>
      </c>
      <c r="AO179">
        <f>1/(COUNT('Iter No Test'!$T$9:$T$1008)-1)+$AO$178</f>
        <v>0.17617617617617667</v>
      </c>
      <c r="AQ179">
        <f>SMALL('Iter No Test'!$W$9:$W$5008,177)</f>
        <v>71.631006047318408</v>
      </c>
      <c r="AR179">
        <f>1/(COUNT('Iter No Test'!$W$9:$W$5008)-1)+$AR$178</f>
        <v>3.5207041408281674E-2</v>
      </c>
    </row>
    <row r="180" spans="8:44">
      <c r="H180" s="1"/>
      <c r="M180">
        <v>172</v>
      </c>
      <c r="N180">
        <v>292.0527964571628</v>
      </c>
      <c r="P180">
        <v>172</v>
      </c>
      <c r="Q180">
        <v>167.68307005991636</v>
      </c>
      <c r="S180">
        <v>172</v>
      </c>
      <c r="T180">
        <v>129.49201855685678</v>
      </c>
      <c r="V180">
        <v>172</v>
      </c>
      <c r="W180">
        <v>200.7732730031351</v>
      </c>
      <c r="AH180">
        <f>SMALL('Iter No Test'!$N$9:$N$208,178)</f>
        <v>316.03571008226027</v>
      </c>
      <c r="AI180">
        <f>1/(COUNT('Iter No Test'!$N$9:$N$208)-1)+$AI$179</f>
        <v>0.88944723618090704</v>
      </c>
      <c r="AK180">
        <f>SMALL('Iter No Test'!$Q$9:$Q$508,178)</f>
        <v>178.38308577999481</v>
      </c>
      <c r="AL180">
        <f>1/(COUNT('Iter No Test'!$Q$9:$Q$508)-1)+$AL$179</f>
        <v>0.35470941883767565</v>
      </c>
      <c r="AN180">
        <f>SMALL('Iter No Test'!$T$9:$T$1008,178)</f>
        <v>137.03587390327888</v>
      </c>
      <c r="AO180">
        <f>1/(COUNT('Iter No Test'!$T$9:$T$1008)-1)+$AO$179</f>
        <v>0.17717717717717768</v>
      </c>
      <c r="AQ180">
        <f>SMALL('Iter No Test'!$W$9:$W$5008,178)</f>
        <v>71.696704937980854</v>
      </c>
      <c r="AR180">
        <f>1/(COUNT('Iter No Test'!$W$9:$W$5008)-1)+$AR$179</f>
        <v>3.5407081416283272E-2</v>
      </c>
    </row>
    <row r="181" spans="8:44">
      <c r="H181" s="1"/>
      <c r="M181">
        <v>173</v>
      </c>
      <c r="N181">
        <v>170.30972346527969</v>
      </c>
      <c r="P181">
        <v>173</v>
      </c>
      <c r="Q181">
        <v>63.791544201679031</v>
      </c>
      <c r="S181">
        <v>173</v>
      </c>
      <c r="T181">
        <v>195.14872390625766</v>
      </c>
      <c r="V181">
        <v>173</v>
      </c>
      <c r="W181">
        <v>167.95990544132187</v>
      </c>
      <c r="AH181">
        <f>SMALL('Iter No Test'!$N$9:$N$208,179)</f>
        <v>319.6657181370125</v>
      </c>
      <c r="AI181">
        <f>1/(COUNT('Iter No Test'!$N$9:$N$208)-1)+$AI$180</f>
        <v>0.89447236180904777</v>
      </c>
      <c r="AK181">
        <f>SMALL('Iter No Test'!$Q$9:$Q$508,179)</f>
        <v>178.60308700860719</v>
      </c>
      <c r="AL181">
        <f>1/(COUNT('Iter No Test'!$Q$9:$Q$508)-1)+$AL$180</f>
        <v>0.35671342685370772</v>
      </c>
      <c r="AN181">
        <f>SMALL('Iter No Test'!$T$9:$T$1008,179)</f>
        <v>137.40535916541964</v>
      </c>
      <c r="AO181">
        <f>1/(COUNT('Iter No Test'!$T$9:$T$1008)-1)+$AO$180</f>
        <v>0.17817817817817869</v>
      </c>
      <c r="AQ181">
        <f>SMALL('Iter No Test'!$W$9:$W$5008,179)</f>
        <v>71.754283073058957</v>
      </c>
      <c r="AR181">
        <f>1/(COUNT('Iter No Test'!$W$9:$W$5008)-1)+$AR$180</f>
        <v>3.560712142428487E-2</v>
      </c>
    </row>
    <row r="182" spans="8:44">
      <c r="H182" s="1"/>
      <c r="M182">
        <v>174</v>
      </c>
      <c r="N182">
        <v>211.96771341872889</v>
      </c>
      <c r="P182">
        <v>174</v>
      </c>
      <c r="Q182">
        <v>118.38886893966503</v>
      </c>
      <c r="S182">
        <v>174</v>
      </c>
      <c r="T182">
        <v>74.592520279876993</v>
      </c>
      <c r="V182">
        <v>174</v>
      </c>
      <c r="W182">
        <v>228.29281998163583</v>
      </c>
      <c r="AH182">
        <f>SMALL('Iter No Test'!$N$9:$N$208,180)</f>
        <v>322.8408736402377</v>
      </c>
      <c r="AI182">
        <f>1/(COUNT('Iter No Test'!$N$9:$N$208)-1)+$AI$181</f>
        <v>0.89949748743718849</v>
      </c>
      <c r="AK182">
        <f>SMALL('Iter No Test'!$Q$9:$Q$508,180)</f>
        <v>178.80532725110515</v>
      </c>
      <c r="AL182">
        <f>1/(COUNT('Iter No Test'!$Q$9:$Q$508)-1)+$AL$181</f>
        <v>0.35871743486973978</v>
      </c>
      <c r="AN182">
        <f>SMALL('Iter No Test'!$T$9:$T$1008,180)</f>
        <v>137.42621780713034</v>
      </c>
      <c r="AO182">
        <f>1/(COUNT('Iter No Test'!$T$9:$T$1008)-1)+$AO$181</f>
        <v>0.17917917917917969</v>
      </c>
      <c r="AQ182">
        <f>SMALL('Iter No Test'!$W$9:$W$5008,180)</f>
        <v>71.910806684623566</v>
      </c>
      <c r="AR182">
        <f>1/(COUNT('Iter No Test'!$W$9:$W$5008)-1)+$AR$181</f>
        <v>3.5807161432286468E-2</v>
      </c>
    </row>
    <row r="183" spans="8:44">
      <c r="H183" s="1"/>
      <c r="M183">
        <v>175</v>
      </c>
      <c r="N183">
        <v>181.06802715003147</v>
      </c>
      <c r="P183">
        <v>175</v>
      </c>
      <c r="Q183">
        <v>147.59465607962295</v>
      </c>
      <c r="S183">
        <v>175</v>
      </c>
      <c r="T183">
        <v>132.98360591206594</v>
      </c>
      <c r="V183">
        <v>175</v>
      </c>
      <c r="W183">
        <v>217.60714143876325</v>
      </c>
      <c r="AH183">
        <f>SMALL('Iter No Test'!$N$9:$N$208,181)</f>
        <v>333.50846977908242</v>
      </c>
      <c r="AI183">
        <f>1/(COUNT('Iter No Test'!$N$9:$N$208)-1)+$AI$182</f>
        <v>0.90452261306532922</v>
      </c>
      <c r="AK183">
        <f>SMALL('Iter No Test'!$Q$9:$Q$508,181)</f>
        <v>178.92979697810296</v>
      </c>
      <c r="AL183">
        <f>1/(COUNT('Iter No Test'!$Q$9:$Q$508)-1)+$AL$182</f>
        <v>0.36072144288577185</v>
      </c>
      <c r="AN183">
        <f>SMALL('Iter No Test'!$T$9:$T$1008,181)</f>
        <v>137.57892477208787</v>
      </c>
      <c r="AO183">
        <f>1/(COUNT('Iter No Test'!$T$9:$T$1008)-1)+$AO$182</f>
        <v>0.1801801801801807</v>
      </c>
      <c r="AQ183">
        <f>SMALL('Iter No Test'!$W$9:$W$5008,181)</f>
        <v>71.941958450486041</v>
      </c>
      <c r="AR183">
        <f>1/(COUNT('Iter No Test'!$W$9:$W$5008)-1)+$AR$182</f>
        <v>3.6007201440288066E-2</v>
      </c>
    </row>
    <row r="184" spans="8:44">
      <c r="H184" s="1"/>
      <c r="M184">
        <v>176</v>
      </c>
      <c r="N184">
        <v>159.55991364786743</v>
      </c>
      <c r="P184">
        <v>176</v>
      </c>
      <c r="Q184">
        <v>196.95509825659497</v>
      </c>
      <c r="S184">
        <v>176</v>
      </c>
      <c r="T184">
        <v>159.49653997339018</v>
      </c>
      <c r="V184">
        <v>176</v>
      </c>
      <c r="W184">
        <v>112.46390818076057</v>
      </c>
      <c r="AH184">
        <f>SMALL('Iter No Test'!$N$9:$N$208,182)</f>
        <v>334.37356728935839</v>
      </c>
      <c r="AI184">
        <f>1/(COUNT('Iter No Test'!$N$9:$N$208)-1)+$AI$183</f>
        <v>0.90954773869346994</v>
      </c>
      <c r="AK184">
        <f>SMALL('Iter No Test'!$Q$9:$Q$508,182)</f>
        <v>179.01082497053369</v>
      </c>
      <c r="AL184">
        <f>1/(COUNT('Iter No Test'!$Q$9:$Q$508)-1)+$AL$183</f>
        <v>0.36272545090180391</v>
      </c>
      <c r="AN184">
        <f>SMALL('Iter No Test'!$T$9:$T$1008,182)</f>
        <v>138.05838862667315</v>
      </c>
      <c r="AO184">
        <f>1/(COUNT('Iter No Test'!$T$9:$T$1008)-1)+$AO$183</f>
        <v>0.18118118118118171</v>
      </c>
      <c r="AQ184">
        <f>SMALL('Iter No Test'!$W$9:$W$5008,182)</f>
        <v>72.135575687589437</v>
      </c>
      <c r="AR184">
        <f>1/(COUNT('Iter No Test'!$W$9:$W$5008)-1)+$AR$183</f>
        <v>3.6207241448289663E-2</v>
      </c>
    </row>
    <row r="185" spans="8:44">
      <c r="H185" s="1"/>
      <c r="M185">
        <v>177</v>
      </c>
      <c r="N185">
        <v>83.564157498594412</v>
      </c>
      <c r="P185">
        <v>177</v>
      </c>
      <c r="Q185">
        <v>157.37416865680012</v>
      </c>
      <c r="S185">
        <v>177</v>
      </c>
      <c r="T185">
        <v>243.34682221095557</v>
      </c>
      <c r="V185">
        <v>177</v>
      </c>
      <c r="W185">
        <v>178.50530256828426</v>
      </c>
      <c r="AH185">
        <f>SMALL('Iter No Test'!$N$9:$N$208,183)</f>
        <v>336.45713033017603</v>
      </c>
      <c r="AI185">
        <f>1/(COUNT('Iter No Test'!$N$9:$N$208)-1)+$AI$184</f>
        <v>0.91457286432161067</v>
      </c>
      <c r="AK185">
        <f>SMALL('Iter No Test'!$Q$9:$Q$508,183)</f>
        <v>179.11020239984538</v>
      </c>
      <c r="AL185">
        <f>1/(COUNT('Iter No Test'!$Q$9:$Q$508)-1)+$AL$184</f>
        <v>0.36472945891783598</v>
      </c>
      <c r="AN185">
        <f>SMALL('Iter No Test'!$T$9:$T$1008,183)</f>
        <v>138.6518755173627</v>
      </c>
      <c r="AO185">
        <f>1/(COUNT('Iter No Test'!$T$9:$T$1008)-1)+$AO$184</f>
        <v>0.18218218218218271</v>
      </c>
      <c r="AQ185">
        <f>SMALL('Iter No Test'!$W$9:$W$5008,183)</f>
        <v>72.249310060488483</v>
      </c>
      <c r="AR185">
        <f>1/(COUNT('Iter No Test'!$W$9:$W$5008)-1)+$AR$184</f>
        <v>3.6407281456291261E-2</v>
      </c>
    </row>
    <row r="186" spans="8:44">
      <c r="H186" s="1"/>
      <c r="M186">
        <v>178</v>
      </c>
      <c r="N186">
        <v>128.60611509264569</v>
      </c>
      <c r="P186">
        <v>178</v>
      </c>
      <c r="Q186">
        <v>355.84815201126526</v>
      </c>
      <c r="S186">
        <v>178</v>
      </c>
      <c r="T186">
        <v>500.70252918297018</v>
      </c>
      <c r="V186">
        <v>178</v>
      </c>
      <c r="W186">
        <v>412.76949982474753</v>
      </c>
      <c r="AH186">
        <f>SMALL('Iter No Test'!$N$9:$N$208,184)</f>
        <v>337.24380877520105</v>
      </c>
      <c r="AI186">
        <f>1/(COUNT('Iter No Test'!$N$9:$N$208)-1)+$AI$185</f>
        <v>0.91959798994975139</v>
      </c>
      <c r="AK186">
        <f>SMALL('Iter No Test'!$Q$9:$Q$508,184)</f>
        <v>179.33990769714998</v>
      </c>
      <c r="AL186">
        <f>1/(COUNT('Iter No Test'!$Q$9:$Q$508)-1)+$AL$185</f>
        <v>0.36673346693386805</v>
      </c>
      <c r="AN186">
        <f>SMALL('Iter No Test'!$T$9:$T$1008,184)</f>
        <v>139.00343804824666</v>
      </c>
      <c r="AO186">
        <f>1/(COUNT('Iter No Test'!$T$9:$T$1008)-1)+$AO$185</f>
        <v>0.18318318318318372</v>
      </c>
      <c r="AQ186">
        <f>SMALL('Iter No Test'!$W$9:$W$5008,184)</f>
        <v>72.421830102488826</v>
      </c>
      <c r="AR186">
        <f>1/(COUNT('Iter No Test'!$W$9:$W$5008)-1)+$AR$185</f>
        <v>3.6607321464292859E-2</v>
      </c>
    </row>
    <row r="187" spans="8:44">
      <c r="H187" s="1"/>
      <c r="M187">
        <v>179</v>
      </c>
      <c r="N187">
        <v>202.34723684414422</v>
      </c>
      <c r="P187">
        <v>179</v>
      </c>
      <c r="Q187">
        <v>203.13610904656559</v>
      </c>
      <c r="S187">
        <v>179</v>
      </c>
      <c r="T187">
        <v>209.5433433677108</v>
      </c>
      <c r="V187">
        <v>179</v>
      </c>
      <c r="W187">
        <v>201.98620339672331</v>
      </c>
      <c r="AH187">
        <f>SMALL('Iter No Test'!$N$9:$N$208,185)</f>
        <v>341.94407191890605</v>
      </c>
      <c r="AI187">
        <f>1/(COUNT('Iter No Test'!$N$9:$N$208)-1)+$AI$186</f>
        <v>0.92462311557789212</v>
      </c>
      <c r="AK187">
        <f>SMALL('Iter No Test'!$Q$9:$Q$508,185)</f>
        <v>179.67772431288296</v>
      </c>
      <c r="AL187">
        <f>1/(COUNT('Iter No Test'!$Q$9:$Q$508)-1)+$AL$186</f>
        <v>0.36873747494990011</v>
      </c>
      <c r="AN187">
        <f>SMALL('Iter No Test'!$T$9:$T$1008,185)</f>
        <v>139.0989281069638</v>
      </c>
      <c r="AO187">
        <f>1/(COUNT('Iter No Test'!$T$9:$T$1008)-1)+$AO$186</f>
        <v>0.18418418418418472</v>
      </c>
      <c r="AQ187">
        <f>SMALL('Iter No Test'!$W$9:$W$5008,185)</f>
        <v>72.615683501220502</v>
      </c>
      <c r="AR187">
        <f>1/(COUNT('Iter No Test'!$W$9:$W$5008)-1)+$AR$186</f>
        <v>3.6807361472294457E-2</v>
      </c>
    </row>
    <row r="188" spans="8:44">
      <c r="H188" s="1"/>
      <c r="M188">
        <v>180</v>
      </c>
      <c r="N188">
        <v>164.17789833745769</v>
      </c>
      <c r="P188">
        <v>180</v>
      </c>
      <c r="Q188">
        <v>222.37861752351031</v>
      </c>
      <c r="S188">
        <v>180</v>
      </c>
      <c r="T188">
        <v>189.09199680149786</v>
      </c>
      <c r="V188">
        <v>180</v>
      </c>
      <c r="W188">
        <v>36.133446420089712</v>
      </c>
      <c r="AH188">
        <f>SMALL('Iter No Test'!$N$9:$N$208,186)</f>
        <v>343.94952162063521</v>
      </c>
      <c r="AI188">
        <f>1/(COUNT('Iter No Test'!$N$9:$N$208)-1)+$AI$187</f>
        <v>0.92964824120603284</v>
      </c>
      <c r="AK188">
        <f>SMALL('Iter No Test'!$Q$9:$Q$508,186)</f>
        <v>179.90729612019868</v>
      </c>
      <c r="AL188">
        <f>1/(COUNT('Iter No Test'!$Q$9:$Q$508)-1)+$AL$187</f>
        <v>0.37074148296593218</v>
      </c>
      <c r="AN188">
        <f>SMALL('Iter No Test'!$T$9:$T$1008,186)</f>
        <v>139.46064967055796</v>
      </c>
      <c r="AO188">
        <f>1/(COUNT('Iter No Test'!$T$9:$T$1008)-1)+$AO$187</f>
        <v>0.18518518518518573</v>
      </c>
      <c r="AQ188">
        <f>SMALL('Iter No Test'!$W$9:$W$5008,186)</f>
        <v>72.808022777006272</v>
      </c>
      <c r="AR188">
        <f>1/(COUNT('Iter No Test'!$W$9:$W$5008)-1)+$AR$187</f>
        <v>3.7007401480296055E-2</v>
      </c>
    </row>
    <row r="189" spans="8:44">
      <c r="H189" s="1"/>
      <c r="M189">
        <v>181</v>
      </c>
      <c r="N189">
        <v>203.05018702092954</v>
      </c>
      <c r="P189">
        <v>181</v>
      </c>
      <c r="Q189">
        <v>94.390238896279115</v>
      </c>
      <c r="S189">
        <v>181</v>
      </c>
      <c r="T189">
        <v>140.02748967750875</v>
      </c>
      <c r="V189">
        <v>181</v>
      </c>
      <c r="W189">
        <v>94.586568586925765</v>
      </c>
      <c r="AH189">
        <f>SMALL('Iter No Test'!$N$9:$N$208,187)</f>
        <v>349.22495654454451</v>
      </c>
      <c r="AI189">
        <f>1/(COUNT('Iter No Test'!$N$9:$N$208)-1)+$AI$188</f>
        <v>0.93467336683417357</v>
      </c>
      <c r="AK189">
        <f>SMALL('Iter No Test'!$Q$9:$Q$508,187)</f>
        <v>179.99041250278276</v>
      </c>
      <c r="AL189">
        <f>1/(COUNT('Iter No Test'!$Q$9:$Q$508)-1)+$AL$188</f>
        <v>0.37274549098196424</v>
      </c>
      <c r="AN189">
        <f>SMALL('Iter No Test'!$T$9:$T$1008,187)</f>
        <v>139.72155297706914</v>
      </c>
      <c r="AO189">
        <f>1/(COUNT('Iter No Test'!$T$9:$T$1008)-1)+$AO$188</f>
        <v>0.18618618618618674</v>
      </c>
      <c r="AQ189">
        <f>SMALL('Iter No Test'!$W$9:$W$5008,187)</f>
        <v>72.977950294915473</v>
      </c>
      <c r="AR189">
        <f>1/(COUNT('Iter No Test'!$W$9:$W$5008)-1)+$AR$188</f>
        <v>3.7207441488297653E-2</v>
      </c>
    </row>
    <row r="190" spans="8:44">
      <c r="H190" s="1"/>
      <c r="M190">
        <v>182</v>
      </c>
      <c r="N190">
        <v>296.77547967843111</v>
      </c>
      <c r="P190">
        <v>182</v>
      </c>
      <c r="Q190">
        <v>276.80780571647279</v>
      </c>
      <c r="S190">
        <v>182</v>
      </c>
      <c r="T190">
        <v>247.48165030680013</v>
      </c>
      <c r="V190">
        <v>182</v>
      </c>
      <c r="W190">
        <v>284.78077603674478</v>
      </c>
      <c r="AH190">
        <f>SMALL('Iter No Test'!$N$9:$N$208,188)</f>
        <v>353.43263654838194</v>
      </c>
      <c r="AI190">
        <f>1/(COUNT('Iter No Test'!$N$9:$N$208)-1)+$AI$189</f>
        <v>0.93969849246231429</v>
      </c>
      <c r="AK190">
        <f>SMALL('Iter No Test'!$Q$9:$Q$508,188)</f>
        <v>180.91757665553087</v>
      </c>
      <c r="AL190">
        <f>1/(COUNT('Iter No Test'!$Q$9:$Q$508)-1)+$AL$189</f>
        <v>0.37474949899799631</v>
      </c>
      <c r="AN190">
        <f>SMALL('Iter No Test'!$T$9:$T$1008,188)</f>
        <v>140.02748967750875</v>
      </c>
      <c r="AO190">
        <f>1/(COUNT('Iter No Test'!$T$9:$T$1008)-1)+$AO$189</f>
        <v>0.18718718718718774</v>
      </c>
      <c r="AQ190">
        <f>SMALL('Iter No Test'!$W$9:$W$5008,188)</f>
        <v>72.98684113794701</v>
      </c>
      <c r="AR190">
        <f>1/(COUNT('Iter No Test'!$W$9:$W$5008)-1)+$AR$189</f>
        <v>3.7407481496299251E-2</v>
      </c>
    </row>
    <row r="191" spans="8:44">
      <c r="H191" s="1"/>
      <c r="M191">
        <v>183</v>
      </c>
      <c r="N191">
        <v>125.4534910024218</v>
      </c>
      <c r="P191">
        <v>183</v>
      </c>
      <c r="Q191">
        <v>305.60225198672248</v>
      </c>
      <c r="S191">
        <v>183</v>
      </c>
      <c r="T191">
        <v>256.17079918988713</v>
      </c>
      <c r="V191">
        <v>183</v>
      </c>
      <c r="W191">
        <v>200.84986038332201</v>
      </c>
      <c r="AH191">
        <f>SMALL('Iter No Test'!$N$9:$N$208,189)</f>
        <v>355.8685153951659</v>
      </c>
      <c r="AI191">
        <f>1/(COUNT('Iter No Test'!$N$9:$N$208)-1)+$AI$190</f>
        <v>0.94472361809045502</v>
      </c>
      <c r="AK191">
        <f>SMALL('Iter No Test'!$Q$9:$Q$508,189)</f>
        <v>181.1784313133563</v>
      </c>
      <c r="AL191">
        <f>1/(COUNT('Iter No Test'!$Q$9:$Q$508)-1)+$AL$190</f>
        <v>0.37675350701402838</v>
      </c>
      <c r="AN191">
        <f>SMALL('Iter No Test'!$T$9:$T$1008,189)</f>
        <v>140.17203465785281</v>
      </c>
      <c r="AO191">
        <f>1/(COUNT('Iter No Test'!$T$9:$T$1008)-1)+$AO$190</f>
        <v>0.18818818818818875</v>
      </c>
      <c r="AQ191">
        <f>SMALL('Iter No Test'!$W$9:$W$5008,189)</f>
        <v>73.00613074801538</v>
      </c>
      <c r="AR191">
        <f>1/(COUNT('Iter No Test'!$W$9:$W$5008)-1)+$AR$190</f>
        <v>3.7607521504300849E-2</v>
      </c>
    </row>
    <row r="192" spans="8:44">
      <c r="H192" s="1"/>
      <c r="M192">
        <v>184</v>
      </c>
      <c r="N192">
        <v>343.94952162063521</v>
      </c>
      <c r="P192">
        <v>184</v>
      </c>
      <c r="Q192">
        <v>368.43045062487988</v>
      </c>
      <c r="S192">
        <v>184</v>
      </c>
      <c r="T192">
        <v>269.83612906123261</v>
      </c>
      <c r="V192">
        <v>184</v>
      </c>
      <c r="W192">
        <v>161.5314585803369</v>
      </c>
      <c r="AH192">
        <f>SMALL('Iter No Test'!$N$9:$N$208,190)</f>
        <v>359.63432996933034</v>
      </c>
      <c r="AI192">
        <f>1/(COUNT('Iter No Test'!$N$9:$N$208)-1)+$AI$191</f>
        <v>0.94974874371859574</v>
      </c>
      <c r="AK192">
        <f>SMALL('Iter No Test'!$Q$9:$Q$508,190)</f>
        <v>182.712418002308</v>
      </c>
      <c r="AL192">
        <f>1/(COUNT('Iter No Test'!$Q$9:$Q$508)-1)+$AL$191</f>
        <v>0.37875751503006044</v>
      </c>
      <c r="AN192">
        <f>SMALL('Iter No Test'!$T$9:$T$1008,190)</f>
        <v>140.17667439460411</v>
      </c>
      <c r="AO192">
        <f>1/(COUNT('Iter No Test'!$T$9:$T$1008)-1)+$AO$191</f>
        <v>0.18918918918918975</v>
      </c>
      <c r="AQ192">
        <f>SMALL('Iter No Test'!$W$9:$W$5008,190)</f>
        <v>73.050449213680466</v>
      </c>
      <c r="AR192">
        <f>1/(COUNT('Iter No Test'!$W$9:$W$5008)-1)+$AR$191</f>
        <v>3.7807561512302447E-2</v>
      </c>
    </row>
    <row r="193" spans="8:44">
      <c r="H193" s="1"/>
      <c r="M193">
        <v>185</v>
      </c>
      <c r="N193">
        <v>205.55984917806191</v>
      </c>
      <c r="P193">
        <v>185</v>
      </c>
      <c r="Q193">
        <v>308.80610665248156</v>
      </c>
      <c r="S193">
        <v>185</v>
      </c>
      <c r="T193">
        <v>283.95774547388896</v>
      </c>
      <c r="V193">
        <v>185</v>
      </c>
      <c r="W193">
        <v>282.40017433669283</v>
      </c>
      <c r="AH193">
        <f>SMALL('Iter No Test'!$N$9:$N$208,191)</f>
        <v>373.29040886992846</v>
      </c>
      <c r="AI193">
        <f>1/(COUNT('Iter No Test'!$N$9:$N$208)-1)+$AI$192</f>
        <v>0.95477386934673647</v>
      </c>
      <c r="AK193">
        <f>SMALL('Iter No Test'!$Q$9:$Q$508,191)</f>
        <v>182.86782163446057</v>
      </c>
      <c r="AL193">
        <f>1/(COUNT('Iter No Test'!$Q$9:$Q$508)-1)+$AL$192</f>
        <v>0.38076152304609251</v>
      </c>
      <c r="AN193">
        <f>SMALL('Iter No Test'!$T$9:$T$1008,191)</f>
        <v>140.28984503295106</v>
      </c>
      <c r="AO193">
        <f>1/(COUNT('Iter No Test'!$T$9:$T$1008)-1)+$AO$192</f>
        <v>0.19019019019019076</v>
      </c>
      <c r="AQ193">
        <f>SMALL('Iter No Test'!$W$9:$W$5008,191)</f>
        <v>73.257058161179472</v>
      </c>
      <c r="AR193">
        <f>1/(COUNT('Iter No Test'!$W$9:$W$5008)-1)+$AR$192</f>
        <v>3.8007601520304045E-2</v>
      </c>
    </row>
    <row r="194" spans="8:44">
      <c r="H194" s="1"/>
      <c r="M194">
        <v>186</v>
      </c>
      <c r="N194">
        <v>143.03209945154825</v>
      </c>
      <c r="P194">
        <v>186</v>
      </c>
      <c r="Q194">
        <v>253.16258147778359</v>
      </c>
      <c r="S194">
        <v>186</v>
      </c>
      <c r="T194">
        <v>199.8527036536276</v>
      </c>
      <c r="V194">
        <v>186</v>
      </c>
      <c r="W194">
        <v>208.66269737570369</v>
      </c>
      <c r="AH194">
        <f>SMALL('Iter No Test'!$N$9:$N$208,192)</f>
        <v>373.70797525663505</v>
      </c>
      <c r="AI194">
        <f>1/(COUNT('Iter No Test'!$N$9:$N$208)-1)+$AI$193</f>
        <v>0.9597989949748772</v>
      </c>
      <c r="AK194">
        <f>SMALL('Iter No Test'!$Q$9:$Q$508,192)</f>
        <v>183.01588581157586</v>
      </c>
      <c r="AL194">
        <f>1/(COUNT('Iter No Test'!$Q$9:$Q$508)-1)+$AL$193</f>
        <v>0.38276553106212458</v>
      </c>
      <c r="AN194">
        <f>SMALL('Iter No Test'!$T$9:$T$1008,192)</f>
        <v>140.40973975609182</v>
      </c>
      <c r="AO194">
        <f>1/(COUNT('Iter No Test'!$T$9:$T$1008)-1)+$AO$193</f>
        <v>0.19119119119119177</v>
      </c>
      <c r="AQ194">
        <f>SMALL('Iter No Test'!$W$9:$W$5008,192)</f>
        <v>73.316958963468494</v>
      </c>
      <c r="AR194">
        <f>1/(COUNT('Iter No Test'!$W$9:$W$5008)-1)+$AR$193</f>
        <v>3.8207641528305643E-2</v>
      </c>
    </row>
    <row r="195" spans="8:44">
      <c r="H195" s="1"/>
      <c r="M195">
        <v>187</v>
      </c>
      <c r="N195">
        <v>73.014189255250898</v>
      </c>
      <c r="P195">
        <v>187</v>
      </c>
      <c r="Q195">
        <v>200.03125093386092</v>
      </c>
      <c r="S195">
        <v>187</v>
      </c>
      <c r="T195">
        <v>67.496100966626457</v>
      </c>
      <c r="V195">
        <v>187</v>
      </c>
      <c r="W195">
        <v>152.52358706406062</v>
      </c>
      <c r="AH195">
        <f>SMALL('Iter No Test'!$N$9:$N$208,193)</f>
        <v>396.91104411163167</v>
      </c>
      <c r="AI195">
        <f>1/(COUNT('Iter No Test'!$N$9:$N$208)-1)+$AI$194</f>
        <v>0.96482412060301792</v>
      </c>
      <c r="AK195">
        <f>SMALL('Iter No Test'!$Q$9:$Q$508,193)</f>
        <v>183.50678931825848</v>
      </c>
      <c r="AL195">
        <f>1/(COUNT('Iter No Test'!$Q$9:$Q$508)-1)+$AL$194</f>
        <v>0.38476953907815664</v>
      </c>
      <c r="AN195">
        <f>SMALL('Iter No Test'!$T$9:$T$1008,193)</f>
        <v>140.67320439860339</v>
      </c>
      <c r="AO195">
        <f>1/(COUNT('Iter No Test'!$T$9:$T$1008)-1)+$AO$194</f>
        <v>0.19219219219219277</v>
      </c>
      <c r="AQ195">
        <f>SMALL('Iter No Test'!$W$9:$W$5008,193)</f>
        <v>73.622200088908301</v>
      </c>
      <c r="AR195">
        <f>1/(COUNT('Iter No Test'!$W$9:$W$5008)-1)+$AR$194</f>
        <v>3.8407681536307241E-2</v>
      </c>
    </row>
    <row r="196" spans="8:44">
      <c r="H196" s="1"/>
      <c r="M196">
        <v>188</v>
      </c>
      <c r="N196">
        <v>206.95407302459057</v>
      </c>
      <c r="P196">
        <v>188</v>
      </c>
      <c r="Q196">
        <v>95.350988512546337</v>
      </c>
      <c r="S196">
        <v>188</v>
      </c>
      <c r="T196">
        <v>203.25624535063645</v>
      </c>
      <c r="V196">
        <v>188</v>
      </c>
      <c r="W196">
        <v>135.09102676273761</v>
      </c>
      <c r="AH196">
        <f>SMALL('Iter No Test'!$N$9:$N$208,194)</f>
        <v>397.04018216543119</v>
      </c>
      <c r="AI196">
        <f>1/(COUNT('Iter No Test'!$N$9:$N$208)-1)+$AI$195</f>
        <v>0.96984924623115865</v>
      </c>
      <c r="AK196">
        <f>SMALL('Iter No Test'!$Q$9:$Q$508,194)</f>
        <v>184.97901540288814</v>
      </c>
      <c r="AL196">
        <f>1/(COUNT('Iter No Test'!$Q$9:$Q$508)-1)+$AL$195</f>
        <v>0.38677354709418871</v>
      </c>
      <c r="AN196">
        <f>SMALL('Iter No Test'!$T$9:$T$1008,194)</f>
        <v>140.72956399103782</v>
      </c>
      <c r="AO196">
        <f>1/(COUNT('Iter No Test'!$T$9:$T$1008)-1)+$AO$195</f>
        <v>0.19319319319319378</v>
      </c>
      <c r="AQ196">
        <f>SMALL('Iter No Test'!$W$9:$W$5008,194)</f>
        <v>73.66261144769291</v>
      </c>
      <c r="AR196">
        <f>1/(COUNT('Iter No Test'!$W$9:$W$5008)-1)+$AR$195</f>
        <v>3.8607721544308839E-2</v>
      </c>
    </row>
    <row r="197" spans="8:44">
      <c r="H197" s="1"/>
      <c r="M197">
        <v>189</v>
      </c>
      <c r="N197">
        <v>240.43823885224069</v>
      </c>
      <c r="P197">
        <v>189</v>
      </c>
      <c r="Q197">
        <v>347.15839002056805</v>
      </c>
      <c r="S197">
        <v>189</v>
      </c>
      <c r="T197">
        <v>187.90214189635762</v>
      </c>
      <c r="V197">
        <v>189</v>
      </c>
      <c r="W197">
        <v>89.870245076656971</v>
      </c>
      <c r="AH197">
        <f>SMALL('Iter No Test'!$N$9:$N$208,195)</f>
        <v>403.43160245476503</v>
      </c>
      <c r="AI197">
        <f>1/(COUNT('Iter No Test'!$N$9:$N$208)-1)+$AI$196</f>
        <v>0.97487437185929937</v>
      </c>
      <c r="AK197">
        <f>SMALL('Iter No Test'!$Q$9:$Q$508,195)</f>
        <v>186.33760009714604</v>
      </c>
      <c r="AL197">
        <f>1/(COUNT('Iter No Test'!$Q$9:$Q$508)-1)+$AL$196</f>
        <v>0.38877755511022077</v>
      </c>
      <c r="AN197">
        <f>SMALL('Iter No Test'!$T$9:$T$1008,195)</f>
        <v>140.80366692588581</v>
      </c>
      <c r="AO197">
        <f>1/(COUNT('Iter No Test'!$T$9:$T$1008)-1)+$AO$196</f>
        <v>0.19419419419419479</v>
      </c>
      <c r="AQ197">
        <f>SMALL('Iter No Test'!$W$9:$W$5008,195)</f>
        <v>73.733633387192114</v>
      </c>
      <c r="AR197">
        <f>1/(COUNT('Iter No Test'!$W$9:$W$5008)-1)+$AR$196</f>
        <v>3.8807761552310437E-2</v>
      </c>
    </row>
    <row r="198" spans="8:44">
      <c r="H198" s="1"/>
      <c r="M198">
        <v>190</v>
      </c>
      <c r="N198">
        <v>288.86220841092336</v>
      </c>
      <c r="P198">
        <v>190</v>
      </c>
      <c r="Q198">
        <v>227.61996194727584</v>
      </c>
      <c r="S198">
        <v>190</v>
      </c>
      <c r="T198">
        <v>134.12653661463605</v>
      </c>
      <c r="V198">
        <v>190</v>
      </c>
      <c r="W198">
        <v>300.13243265362695</v>
      </c>
      <c r="AH198">
        <f>SMALL('Iter No Test'!$N$9:$N$208,196)</f>
        <v>406.28645514079426</v>
      </c>
      <c r="AI198">
        <f>1/(COUNT('Iter No Test'!$N$9:$N$208)-1)+$AI$197</f>
        <v>0.9798994974874401</v>
      </c>
      <c r="AK198">
        <f>SMALL('Iter No Test'!$Q$9:$Q$508,196)</f>
        <v>186.34655754333104</v>
      </c>
      <c r="AL198">
        <f>1/(COUNT('Iter No Test'!$Q$9:$Q$508)-1)+$AL$197</f>
        <v>0.39078156312625284</v>
      </c>
      <c r="AN198">
        <f>SMALL('Iter No Test'!$T$9:$T$1008,196)</f>
        <v>141.04044792348688</v>
      </c>
      <c r="AO198">
        <f>1/(COUNT('Iter No Test'!$T$9:$T$1008)-1)+$AO$197</f>
        <v>0.19519519519519579</v>
      </c>
      <c r="AQ198">
        <f>SMALL('Iter No Test'!$W$9:$W$5008,196)</f>
        <v>73.813894598305993</v>
      </c>
      <c r="AR198">
        <f>1/(COUNT('Iter No Test'!$W$9:$W$5008)-1)+$AR$197</f>
        <v>3.9007801560312035E-2</v>
      </c>
    </row>
    <row r="199" spans="8:44">
      <c r="H199" s="1"/>
      <c r="M199">
        <v>191</v>
      </c>
      <c r="N199">
        <v>197.02326221529992</v>
      </c>
      <c r="P199">
        <v>191</v>
      </c>
      <c r="Q199">
        <v>80.748641376497162</v>
      </c>
      <c r="S199">
        <v>191</v>
      </c>
      <c r="T199">
        <v>101.90957979689779</v>
      </c>
      <c r="V199">
        <v>191</v>
      </c>
      <c r="W199">
        <v>112.86870235854572</v>
      </c>
      <c r="AH199">
        <f>SMALL('Iter No Test'!$N$9:$N$208,197)</f>
        <v>407.51460291429839</v>
      </c>
      <c r="AI199">
        <f>1/(COUNT('Iter No Test'!$N$9:$N$208)-1)+$AI$198</f>
        <v>0.98492462311558082</v>
      </c>
      <c r="AK199">
        <f>SMALL('Iter No Test'!$Q$9:$Q$508,197)</f>
        <v>186.46406444624614</v>
      </c>
      <c r="AL199">
        <f>1/(COUNT('Iter No Test'!$Q$9:$Q$508)-1)+$AL$198</f>
        <v>0.39278557114228491</v>
      </c>
      <c r="AN199">
        <f>SMALL('Iter No Test'!$T$9:$T$1008,197)</f>
        <v>141.40355623816902</v>
      </c>
      <c r="AO199">
        <f>1/(COUNT('Iter No Test'!$T$9:$T$1008)-1)+$AO$198</f>
        <v>0.1961961961961968</v>
      </c>
      <c r="AQ199">
        <f>SMALL('Iter No Test'!$W$9:$W$5008,197)</f>
        <v>73.912210970413241</v>
      </c>
      <c r="AR199">
        <f>1/(COUNT('Iter No Test'!$W$9:$W$5008)-1)+$AR$198</f>
        <v>3.9207841568313632E-2</v>
      </c>
    </row>
    <row r="200" spans="8:44">
      <c r="H200" s="1"/>
      <c r="M200">
        <v>192</v>
      </c>
      <c r="N200">
        <v>179.17873336980654</v>
      </c>
      <c r="P200">
        <v>192</v>
      </c>
      <c r="Q200">
        <v>244.70613380725118</v>
      </c>
      <c r="S200">
        <v>192</v>
      </c>
      <c r="T200">
        <v>161.46869241429729</v>
      </c>
      <c r="V200">
        <v>192</v>
      </c>
      <c r="W200">
        <v>89.262367926097937</v>
      </c>
      <c r="AH200">
        <f>SMALL('Iter No Test'!$N$9:$N$208,198)</f>
        <v>423.93271095799645</v>
      </c>
      <c r="AI200">
        <f>1/(COUNT('Iter No Test'!$N$9:$N$208)-1)+$AI$199</f>
        <v>0.98994974874372155</v>
      </c>
      <c r="AK200">
        <f>SMALL('Iter No Test'!$Q$9:$Q$508,198)</f>
        <v>186.86367177945357</v>
      </c>
      <c r="AL200">
        <f>1/(COUNT('Iter No Test'!$Q$9:$Q$508)-1)+$AL$199</f>
        <v>0.39478957915831697</v>
      </c>
      <c r="AN200">
        <f>SMALL('Iter No Test'!$T$9:$T$1008,198)</f>
        <v>141.75333318558</v>
      </c>
      <c r="AO200">
        <f>1/(COUNT('Iter No Test'!$T$9:$T$1008)-1)+$AO$199</f>
        <v>0.1971971971971978</v>
      </c>
      <c r="AQ200">
        <f>SMALL('Iter No Test'!$W$9:$W$5008,198)</f>
        <v>74.134810871912734</v>
      </c>
      <c r="AR200">
        <f>1/(COUNT('Iter No Test'!$W$9:$W$5008)-1)+$AR$199</f>
        <v>3.940788157631523E-2</v>
      </c>
    </row>
    <row r="201" spans="8:44">
      <c r="H201" s="1"/>
      <c r="M201">
        <v>193</v>
      </c>
      <c r="N201">
        <v>403.43160245476503</v>
      </c>
      <c r="P201">
        <v>193</v>
      </c>
      <c r="Q201">
        <v>331.53371588570377</v>
      </c>
      <c r="S201">
        <v>193</v>
      </c>
      <c r="T201">
        <v>206.57349899873716</v>
      </c>
      <c r="V201">
        <v>193</v>
      </c>
      <c r="W201">
        <v>153.26344421159462</v>
      </c>
      <c r="AH201">
        <f>SMALL('Iter No Test'!$N$9:$N$208,199)</f>
        <v>474.72396061103569</v>
      </c>
      <c r="AI201">
        <f>1/(COUNT('Iter No Test'!$N$9:$N$208)-1)+$AI$200</f>
        <v>0.99497487437186227</v>
      </c>
      <c r="AK201">
        <f>SMALL('Iter No Test'!$Q$9:$Q$508,199)</f>
        <v>187.30659466858668</v>
      </c>
      <c r="AL201">
        <f>1/(COUNT('Iter No Test'!$Q$9:$Q$508)-1)+$AL$200</f>
        <v>0.39679358717434904</v>
      </c>
      <c r="AN201">
        <f>SMALL('Iter No Test'!$T$9:$T$1008,199)</f>
        <v>141.81655539020954</v>
      </c>
      <c r="AO201">
        <f>1/(COUNT('Iter No Test'!$T$9:$T$1008)-1)+$AO$200</f>
        <v>0.19819819819819881</v>
      </c>
      <c r="AQ201">
        <f>SMALL('Iter No Test'!$W$9:$W$5008,199)</f>
        <v>74.162985110151709</v>
      </c>
      <c r="AR201">
        <f>1/(COUNT('Iter No Test'!$W$9:$W$5008)-1)+$AR$200</f>
        <v>3.9607921584316828E-2</v>
      </c>
    </row>
    <row r="202" spans="8:44">
      <c r="H202" s="1"/>
      <c r="M202">
        <v>194</v>
      </c>
      <c r="N202">
        <v>219.97060253487098</v>
      </c>
      <c r="P202">
        <v>194</v>
      </c>
      <c r="Q202">
        <v>93.936941018803637</v>
      </c>
      <c r="S202">
        <v>194</v>
      </c>
      <c r="T202">
        <v>172.54945326304832</v>
      </c>
      <c r="V202">
        <v>194</v>
      </c>
      <c r="W202">
        <v>67.0187577125578</v>
      </c>
      <c r="AH202">
        <f>SMALL('Iter No Test'!$N$9:$N$208,200)</f>
        <v>492.95774408514535</v>
      </c>
      <c r="AI202">
        <f>1/(COUNT('Iter No Test'!$N$9:$N$208)-1)+$AI$201</f>
        <v>1.0000000000000029</v>
      </c>
      <c r="AK202">
        <f>SMALL('Iter No Test'!$Q$9:$Q$508,200)</f>
        <v>187.4066904647232</v>
      </c>
      <c r="AL202">
        <f>1/(COUNT('Iter No Test'!$Q$9:$Q$508)-1)+$AL$201</f>
        <v>0.3987975951903811</v>
      </c>
      <c r="AN202">
        <f>SMALL('Iter No Test'!$T$9:$T$1008,200)</f>
        <v>141.97276628880601</v>
      </c>
      <c r="AO202">
        <f>1/(COUNT('Iter No Test'!$T$9:$T$1008)-1)+$AO$201</f>
        <v>0.19919919919919982</v>
      </c>
      <c r="AQ202">
        <f>SMALL('Iter No Test'!$W$9:$W$5008,200)</f>
        <v>74.184912184576575</v>
      </c>
      <c r="AR202">
        <f>1/(COUNT('Iter No Test'!$W$9:$W$5008)-1)+$AR$201</f>
        <v>3.9807961592318426E-2</v>
      </c>
    </row>
    <row r="203" spans="8:44">
      <c r="H203" s="1"/>
      <c r="M203">
        <v>195</v>
      </c>
      <c r="N203">
        <v>407.51460291429839</v>
      </c>
      <c r="P203">
        <v>195</v>
      </c>
      <c r="Q203">
        <v>358.98161998466946</v>
      </c>
      <c r="S203">
        <v>195</v>
      </c>
      <c r="T203">
        <v>264.03505918329938</v>
      </c>
      <c r="V203">
        <v>195</v>
      </c>
      <c r="W203">
        <v>217.43632924452663</v>
      </c>
      <c r="AK203">
        <f>SMALL('Iter No Test'!$Q$9:$Q$508,201)</f>
        <v>188.67226769575436</v>
      </c>
      <c r="AL203">
        <f>1/(COUNT('Iter No Test'!$Q$9:$Q$508)-1)+$AL$202</f>
        <v>0.40080160320641317</v>
      </c>
      <c r="AN203">
        <f>SMALL('Iter No Test'!$T$9:$T$1008,201)</f>
        <v>142.05965120400344</v>
      </c>
      <c r="AO203">
        <f>1/(COUNT('Iter No Test'!$T$9:$T$1008)-1)+$AO$202</f>
        <v>0.20020020020020082</v>
      </c>
      <c r="AQ203">
        <f>SMALL('Iter No Test'!$W$9:$W$5008,201)</f>
        <v>74.231228442358116</v>
      </c>
      <c r="AR203">
        <f>1/(COUNT('Iter No Test'!$W$9:$W$5008)-1)+$AR$202</f>
        <v>4.0008001600320024E-2</v>
      </c>
    </row>
    <row r="204" spans="8:44">
      <c r="H204" s="1"/>
      <c r="M204">
        <v>196</v>
      </c>
      <c r="N204">
        <v>294.56536733730252</v>
      </c>
      <c r="P204">
        <v>196</v>
      </c>
      <c r="Q204">
        <v>324.08856762126402</v>
      </c>
      <c r="S204">
        <v>196</v>
      </c>
      <c r="T204">
        <v>384.50224426323985</v>
      </c>
      <c r="V204">
        <v>196</v>
      </c>
      <c r="W204">
        <v>211.93096949108053</v>
      </c>
      <c r="AK204">
        <f>SMALL('Iter No Test'!$Q$9:$Q$508,202)</f>
        <v>189.42185042247843</v>
      </c>
      <c r="AL204">
        <f>1/(COUNT('Iter No Test'!$Q$9:$Q$508)-1)+$AL$203</f>
        <v>0.40280561122244524</v>
      </c>
      <c r="AN204">
        <f>SMALL('Iter No Test'!$T$9:$T$1008,202)</f>
        <v>142.09207063708152</v>
      </c>
      <c r="AO204">
        <f>1/(COUNT('Iter No Test'!$T$9:$T$1008)-1)+$AO$203</f>
        <v>0.20120120120120183</v>
      </c>
      <c r="AQ204">
        <f>SMALL('Iter No Test'!$W$9:$W$5008,202)</f>
        <v>74.48942841669033</v>
      </c>
      <c r="AR204">
        <f>1/(COUNT('Iter No Test'!$W$9:$W$5008)-1)+$AR$203</f>
        <v>4.0208041608321622E-2</v>
      </c>
    </row>
    <row r="205" spans="8:44">
      <c r="H205" s="1"/>
      <c r="M205">
        <v>197</v>
      </c>
      <c r="N205">
        <v>242.34433531158041</v>
      </c>
      <c r="P205">
        <v>197</v>
      </c>
      <c r="Q205">
        <v>174.73867790241013</v>
      </c>
      <c r="S205">
        <v>197</v>
      </c>
      <c r="T205">
        <v>140.17203465785281</v>
      </c>
      <c r="V205">
        <v>197</v>
      </c>
      <c r="W205">
        <v>122.8355626859593</v>
      </c>
      <c r="AK205">
        <f>SMALL('Iter No Test'!$Q$9:$Q$508,203)</f>
        <v>189.48846293364869</v>
      </c>
      <c r="AL205">
        <f>1/(COUNT('Iter No Test'!$Q$9:$Q$508)-1)+$AL$204</f>
        <v>0.4048096192384773</v>
      </c>
      <c r="AN205">
        <f>SMALL('Iter No Test'!$T$9:$T$1008,203)</f>
        <v>142.22302755971381</v>
      </c>
      <c r="AO205">
        <f>1/(COUNT('Iter No Test'!$T$9:$T$1008)-1)+$AO$204</f>
        <v>0.20220220220220284</v>
      </c>
      <c r="AQ205">
        <f>SMALL('Iter No Test'!$W$9:$W$5008,203)</f>
        <v>74.658097603469358</v>
      </c>
      <c r="AR205">
        <f>1/(COUNT('Iter No Test'!$W$9:$W$5008)-1)+$AR$204</f>
        <v>4.040808161632322E-2</v>
      </c>
    </row>
    <row r="206" spans="8:44">
      <c r="H206" s="1"/>
      <c r="M206">
        <v>198</v>
      </c>
      <c r="N206">
        <v>373.70797525663505</v>
      </c>
      <c r="P206">
        <v>198</v>
      </c>
      <c r="Q206">
        <v>259.96470731352406</v>
      </c>
      <c r="S206">
        <v>198</v>
      </c>
      <c r="T206">
        <v>281.89623947058396</v>
      </c>
      <c r="V206">
        <v>198</v>
      </c>
      <c r="W206">
        <v>298.84030676509701</v>
      </c>
      <c r="AK206">
        <f>SMALL('Iter No Test'!$Q$9:$Q$508,204)</f>
        <v>190.14842738853417</v>
      </c>
      <c r="AL206">
        <f>1/(COUNT('Iter No Test'!$Q$9:$Q$508)-1)+$AL$205</f>
        <v>0.40681362725450937</v>
      </c>
      <c r="AN206">
        <f>SMALL('Iter No Test'!$T$9:$T$1008,204)</f>
        <v>142.37600694928381</v>
      </c>
      <c r="AO206">
        <f>1/(COUNT('Iter No Test'!$T$9:$T$1008)-1)+$AO$205</f>
        <v>0.20320320320320384</v>
      </c>
      <c r="AQ206">
        <f>SMALL('Iter No Test'!$W$9:$W$5008,204)</f>
        <v>74.85230922184337</v>
      </c>
      <c r="AR206">
        <f>1/(COUNT('Iter No Test'!$W$9:$W$5008)-1)+$AR$205</f>
        <v>4.0608121624324818E-2</v>
      </c>
    </row>
    <row r="207" spans="8:44">
      <c r="H207" s="1"/>
      <c r="M207">
        <v>199</v>
      </c>
      <c r="N207">
        <v>153.30175540142073</v>
      </c>
      <c r="P207">
        <v>199</v>
      </c>
      <c r="Q207">
        <v>293.31853624250289</v>
      </c>
      <c r="S207">
        <v>199</v>
      </c>
      <c r="T207">
        <v>273.39642456372974</v>
      </c>
      <c r="V207">
        <v>199</v>
      </c>
      <c r="W207">
        <v>195.37065233355526</v>
      </c>
      <c r="AK207">
        <f>SMALL('Iter No Test'!$Q$9:$Q$508,205)</f>
        <v>190.52214231741658</v>
      </c>
      <c r="AL207">
        <f>1/(COUNT('Iter No Test'!$Q$9:$Q$508)-1)+$AL$206</f>
        <v>0.40881763527054144</v>
      </c>
      <c r="AN207">
        <f>SMALL('Iter No Test'!$T$9:$T$1008,205)</f>
        <v>143.19070970437971</v>
      </c>
      <c r="AO207">
        <f>1/(COUNT('Iter No Test'!$T$9:$T$1008)-1)+$AO$206</f>
        <v>0.20420420420420485</v>
      </c>
      <c r="AQ207">
        <f>SMALL('Iter No Test'!$W$9:$W$5008,205)</f>
        <v>75.145813232845683</v>
      </c>
      <c r="AR207">
        <f>1/(COUNT('Iter No Test'!$W$9:$W$5008)-1)+$AR$206</f>
        <v>4.0808161632326416E-2</v>
      </c>
    </row>
    <row r="208" spans="8:44">
      <c r="H208" s="1"/>
      <c r="M208">
        <v>200</v>
      </c>
      <c r="N208">
        <v>259.69440233761429</v>
      </c>
      <c r="P208">
        <v>200</v>
      </c>
      <c r="Q208">
        <v>304.16470325238043</v>
      </c>
      <c r="S208">
        <v>200</v>
      </c>
      <c r="T208">
        <v>86.705656448214441</v>
      </c>
      <c r="V208">
        <v>200</v>
      </c>
      <c r="W208">
        <v>418.05075168189853</v>
      </c>
      <c r="AK208">
        <f>SMALL('Iter No Test'!$Q$9:$Q$508,206)</f>
        <v>191.12612901026148</v>
      </c>
      <c r="AL208">
        <f>1/(COUNT('Iter No Test'!$Q$9:$Q$508)-1)+$AL$207</f>
        <v>0.4108216432865735</v>
      </c>
      <c r="AN208">
        <f>SMALL('Iter No Test'!$T$9:$T$1008,206)</f>
        <v>143.50843726162654</v>
      </c>
      <c r="AO208">
        <f>1/(COUNT('Iter No Test'!$T$9:$T$1008)-1)+$AO$207</f>
        <v>0.20520520520520585</v>
      </c>
      <c r="AQ208">
        <f>SMALL('Iter No Test'!$W$9:$W$5008,206)</f>
        <v>75.160967773552173</v>
      </c>
      <c r="AR208">
        <f>1/(COUNT('Iter No Test'!$W$9:$W$5008)-1)+$AR$207</f>
        <v>4.1008201640328014E-2</v>
      </c>
    </row>
    <row r="209" spans="8:44">
      <c r="H209" s="1"/>
      <c r="P209">
        <v>201</v>
      </c>
      <c r="Q209">
        <v>151.61531013463343</v>
      </c>
      <c r="S209">
        <v>201</v>
      </c>
      <c r="T209">
        <v>353.46620897937271</v>
      </c>
      <c r="V209">
        <v>201</v>
      </c>
      <c r="W209">
        <v>422.50817800303435</v>
      </c>
      <c r="AK209">
        <f>SMALL('Iter No Test'!$Q$9:$Q$508,207)</f>
        <v>191.56362694437843</v>
      </c>
      <c r="AL209">
        <f>1/(COUNT('Iter No Test'!$Q$9:$Q$508)-1)+$AL$208</f>
        <v>0.41282565130260557</v>
      </c>
      <c r="AN209">
        <f>SMALL('Iter No Test'!$T$9:$T$1008,207)</f>
        <v>143.63946739831474</v>
      </c>
      <c r="AO209">
        <f>1/(COUNT('Iter No Test'!$T$9:$T$1008)-1)+$AO$208</f>
        <v>0.20620620620620686</v>
      </c>
      <c r="AQ209">
        <f>SMALL('Iter No Test'!$W$9:$W$5008,207)</f>
        <v>75.275051869951966</v>
      </c>
      <c r="AR209">
        <f>1/(COUNT('Iter No Test'!$W$9:$W$5008)-1)+$AR$208</f>
        <v>4.1208241648329612E-2</v>
      </c>
    </row>
    <row r="210" spans="8:44">
      <c r="H210" s="1"/>
      <c r="M210" t="s">
        <v>40</v>
      </c>
      <c r="P210">
        <v>202</v>
      </c>
      <c r="Q210">
        <v>110.76563015980783</v>
      </c>
      <c r="S210">
        <v>202</v>
      </c>
      <c r="T210">
        <v>144.9724302558821</v>
      </c>
      <c r="V210">
        <v>202</v>
      </c>
      <c r="W210">
        <v>325.7819768310174</v>
      </c>
      <c r="AK210">
        <f>SMALL('Iter No Test'!$Q$9:$Q$508,208)</f>
        <v>191.70088730057805</v>
      </c>
      <c r="AL210">
        <f>1/(COUNT('Iter No Test'!$Q$9:$Q$508)-1)+$AL$209</f>
        <v>0.41482965931863763</v>
      </c>
      <c r="AN210">
        <f>SMALL('Iter No Test'!$T$9:$T$1008,208)</f>
        <v>143.84795673483211</v>
      </c>
      <c r="AO210">
        <f>1/(COUNT('Iter No Test'!$T$9:$T$1008)-1)+$AO$209</f>
        <v>0.20720720720720787</v>
      </c>
      <c r="AQ210">
        <f>SMALL('Iter No Test'!$W$9:$W$5008,208)</f>
        <v>75.441139830288037</v>
      </c>
      <c r="AR210">
        <f>1/(COUNT('Iter No Test'!$W$9:$W$5008)-1)+$AR$209</f>
        <v>4.140828165633121E-2</v>
      </c>
    </row>
    <row r="211" spans="8:44">
      <c r="H211" s="1"/>
      <c r="M211" t="s">
        <v>41</v>
      </c>
      <c r="N211" t="s">
        <v>29</v>
      </c>
      <c r="P211">
        <v>203</v>
      </c>
      <c r="Q211">
        <v>249.8677824085425</v>
      </c>
      <c r="S211">
        <v>203</v>
      </c>
      <c r="T211">
        <v>205.44687299174771</v>
      </c>
      <c r="V211">
        <v>203</v>
      </c>
      <c r="W211">
        <v>187.16762080151807</v>
      </c>
      <c r="AK211">
        <f>SMALL('Iter No Test'!$Q$9:$Q$508,209)</f>
        <v>191.99622645797174</v>
      </c>
      <c r="AL211">
        <f>1/(COUNT('Iter No Test'!$Q$9:$Q$508)-1)+$AL$210</f>
        <v>0.4168336673346697</v>
      </c>
      <c r="AN211">
        <f>SMALL('Iter No Test'!$T$9:$T$1008,209)</f>
        <v>144.27777373043708</v>
      </c>
      <c r="AO211">
        <f>1/(COUNT('Iter No Test'!$T$9:$T$1008)-1)+$AO$210</f>
        <v>0.20820820820820887</v>
      </c>
      <c r="AQ211">
        <f>SMALL('Iter No Test'!$W$9:$W$5008,209)</f>
        <v>75.590494327453285</v>
      </c>
      <c r="AR211">
        <f>1/(COUNT('Iter No Test'!$W$9:$W$5008)-1)+$AR$210</f>
        <v>4.1608321664332808E-2</v>
      </c>
    </row>
    <row r="212" spans="8:44">
      <c r="H212" s="1"/>
      <c r="M212" t="s">
        <v>42</v>
      </c>
      <c r="P212">
        <v>204</v>
      </c>
      <c r="Q212">
        <v>239.53782343584336</v>
      </c>
      <c r="S212">
        <v>204</v>
      </c>
      <c r="T212">
        <v>165.13386503198475</v>
      </c>
      <c r="V212">
        <v>204</v>
      </c>
      <c r="W212">
        <v>275.79432886264937</v>
      </c>
      <c r="AK212">
        <f>SMALL('Iter No Test'!$Q$9:$Q$508,210)</f>
        <v>192.33457109530281</v>
      </c>
      <c r="AL212">
        <f>1/(COUNT('Iter No Test'!$Q$9:$Q$508)-1)+$AL$211</f>
        <v>0.41883767535070177</v>
      </c>
      <c r="AN212">
        <f>SMALL('Iter No Test'!$T$9:$T$1008,210)</f>
        <v>144.31433762507442</v>
      </c>
      <c r="AO212">
        <f>1/(COUNT('Iter No Test'!$T$9:$T$1008)-1)+$AO$211</f>
        <v>0.20920920920920988</v>
      </c>
      <c r="AQ212">
        <f>SMALL('Iter No Test'!$W$9:$W$5008,210)</f>
        <v>75.794450089332116</v>
      </c>
      <c r="AR212">
        <f>1/(COUNT('Iter No Test'!$W$9:$W$5008)-1)+$AR$211</f>
        <v>4.1808361672334406E-2</v>
      </c>
    </row>
    <row r="213" spans="8:44">
      <c r="H213" s="1"/>
      <c r="M213" t="s">
        <v>43</v>
      </c>
      <c r="N213" t="s">
        <v>29</v>
      </c>
      <c r="P213">
        <v>205</v>
      </c>
      <c r="Q213">
        <v>133.25255871552258</v>
      </c>
      <c r="S213">
        <v>205</v>
      </c>
      <c r="T213">
        <v>300.13800327615542</v>
      </c>
      <c r="V213">
        <v>205</v>
      </c>
      <c r="W213">
        <v>270.80980659952246</v>
      </c>
      <c r="AK213">
        <f>SMALL('Iter No Test'!$Q$9:$Q$508,211)</f>
        <v>192.46076902876246</v>
      </c>
      <c r="AL213">
        <f>1/(COUNT('Iter No Test'!$Q$9:$Q$508)-1)+$AL$212</f>
        <v>0.42084168336673383</v>
      </c>
      <c r="AN213">
        <f>SMALL('Iter No Test'!$T$9:$T$1008,211)</f>
        <v>144.49629572362716</v>
      </c>
      <c r="AO213">
        <f>1/(COUNT('Iter No Test'!$T$9:$T$1008)-1)+$AO$212</f>
        <v>0.21021021021021088</v>
      </c>
      <c r="AQ213">
        <f>SMALL('Iter No Test'!$W$9:$W$5008,211)</f>
        <v>75.908137022341776</v>
      </c>
      <c r="AR213">
        <f>1/(COUNT('Iter No Test'!$W$9:$W$5008)-1)+$AR$212</f>
        <v>4.2008401680336004E-2</v>
      </c>
    </row>
    <row r="214" spans="8:44">
      <c r="H214" s="1"/>
      <c r="M214" t="s">
        <v>44</v>
      </c>
      <c r="P214">
        <v>206</v>
      </c>
      <c r="Q214">
        <v>179.11020239984538</v>
      </c>
      <c r="S214">
        <v>206</v>
      </c>
      <c r="T214">
        <v>139.46064967055796</v>
      </c>
      <c r="V214">
        <v>206</v>
      </c>
      <c r="W214">
        <v>97.725156787626076</v>
      </c>
      <c r="AK214">
        <f>SMALL('Iter No Test'!$Q$9:$Q$508,212)</f>
        <v>193.24485858600642</v>
      </c>
      <c r="AL214">
        <f>1/(COUNT('Iter No Test'!$Q$9:$Q$508)-1)+$AL$213</f>
        <v>0.4228456913827659</v>
      </c>
      <c r="AN214">
        <f>SMALL('Iter No Test'!$T$9:$T$1008,212)</f>
        <v>144.58106328775858</v>
      </c>
      <c r="AO214">
        <f>1/(COUNT('Iter No Test'!$T$9:$T$1008)-1)+$AO$213</f>
        <v>0.21121121121121189</v>
      </c>
      <c r="AQ214">
        <f>SMALL('Iter No Test'!$W$9:$W$5008,212)</f>
        <v>75.924754829103051</v>
      </c>
      <c r="AR214">
        <f>1/(COUNT('Iter No Test'!$W$9:$W$5008)-1)+$AR$213</f>
        <v>4.2208441688337602E-2</v>
      </c>
    </row>
    <row r="215" spans="8:44">
      <c r="H215" s="1"/>
      <c r="M215" t="s">
        <v>45</v>
      </c>
      <c r="N215" t="s">
        <v>29</v>
      </c>
      <c r="P215">
        <v>207</v>
      </c>
      <c r="Q215">
        <v>111.99630620535339</v>
      </c>
      <c r="S215">
        <v>207</v>
      </c>
      <c r="T215">
        <v>106.20810592698447</v>
      </c>
      <c r="V215">
        <v>207</v>
      </c>
      <c r="W215">
        <v>378.80392110158533</v>
      </c>
      <c r="AK215">
        <f>SMALL('Iter No Test'!$Q$9:$Q$508,213)</f>
        <v>194.03153509084072</v>
      </c>
      <c r="AL215">
        <f>1/(COUNT('Iter No Test'!$Q$9:$Q$508)-1)+$AL$214</f>
        <v>0.42484969939879796</v>
      </c>
      <c r="AN215">
        <f>SMALL('Iter No Test'!$T$9:$T$1008,213)</f>
        <v>144.9724302558821</v>
      </c>
      <c r="AO215">
        <f>1/(COUNT('Iter No Test'!$T$9:$T$1008)-1)+$AO$214</f>
        <v>0.2122122122122129</v>
      </c>
      <c r="AQ215">
        <f>SMALL('Iter No Test'!$W$9:$W$5008,213)</f>
        <v>76.235265899440719</v>
      </c>
      <c r="AR215">
        <f>1/(COUNT('Iter No Test'!$W$9:$W$5008)-1)+$AR$214</f>
        <v>4.2408481696339199E-2</v>
      </c>
    </row>
    <row r="216" spans="8:44">
      <c r="H216" s="1"/>
      <c r="M216" t="s">
        <v>46</v>
      </c>
      <c r="P216">
        <v>208</v>
      </c>
      <c r="Q216">
        <v>233.85333733386216</v>
      </c>
      <c r="S216">
        <v>208</v>
      </c>
      <c r="T216">
        <v>173.94837340693985</v>
      </c>
      <c r="V216">
        <v>208</v>
      </c>
      <c r="W216">
        <v>290.76499017162303</v>
      </c>
      <c r="AK216">
        <f>SMALL('Iter No Test'!$Q$9:$Q$508,214)</f>
        <v>194.21103712599128</v>
      </c>
      <c r="AL216">
        <f>1/(COUNT('Iter No Test'!$Q$9:$Q$508)-1)+$AL$215</f>
        <v>0.42685370741483003</v>
      </c>
      <c r="AN216">
        <f>SMALL('Iter No Test'!$T$9:$T$1008,214)</f>
        <v>145.5483044461597</v>
      </c>
      <c r="AO216">
        <f>1/(COUNT('Iter No Test'!$T$9:$T$1008)-1)+$AO$215</f>
        <v>0.2132132132132139</v>
      </c>
      <c r="AQ216">
        <f>SMALL('Iter No Test'!$W$9:$W$5008,214)</f>
        <v>76.240616357908124</v>
      </c>
      <c r="AR216">
        <f>1/(COUNT('Iter No Test'!$W$9:$W$5008)-1)+$AR$215</f>
        <v>4.2608521704340797E-2</v>
      </c>
    </row>
    <row r="217" spans="8:44">
      <c r="H217" s="1"/>
      <c r="M217" t="s">
        <v>47</v>
      </c>
      <c r="N217" t="s">
        <v>29</v>
      </c>
      <c r="P217">
        <v>209</v>
      </c>
      <c r="Q217">
        <v>350.91039763251166</v>
      </c>
      <c r="S217">
        <v>209</v>
      </c>
      <c r="T217">
        <v>323.95600286524302</v>
      </c>
      <c r="V217">
        <v>209</v>
      </c>
      <c r="W217">
        <v>274.17786303801506</v>
      </c>
      <c r="AK217">
        <f>SMALL('Iter No Test'!$Q$9:$Q$508,215)</f>
        <v>194.64716537415728</v>
      </c>
      <c r="AL217">
        <f>1/(COUNT('Iter No Test'!$Q$9:$Q$508)-1)+$AL$216</f>
        <v>0.4288577154308621</v>
      </c>
      <c r="AN217">
        <f>SMALL('Iter No Test'!$T$9:$T$1008,215)</f>
        <v>145.90973967557807</v>
      </c>
      <c r="AO217">
        <f>1/(COUNT('Iter No Test'!$T$9:$T$1008)-1)+$AO$216</f>
        <v>0.21421421421421491</v>
      </c>
      <c r="AQ217">
        <f>SMALL('Iter No Test'!$W$9:$W$5008,215)</f>
        <v>76.262742292348193</v>
      </c>
      <c r="AR217">
        <f>1/(COUNT('Iter No Test'!$W$9:$W$5008)-1)+$AR$216</f>
        <v>4.2808561712342395E-2</v>
      </c>
    </row>
    <row r="218" spans="8:44">
      <c r="H218" s="1"/>
      <c r="M218" t="s">
        <v>48</v>
      </c>
      <c r="P218">
        <v>210</v>
      </c>
      <c r="Q218">
        <v>195.5960268836229</v>
      </c>
      <c r="S218">
        <v>210</v>
      </c>
      <c r="T218">
        <v>208.82034667041205</v>
      </c>
      <c r="V218">
        <v>210</v>
      </c>
      <c r="W218">
        <v>193.20849901234521</v>
      </c>
      <c r="AK218">
        <f>SMALL('Iter No Test'!$Q$9:$Q$508,216)</f>
        <v>195.5960268836229</v>
      </c>
      <c r="AL218">
        <f>1/(COUNT('Iter No Test'!$Q$9:$Q$508)-1)+$AL$217</f>
        <v>0.43086172344689416</v>
      </c>
      <c r="AN218">
        <f>SMALL('Iter No Test'!$T$9:$T$1008,216)</f>
        <v>146.35930364513408</v>
      </c>
      <c r="AO218">
        <f>1/(COUNT('Iter No Test'!$T$9:$T$1008)-1)+$AO$217</f>
        <v>0.21521521521521592</v>
      </c>
      <c r="AQ218">
        <f>SMALL('Iter No Test'!$W$9:$W$5008,216)</f>
        <v>76.491686697253328</v>
      </c>
      <c r="AR218">
        <f>1/(COUNT('Iter No Test'!$W$9:$W$5008)-1)+$AR$217</f>
        <v>4.3008601720343993E-2</v>
      </c>
    </row>
    <row r="219" spans="8:44">
      <c r="H219" s="1"/>
      <c r="M219" t="s">
        <v>49</v>
      </c>
      <c r="N219" t="s">
        <v>29</v>
      </c>
      <c r="P219">
        <v>211</v>
      </c>
      <c r="Q219">
        <v>280.62113708708011</v>
      </c>
      <c r="S219">
        <v>211</v>
      </c>
      <c r="T219">
        <v>191.53566914440208</v>
      </c>
      <c r="V219">
        <v>211</v>
      </c>
      <c r="W219">
        <v>175.062898888295</v>
      </c>
      <c r="AK219">
        <f>SMALL('Iter No Test'!$Q$9:$Q$508,217)</f>
        <v>195.77332549228936</v>
      </c>
      <c r="AL219">
        <f>1/(COUNT('Iter No Test'!$Q$9:$Q$508)-1)+$AL$218</f>
        <v>0.43286573146292623</v>
      </c>
      <c r="AN219">
        <f>SMALL('Iter No Test'!$T$9:$T$1008,217)</f>
        <v>146.5120541401314</v>
      </c>
      <c r="AO219">
        <f>1/(COUNT('Iter No Test'!$T$9:$T$1008)-1)+$AO$218</f>
        <v>0.21621621621621692</v>
      </c>
      <c r="AQ219">
        <f>SMALL('Iter No Test'!$W$9:$W$5008,217)</f>
        <v>76.6515814051902</v>
      </c>
      <c r="AR219">
        <f>1/(COUNT('Iter No Test'!$W$9:$W$5008)-1)+$AR$218</f>
        <v>4.3208641728345591E-2</v>
      </c>
    </row>
    <row r="220" spans="8:44">
      <c r="H220" s="1"/>
      <c r="P220">
        <v>212</v>
      </c>
      <c r="Q220">
        <v>210.14380092638368</v>
      </c>
      <c r="S220">
        <v>212</v>
      </c>
      <c r="T220">
        <v>19.632623444919062</v>
      </c>
      <c r="V220">
        <v>212</v>
      </c>
      <c r="W220">
        <v>76.491686697253328</v>
      </c>
      <c r="AK220">
        <f>SMALL('Iter No Test'!$Q$9:$Q$508,218)</f>
        <v>195.91508246919011</v>
      </c>
      <c r="AL220">
        <f>1/(COUNT('Iter No Test'!$Q$9:$Q$508)-1)+$AL$219</f>
        <v>0.43486973947895829</v>
      </c>
      <c r="AN220">
        <f>SMALL('Iter No Test'!$T$9:$T$1008,218)</f>
        <v>146.52381834582113</v>
      </c>
      <c r="AO220">
        <f>1/(COUNT('Iter No Test'!$T$9:$T$1008)-1)+$AO$219</f>
        <v>0.21721721721721793</v>
      </c>
      <c r="AQ220">
        <f>SMALL('Iter No Test'!$W$9:$W$5008,218)</f>
        <v>76.888223457162297</v>
      </c>
      <c r="AR220">
        <f>1/(COUNT('Iter No Test'!$W$9:$W$5008)-1)+$AR$219</f>
        <v>4.3408681736347189E-2</v>
      </c>
    </row>
    <row r="221" spans="8:44">
      <c r="H221" s="1"/>
      <c r="P221">
        <v>213</v>
      </c>
      <c r="Q221">
        <v>272.37638565527504</v>
      </c>
      <c r="S221">
        <v>213</v>
      </c>
      <c r="T221">
        <v>98.462473595796027</v>
      </c>
      <c r="V221">
        <v>213</v>
      </c>
      <c r="W221">
        <v>205.8687042473552</v>
      </c>
      <c r="AK221">
        <f>SMALL('Iter No Test'!$Q$9:$Q$508,219)</f>
        <v>195.96202998781132</v>
      </c>
      <c r="AL221">
        <f>1/(COUNT('Iter No Test'!$Q$9:$Q$508)-1)+$AL$220</f>
        <v>0.43687374749499036</v>
      </c>
      <c r="AN221">
        <f>SMALL('Iter No Test'!$T$9:$T$1008,219)</f>
        <v>147.06162612972233</v>
      </c>
      <c r="AO221">
        <f>1/(COUNT('Iter No Test'!$T$9:$T$1008)-1)+$AO$220</f>
        <v>0.21821821821821893</v>
      </c>
      <c r="AQ221">
        <f>SMALL('Iter No Test'!$W$9:$W$5008,219)</f>
        <v>77.301418178489868</v>
      </c>
      <c r="AR221">
        <f>1/(COUNT('Iter No Test'!$W$9:$W$5008)-1)+$AR$220</f>
        <v>4.3608721744348787E-2</v>
      </c>
    </row>
    <row r="222" spans="8:44">
      <c r="H222" s="1"/>
      <c r="P222">
        <v>214</v>
      </c>
      <c r="Q222">
        <v>271.117105152401</v>
      </c>
      <c r="S222">
        <v>214</v>
      </c>
      <c r="T222">
        <v>173.31165027480893</v>
      </c>
      <c r="V222">
        <v>214</v>
      </c>
      <c r="W222">
        <v>151.15475168133497</v>
      </c>
      <c r="AK222">
        <f>SMALL('Iter No Test'!$Q$9:$Q$508,220)</f>
        <v>196.07200826797197</v>
      </c>
      <c r="AL222">
        <f>1/(COUNT('Iter No Test'!$Q$9:$Q$508)-1)+$AL$221</f>
        <v>0.43887775551102243</v>
      </c>
      <c r="AN222">
        <f>SMALL('Iter No Test'!$T$9:$T$1008,220)</f>
        <v>147.41777656252847</v>
      </c>
      <c r="AO222">
        <f>1/(COUNT('Iter No Test'!$T$9:$T$1008)-1)+$AO$221</f>
        <v>0.21921921921921994</v>
      </c>
      <c r="AQ222">
        <f>SMALL('Iter No Test'!$W$9:$W$5008,220)</f>
        <v>77.478491301923185</v>
      </c>
      <c r="AR222">
        <f>1/(COUNT('Iter No Test'!$W$9:$W$5008)-1)+$AR$221</f>
        <v>4.3808761752350385E-2</v>
      </c>
    </row>
    <row r="223" spans="8:44">
      <c r="H223" s="1"/>
      <c r="P223">
        <v>215</v>
      </c>
      <c r="Q223">
        <v>231.77129651064723</v>
      </c>
      <c r="S223">
        <v>215</v>
      </c>
      <c r="T223">
        <v>199.36227555514998</v>
      </c>
      <c r="V223">
        <v>215</v>
      </c>
      <c r="W223">
        <v>224.39560812757475</v>
      </c>
      <c r="AK223">
        <f>SMALL('Iter No Test'!$Q$9:$Q$508,221)</f>
        <v>196.20112025073922</v>
      </c>
      <c r="AL223">
        <f>1/(COUNT('Iter No Test'!$Q$9:$Q$508)-1)+$AL$222</f>
        <v>0.44088176352705449</v>
      </c>
      <c r="AN223">
        <f>SMALL('Iter No Test'!$T$9:$T$1008,221)</f>
        <v>147.51038668421788</v>
      </c>
      <c r="AO223">
        <f>1/(COUNT('Iter No Test'!$T$9:$T$1008)-1)+$AO$222</f>
        <v>0.22022022022022095</v>
      </c>
      <c r="AQ223">
        <f>SMALL('Iter No Test'!$W$9:$W$5008,221)</f>
        <v>77.787171965939805</v>
      </c>
      <c r="AR223">
        <f>1/(COUNT('Iter No Test'!$W$9:$W$5008)-1)+$AR$222</f>
        <v>4.4008801760351983E-2</v>
      </c>
    </row>
    <row r="224" spans="8:44">
      <c r="H224" s="1"/>
      <c r="P224">
        <v>216</v>
      </c>
      <c r="Q224">
        <v>154.57906678178853</v>
      </c>
      <c r="S224">
        <v>216</v>
      </c>
      <c r="T224">
        <v>271.66291511198602</v>
      </c>
      <c r="V224">
        <v>216</v>
      </c>
      <c r="W224">
        <v>413.04467985659647</v>
      </c>
      <c r="AK224">
        <f>SMALL('Iter No Test'!$Q$9:$Q$508,222)</f>
        <v>196.39796240857714</v>
      </c>
      <c r="AL224">
        <f>1/(COUNT('Iter No Test'!$Q$9:$Q$508)-1)+$AL$223</f>
        <v>0.44288577154308656</v>
      </c>
      <c r="AN224">
        <f>SMALL('Iter No Test'!$T$9:$T$1008,222)</f>
        <v>147.69565881895522</v>
      </c>
      <c r="AO224">
        <f>1/(COUNT('Iter No Test'!$T$9:$T$1008)-1)+$AO$223</f>
        <v>0.22122122122122195</v>
      </c>
      <c r="AQ224">
        <f>SMALL('Iter No Test'!$W$9:$W$5008,222)</f>
        <v>77.862913535017483</v>
      </c>
      <c r="AR224">
        <f>1/(COUNT('Iter No Test'!$W$9:$W$5008)-1)+$AR$223</f>
        <v>4.4208841768353581E-2</v>
      </c>
    </row>
    <row r="225" spans="8:44">
      <c r="H225" s="1"/>
      <c r="P225">
        <v>217</v>
      </c>
      <c r="Q225">
        <v>116.76413298313086</v>
      </c>
      <c r="S225">
        <v>217</v>
      </c>
      <c r="T225">
        <v>181.78586759986547</v>
      </c>
      <c r="V225">
        <v>217</v>
      </c>
      <c r="W225">
        <v>197.32939196388477</v>
      </c>
      <c r="AK225">
        <f>SMALL('Iter No Test'!$Q$9:$Q$508,223)</f>
        <v>196.48786764130503</v>
      </c>
      <c r="AL225">
        <f>1/(COUNT('Iter No Test'!$Q$9:$Q$508)-1)+$AL$224</f>
        <v>0.44488977955911863</v>
      </c>
      <c r="AN225">
        <f>SMALL('Iter No Test'!$T$9:$T$1008,223)</f>
        <v>147.87775872745547</v>
      </c>
      <c r="AO225">
        <f>1/(COUNT('Iter No Test'!$T$9:$T$1008)-1)+$AO$224</f>
        <v>0.22222222222222296</v>
      </c>
      <c r="AQ225">
        <f>SMALL('Iter No Test'!$W$9:$W$5008,223)</f>
        <v>78.020830613609348</v>
      </c>
      <c r="AR225">
        <f>1/(COUNT('Iter No Test'!$W$9:$W$5008)-1)+$AR$224</f>
        <v>4.4408881776355179E-2</v>
      </c>
    </row>
    <row r="226" spans="8:44">
      <c r="H226" s="1"/>
      <c r="P226">
        <v>218</v>
      </c>
      <c r="Q226">
        <v>142.79277601844171</v>
      </c>
      <c r="S226">
        <v>218</v>
      </c>
      <c r="T226">
        <v>237.98056306015613</v>
      </c>
      <c r="V226">
        <v>218</v>
      </c>
      <c r="W226">
        <v>222.15566905155373</v>
      </c>
      <c r="AK226">
        <f>SMALL('Iter No Test'!$Q$9:$Q$508,224)</f>
        <v>196.61428248431241</v>
      </c>
      <c r="AL226">
        <f>1/(COUNT('Iter No Test'!$Q$9:$Q$508)-1)+$AL$225</f>
        <v>0.44689378757515069</v>
      </c>
      <c r="AN226">
        <f>SMALL('Iter No Test'!$T$9:$T$1008,224)</f>
        <v>148.01355790099552</v>
      </c>
      <c r="AO226">
        <f>1/(COUNT('Iter No Test'!$T$9:$T$1008)-1)+$AO$225</f>
        <v>0.22322322322322397</v>
      </c>
      <c r="AQ226">
        <f>SMALL('Iter No Test'!$W$9:$W$5008,224)</f>
        <v>78.116813448867234</v>
      </c>
      <c r="AR226">
        <f>1/(COUNT('Iter No Test'!$W$9:$W$5008)-1)+$AR$225</f>
        <v>4.4608921784356777E-2</v>
      </c>
    </row>
    <row r="227" spans="8:44">
      <c r="H227" s="1"/>
      <c r="P227">
        <v>219</v>
      </c>
      <c r="Q227">
        <v>212.6259061060384</v>
      </c>
      <c r="S227">
        <v>219</v>
      </c>
      <c r="T227">
        <v>142.05965120400344</v>
      </c>
      <c r="V227">
        <v>219</v>
      </c>
      <c r="W227">
        <v>124.65217746806668</v>
      </c>
      <c r="AK227">
        <f>SMALL('Iter No Test'!$Q$9:$Q$508,225)</f>
        <v>196.95509825659497</v>
      </c>
      <c r="AL227">
        <f>1/(COUNT('Iter No Test'!$Q$9:$Q$508)-1)+$AL$226</f>
        <v>0.44889779559118276</v>
      </c>
      <c r="AN227">
        <f>SMALL('Iter No Test'!$T$9:$T$1008,225)</f>
        <v>148.2775225689229</v>
      </c>
      <c r="AO227">
        <f>1/(COUNT('Iter No Test'!$T$9:$T$1008)-1)+$AO$226</f>
        <v>0.22422422422422497</v>
      </c>
      <c r="AQ227">
        <f>SMALL('Iter No Test'!$W$9:$W$5008,225)</f>
        <v>78.127774018851511</v>
      </c>
      <c r="AR227">
        <f>1/(COUNT('Iter No Test'!$W$9:$W$5008)-1)+$AR$226</f>
        <v>4.4808961792358375E-2</v>
      </c>
    </row>
    <row r="228" spans="8:44">
      <c r="H228" s="1"/>
      <c r="P228">
        <v>220</v>
      </c>
      <c r="Q228">
        <v>186.34655754333104</v>
      </c>
      <c r="S228">
        <v>220</v>
      </c>
      <c r="T228">
        <v>287.14134291233574</v>
      </c>
      <c r="V228">
        <v>220</v>
      </c>
      <c r="W228">
        <v>167.37867600194926</v>
      </c>
      <c r="AK228">
        <f>SMALL('Iter No Test'!$Q$9:$Q$508,226)</f>
        <v>197.55612540292299</v>
      </c>
      <c r="AL228">
        <f>1/(COUNT('Iter No Test'!$Q$9:$Q$508)-1)+$AL$227</f>
        <v>0.45090180360721482</v>
      </c>
      <c r="AN228">
        <f>SMALL('Iter No Test'!$T$9:$T$1008,226)</f>
        <v>148.76553783308435</v>
      </c>
      <c r="AO228">
        <f>1/(COUNT('Iter No Test'!$T$9:$T$1008)-1)+$AO$227</f>
        <v>0.22522522522522598</v>
      </c>
      <c r="AQ228">
        <f>SMALL('Iter No Test'!$W$9:$W$5008,226)</f>
        <v>78.215300936418501</v>
      </c>
      <c r="AR228">
        <f>1/(COUNT('Iter No Test'!$W$9:$W$5008)-1)+$AR$227</f>
        <v>4.5009001800359973E-2</v>
      </c>
    </row>
    <row r="229" spans="8:44">
      <c r="H229" s="1"/>
      <c r="P229">
        <v>221</v>
      </c>
      <c r="Q229">
        <v>204.38938935943818</v>
      </c>
      <c r="S229">
        <v>221</v>
      </c>
      <c r="T229">
        <v>196.94067016017206</v>
      </c>
      <c r="V229">
        <v>221</v>
      </c>
      <c r="W229">
        <v>180.42996238968388</v>
      </c>
      <c r="AK229">
        <f>SMALL('Iter No Test'!$Q$9:$Q$508,227)</f>
        <v>197.88056788888576</v>
      </c>
      <c r="AL229">
        <f>1/(COUNT('Iter No Test'!$Q$9:$Q$508)-1)+$AL$228</f>
        <v>0.45290581162324689</v>
      </c>
      <c r="AN229">
        <f>SMALL('Iter No Test'!$T$9:$T$1008,227)</f>
        <v>148.82628756805462</v>
      </c>
      <c r="AO229">
        <f>1/(COUNT('Iter No Test'!$T$9:$T$1008)-1)+$AO$228</f>
        <v>0.22622622622622698</v>
      </c>
      <c r="AQ229">
        <f>SMALL('Iter No Test'!$W$9:$W$5008,227)</f>
        <v>78.39406132109103</v>
      </c>
      <c r="AR229">
        <f>1/(COUNT('Iter No Test'!$W$9:$W$5008)-1)+$AR$228</f>
        <v>4.5209041808361571E-2</v>
      </c>
    </row>
    <row r="230" spans="8:44">
      <c r="H230" s="1"/>
      <c r="P230">
        <v>222</v>
      </c>
      <c r="Q230">
        <v>259.28511049200648</v>
      </c>
      <c r="S230">
        <v>222</v>
      </c>
      <c r="T230">
        <v>306.05523240130162</v>
      </c>
      <c r="V230">
        <v>222</v>
      </c>
      <c r="W230">
        <v>164.1305439458134</v>
      </c>
      <c r="AK230">
        <f>SMALL('Iter No Test'!$Q$9:$Q$508,228)</f>
        <v>197.91738320259446</v>
      </c>
      <c r="AL230">
        <f>1/(COUNT('Iter No Test'!$Q$9:$Q$508)-1)+$AL$229</f>
        <v>0.45490981963927896</v>
      </c>
      <c r="AN230">
        <f>SMALL('Iter No Test'!$T$9:$T$1008,228)</f>
        <v>148.92495135456554</v>
      </c>
      <c r="AO230">
        <f>1/(COUNT('Iter No Test'!$T$9:$T$1008)-1)+$AO$229</f>
        <v>0.22722722722722799</v>
      </c>
      <c r="AQ230">
        <f>SMALL('Iter No Test'!$W$9:$W$5008,228)</f>
        <v>78.502617180320783</v>
      </c>
      <c r="AR230">
        <f>1/(COUNT('Iter No Test'!$W$9:$W$5008)-1)+$AR$229</f>
        <v>4.5409081816363168E-2</v>
      </c>
    </row>
    <row r="231" spans="8:44">
      <c r="H231" s="1"/>
      <c r="P231">
        <v>223</v>
      </c>
      <c r="Q231">
        <v>152.05400472197837</v>
      </c>
      <c r="S231">
        <v>223</v>
      </c>
      <c r="T231">
        <v>227.08345171470935</v>
      </c>
      <c r="V231">
        <v>223</v>
      </c>
      <c r="W231">
        <v>180.62084833034797</v>
      </c>
      <c r="AK231">
        <f>SMALL('Iter No Test'!$Q$9:$Q$508,229)</f>
        <v>199.49709330482702</v>
      </c>
      <c r="AL231">
        <f>1/(COUNT('Iter No Test'!$Q$9:$Q$508)-1)+$AL$230</f>
        <v>0.45691382765531102</v>
      </c>
      <c r="AN231">
        <f>SMALL('Iter No Test'!$T$9:$T$1008,229)</f>
        <v>149.07498549653121</v>
      </c>
      <c r="AO231">
        <f>1/(COUNT('Iter No Test'!$T$9:$T$1008)-1)+$AO$230</f>
        <v>0.228228228228229</v>
      </c>
      <c r="AQ231">
        <f>SMALL('Iter No Test'!$W$9:$W$5008,229)</f>
        <v>78.754086821234878</v>
      </c>
      <c r="AR231">
        <f>1/(COUNT('Iter No Test'!$W$9:$W$5008)-1)+$AR$230</f>
        <v>4.5609121824364766E-2</v>
      </c>
    </row>
    <row r="232" spans="8:44">
      <c r="H232" s="1"/>
      <c r="P232">
        <v>224</v>
      </c>
      <c r="Q232">
        <v>70.740664378143222</v>
      </c>
      <c r="S232">
        <v>224</v>
      </c>
      <c r="T232">
        <v>196.83536326679661</v>
      </c>
      <c r="V232">
        <v>224</v>
      </c>
      <c r="W232">
        <v>92.735773731551973</v>
      </c>
      <c r="AK232">
        <f>SMALL('Iter No Test'!$Q$9:$Q$508,230)</f>
        <v>199.59617391136379</v>
      </c>
      <c r="AL232">
        <f>1/(COUNT('Iter No Test'!$Q$9:$Q$508)-1)+$AL$231</f>
        <v>0.45891783567134309</v>
      </c>
      <c r="AN232">
        <f>SMALL('Iter No Test'!$T$9:$T$1008,230)</f>
        <v>149.13961358642462</v>
      </c>
      <c r="AO232">
        <f>1/(COUNT('Iter No Test'!$T$9:$T$1008)-1)+$AO$231</f>
        <v>0.22922922922923</v>
      </c>
      <c r="AQ232">
        <f>SMALL('Iter No Test'!$W$9:$W$5008,230)</f>
        <v>78.809304095315483</v>
      </c>
      <c r="AR232">
        <f>1/(COUNT('Iter No Test'!$W$9:$W$5008)-1)+$AR$231</f>
        <v>4.5809161832366364E-2</v>
      </c>
    </row>
    <row r="233" spans="8:44">
      <c r="H233" s="1"/>
      <c r="P233">
        <v>225</v>
      </c>
      <c r="Q233">
        <v>156.75542571750236</v>
      </c>
      <c r="S233">
        <v>225</v>
      </c>
      <c r="T233">
        <v>158.71137170186157</v>
      </c>
      <c r="V233">
        <v>225</v>
      </c>
      <c r="W233">
        <v>144.04044921225287</v>
      </c>
      <c r="AK233">
        <f>SMALL('Iter No Test'!$Q$9:$Q$508,231)</f>
        <v>199.63713426805532</v>
      </c>
      <c r="AL233">
        <f>1/(COUNT('Iter No Test'!$Q$9:$Q$508)-1)+$AL$232</f>
        <v>0.46092184368737515</v>
      </c>
      <c r="AN233">
        <f>SMALL('Iter No Test'!$T$9:$T$1008,231)</f>
        <v>149.65882542010775</v>
      </c>
      <c r="AO233">
        <f>1/(COUNT('Iter No Test'!$T$9:$T$1008)-1)+$AO$232</f>
        <v>0.23023023023023101</v>
      </c>
      <c r="AQ233">
        <f>SMALL('Iter No Test'!$W$9:$W$5008,231)</f>
        <v>79.268823326834024</v>
      </c>
      <c r="AR233">
        <f>1/(COUNT('Iter No Test'!$W$9:$W$5008)-1)+$AR$232</f>
        <v>4.6009201840367962E-2</v>
      </c>
    </row>
    <row r="234" spans="8:44">
      <c r="H234" s="1"/>
      <c r="P234">
        <v>226</v>
      </c>
      <c r="Q234">
        <v>310.34052135240347</v>
      </c>
      <c r="S234">
        <v>226</v>
      </c>
      <c r="T234">
        <v>369.68917156804014</v>
      </c>
      <c r="V234">
        <v>226</v>
      </c>
      <c r="W234">
        <v>333.25042529323349</v>
      </c>
      <c r="AK234">
        <f>SMALL('Iter No Test'!$Q$9:$Q$508,232)</f>
        <v>199.68472434823585</v>
      </c>
      <c r="AL234">
        <f>1/(COUNT('Iter No Test'!$Q$9:$Q$508)-1)+$AL$233</f>
        <v>0.46292585170340722</v>
      </c>
      <c r="AN234">
        <f>SMALL('Iter No Test'!$T$9:$T$1008,232)</f>
        <v>150.5252106816456</v>
      </c>
      <c r="AO234">
        <f>1/(COUNT('Iter No Test'!$T$9:$T$1008)-1)+$AO$233</f>
        <v>0.23123123123123202</v>
      </c>
      <c r="AQ234">
        <f>SMALL('Iter No Test'!$W$9:$W$5008,232)</f>
        <v>79.364515913957433</v>
      </c>
      <c r="AR234">
        <f>1/(COUNT('Iter No Test'!$W$9:$W$5008)-1)+$AR$233</f>
        <v>4.620924184836956E-2</v>
      </c>
    </row>
    <row r="235" spans="8:44">
      <c r="H235" s="1"/>
      <c r="P235">
        <v>227</v>
      </c>
      <c r="Q235">
        <v>88.698099921575874</v>
      </c>
      <c r="S235">
        <v>227</v>
      </c>
      <c r="T235">
        <v>453.38501691163447</v>
      </c>
      <c r="V235">
        <v>227</v>
      </c>
      <c r="W235">
        <v>403.21469225203356</v>
      </c>
      <c r="AK235">
        <f>SMALL('Iter No Test'!$Q$9:$Q$508,233)</f>
        <v>200.03125093386092</v>
      </c>
      <c r="AL235">
        <f>1/(COUNT('Iter No Test'!$Q$9:$Q$508)-1)+$AL$234</f>
        <v>0.46492985971943929</v>
      </c>
      <c r="AN235">
        <f>SMALL('Iter No Test'!$T$9:$T$1008,233)</f>
        <v>151.66657554913888</v>
      </c>
      <c r="AO235">
        <f>1/(COUNT('Iter No Test'!$T$9:$T$1008)-1)+$AO$234</f>
        <v>0.23223223223223302</v>
      </c>
      <c r="AQ235">
        <f>SMALL('Iter No Test'!$W$9:$W$5008,233)</f>
        <v>79.447709563955527</v>
      </c>
      <c r="AR235">
        <f>1/(COUNT('Iter No Test'!$W$9:$W$5008)-1)+$AR$234</f>
        <v>4.6409281856371158E-2</v>
      </c>
    </row>
    <row r="236" spans="8:44">
      <c r="H236" s="1"/>
      <c r="P236">
        <v>228</v>
      </c>
      <c r="Q236">
        <v>209.42610963698544</v>
      </c>
      <c r="S236">
        <v>228</v>
      </c>
      <c r="T236">
        <v>175.26901928176045</v>
      </c>
      <c r="V236">
        <v>228</v>
      </c>
      <c r="W236">
        <v>190.06088653561497</v>
      </c>
      <c r="AK236">
        <f>SMALL('Iter No Test'!$Q$9:$Q$508,234)</f>
        <v>200.08502857174264</v>
      </c>
      <c r="AL236">
        <f>1/(COUNT('Iter No Test'!$Q$9:$Q$508)-1)+$AL$235</f>
        <v>0.46693386773547135</v>
      </c>
      <c r="AN236">
        <f>SMALL('Iter No Test'!$T$9:$T$1008,234)</f>
        <v>151.72827966860737</v>
      </c>
      <c r="AO236">
        <f>1/(COUNT('Iter No Test'!$T$9:$T$1008)-1)+$AO$235</f>
        <v>0.23323323323323403</v>
      </c>
      <c r="AQ236">
        <f>SMALL('Iter No Test'!$W$9:$W$5008,234)</f>
        <v>79.812192918207629</v>
      </c>
      <c r="AR236">
        <f>1/(COUNT('Iter No Test'!$W$9:$W$5008)-1)+$AR$235</f>
        <v>4.6609321864372756E-2</v>
      </c>
    </row>
    <row r="237" spans="8:44">
      <c r="H237" s="1"/>
      <c r="P237">
        <v>229</v>
      </c>
      <c r="Q237">
        <v>138.81332257807225</v>
      </c>
      <c r="S237">
        <v>229</v>
      </c>
      <c r="T237">
        <v>310.65795825813944</v>
      </c>
      <c r="V237">
        <v>229</v>
      </c>
      <c r="W237">
        <v>65.11578504733771</v>
      </c>
      <c r="AK237">
        <f>SMALL('Iter No Test'!$Q$9:$Q$508,235)</f>
        <v>200.26596805689485</v>
      </c>
      <c r="AL237">
        <f>1/(COUNT('Iter No Test'!$Q$9:$Q$508)-1)+$AL$236</f>
        <v>0.46893787575150342</v>
      </c>
      <c r="AN237">
        <f>SMALL('Iter No Test'!$T$9:$T$1008,235)</f>
        <v>151.9007593620658</v>
      </c>
      <c r="AO237">
        <f>1/(COUNT('Iter No Test'!$T$9:$T$1008)-1)+$AO$236</f>
        <v>0.23423423423423503</v>
      </c>
      <c r="AQ237">
        <f>SMALL('Iter No Test'!$W$9:$W$5008,235)</f>
        <v>80.176808328860716</v>
      </c>
      <c r="AR237">
        <f>1/(COUNT('Iter No Test'!$W$9:$W$5008)-1)+$AR$236</f>
        <v>4.6809361872374354E-2</v>
      </c>
    </row>
    <row r="238" spans="8:44">
      <c r="H238" s="1"/>
      <c r="P238">
        <v>230</v>
      </c>
      <c r="Q238">
        <v>148.04269792338241</v>
      </c>
      <c r="S238">
        <v>230</v>
      </c>
      <c r="T238">
        <v>317.54843589239982</v>
      </c>
      <c r="V238">
        <v>230</v>
      </c>
      <c r="W238">
        <v>259.02802893932113</v>
      </c>
      <c r="AK238">
        <f>SMALL('Iter No Test'!$Q$9:$Q$508,236)</f>
        <v>200.59346921392788</v>
      </c>
      <c r="AL238">
        <f>1/(COUNT('Iter No Test'!$Q$9:$Q$508)-1)+$AL$237</f>
        <v>0.47094188376753549</v>
      </c>
      <c r="AN238">
        <f>SMALL('Iter No Test'!$T$9:$T$1008,236)</f>
        <v>152.23228876952982</v>
      </c>
      <c r="AO238">
        <f>1/(COUNT('Iter No Test'!$T$9:$T$1008)-1)+$AO$237</f>
        <v>0.23523523523523604</v>
      </c>
      <c r="AQ238">
        <f>SMALL('Iter No Test'!$W$9:$W$5008,236)</f>
        <v>80.231445056373673</v>
      </c>
      <c r="AR238">
        <f>1/(COUNT('Iter No Test'!$W$9:$W$5008)-1)+$AR$237</f>
        <v>4.7009401880375952E-2</v>
      </c>
    </row>
    <row r="239" spans="8:44">
      <c r="H239" s="1"/>
      <c r="P239">
        <v>231</v>
      </c>
      <c r="Q239">
        <v>312.65367437356304</v>
      </c>
      <c r="S239">
        <v>231</v>
      </c>
      <c r="T239">
        <v>295.66921024258204</v>
      </c>
      <c r="V239">
        <v>231</v>
      </c>
      <c r="W239">
        <v>214.22249946310711</v>
      </c>
      <c r="AK239">
        <f>SMALL('Iter No Test'!$Q$9:$Q$508,237)</f>
        <v>200.77025904240463</v>
      </c>
      <c r="AL239">
        <f>1/(COUNT('Iter No Test'!$Q$9:$Q$508)-1)+$AL$238</f>
        <v>0.47294589178356755</v>
      </c>
      <c r="AN239">
        <f>SMALL('Iter No Test'!$T$9:$T$1008,237)</f>
        <v>152.43876700329844</v>
      </c>
      <c r="AO239">
        <f>1/(COUNT('Iter No Test'!$T$9:$T$1008)-1)+$AO$238</f>
        <v>0.23623623623623705</v>
      </c>
      <c r="AQ239">
        <f>SMALL('Iter No Test'!$W$9:$W$5008,237)</f>
        <v>80.231807182384841</v>
      </c>
      <c r="AR239">
        <f>1/(COUNT('Iter No Test'!$W$9:$W$5008)-1)+$AR$238</f>
        <v>4.720944188837755E-2</v>
      </c>
    </row>
    <row r="240" spans="8:44">
      <c r="H240" s="1"/>
      <c r="P240">
        <v>232</v>
      </c>
      <c r="Q240">
        <v>73.91606253114827</v>
      </c>
      <c r="S240">
        <v>232</v>
      </c>
      <c r="T240">
        <v>258.39333460574449</v>
      </c>
      <c r="V240">
        <v>232</v>
      </c>
      <c r="W240">
        <v>231.02478998587489</v>
      </c>
      <c r="AK240">
        <f>SMALL('Iter No Test'!$Q$9:$Q$508,238)</f>
        <v>202.2892724353392</v>
      </c>
      <c r="AL240">
        <f>1/(COUNT('Iter No Test'!$Q$9:$Q$508)-1)+$AL$239</f>
        <v>0.47494989979959962</v>
      </c>
      <c r="AN240">
        <f>SMALL('Iter No Test'!$T$9:$T$1008,238)</f>
        <v>152.91119230749553</v>
      </c>
      <c r="AO240">
        <f>1/(COUNT('Iter No Test'!$T$9:$T$1008)-1)+$AO$239</f>
        <v>0.23723723723723805</v>
      </c>
      <c r="AQ240">
        <f>SMALL('Iter No Test'!$W$9:$W$5008,238)</f>
        <v>80.237003644753827</v>
      </c>
      <c r="AR240">
        <f>1/(COUNT('Iter No Test'!$W$9:$W$5008)-1)+$AR$239</f>
        <v>4.7409481896379148E-2</v>
      </c>
    </row>
    <row r="241" spans="8:44">
      <c r="H241" s="1"/>
      <c r="P241">
        <v>233</v>
      </c>
      <c r="Q241">
        <v>211.66092463189537</v>
      </c>
      <c r="S241">
        <v>233</v>
      </c>
      <c r="T241">
        <v>308.36966402767024</v>
      </c>
      <c r="V241">
        <v>233</v>
      </c>
      <c r="W241">
        <v>317.05122993191901</v>
      </c>
      <c r="AK241">
        <f>SMALL('Iter No Test'!$Q$9:$Q$508,239)</f>
        <v>202.61130338941089</v>
      </c>
      <c r="AL241">
        <f>1/(COUNT('Iter No Test'!$Q$9:$Q$508)-1)+$AL$240</f>
        <v>0.47695390781563168</v>
      </c>
      <c r="AN241">
        <f>SMALL('Iter No Test'!$T$9:$T$1008,239)</f>
        <v>153.02415741019138</v>
      </c>
      <c r="AO241">
        <f>1/(COUNT('Iter No Test'!$T$9:$T$1008)-1)+$AO$240</f>
        <v>0.23823823823823906</v>
      </c>
      <c r="AQ241">
        <f>SMALL('Iter No Test'!$W$9:$W$5008,239)</f>
        <v>80.337769251676306</v>
      </c>
      <c r="AR241">
        <f>1/(COUNT('Iter No Test'!$W$9:$W$5008)-1)+$AR$240</f>
        <v>4.7609521904380746E-2</v>
      </c>
    </row>
    <row r="242" spans="8:44">
      <c r="H242" s="1"/>
      <c r="P242">
        <v>234</v>
      </c>
      <c r="Q242">
        <v>229.38440538107147</v>
      </c>
      <c r="S242">
        <v>234</v>
      </c>
      <c r="T242">
        <v>195.80392568604927</v>
      </c>
      <c r="V242">
        <v>234</v>
      </c>
      <c r="W242">
        <v>151.10010381760952</v>
      </c>
      <c r="AK242">
        <f>SMALL('Iter No Test'!$Q$9:$Q$508,240)</f>
        <v>203.13610904656559</v>
      </c>
      <c r="AL242">
        <f>1/(COUNT('Iter No Test'!$Q$9:$Q$508)-1)+$AL$241</f>
        <v>0.47895791583166375</v>
      </c>
      <c r="AN242">
        <f>SMALL('Iter No Test'!$T$9:$T$1008,240)</f>
        <v>153.08579132770993</v>
      </c>
      <c r="AO242">
        <f>1/(COUNT('Iter No Test'!$T$9:$T$1008)-1)+$AO$241</f>
        <v>0.23923923923924006</v>
      </c>
      <c r="AQ242">
        <f>SMALL('Iter No Test'!$W$9:$W$5008,240)</f>
        <v>80.338887686972157</v>
      </c>
      <c r="AR242">
        <f>1/(COUNT('Iter No Test'!$W$9:$W$5008)-1)+$AR$241</f>
        <v>4.7809561912382344E-2</v>
      </c>
    </row>
    <row r="243" spans="8:44">
      <c r="H243" s="1"/>
      <c r="P243">
        <v>235</v>
      </c>
      <c r="Q243">
        <v>194.03153509084072</v>
      </c>
      <c r="S243">
        <v>235</v>
      </c>
      <c r="T243">
        <v>86.099576620615338</v>
      </c>
      <c r="V243">
        <v>235</v>
      </c>
      <c r="W243">
        <v>113.22818861235373</v>
      </c>
      <c r="AK243">
        <f>SMALL('Iter No Test'!$Q$9:$Q$508,241)</f>
        <v>204.19989323431801</v>
      </c>
      <c r="AL243">
        <f>1/(COUNT('Iter No Test'!$Q$9:$Q$508)-1)+$AL$242</f>
        <v>0.48096192384769582</v>
      </c>
      <c r="AN243">
        <f>SMALL('Iter No Test'!$T$9:$T$1008,241)</f>
        <v>153.92967917537391</v>
      </c>
      <c r="AO243">
        <f>1/(COUNT('Iter No Test'!$T$9:$T$1008)-1)+$AO$242</f>
        <v>0.24024024024024107</v>
      </c>
      <c r="AQ243">
        <f>SMALL('Iter No Test'!$W$9:$W$5008,241)</f>
        <v>80.393394456658484</v>
      </c>
      <c r="AR243">
        <f>1/(COUNT('Iter No Test'!$W$9:$W$5008)-1)+$AR$242</f>
        <v>4.8009601920383942E-2</v>
      </c>
    </row>
    <row r="244" spans="8:44">
      <c r="H244" s="1"/>
      <c r="P244">
        <v>236</v>
      </c>
      <c r="Q244">
        <v>305.74118721919035</v>
      </c>
      <c r="S244">
        <v>236</v>
      </c>
      <c r="T244">
        <v>143.50843726162654</v>
      </c>
      <c r="V244">
        <v>236</v>
      </c>
      <c r="W244">
        <v>355.19996506330875</v>
      </c>
      <c r="AK244">
        <f>SMALL('Iter No Test'!$Q$9:$Q$508,242)</f>
        <v>204.38938935943818</v>
      </c>
      <c r="AL244">
        <f>1/(COUNT('Iter No Test'!$Q$9:$Q$508)-1)+$AL$243</f>
        <v>0.48296593186372788</v>
      </c>
      <c r="AN244">
        <f>SMALL('Iter No Test'!$T$9:$T$1008,242)</f>
        <v>154.61091154738043</v>
      </c>
      <c r="AO244">
        <f>1/(COUNT('Iter No Test'!$T$9:$T$1008)-1)+$AO$243</f>
        <v>0.24124124124124208</v>
      </c>
      <c r="AQ244">
        <f>SMALL('Iter No Test'!$W$9:$W$5008,242)</f>
        <v>80.409907448890479</v>
      </c>
      <c r="AR244">
        <f>1/(COUNT('Iter No Test'!$W$9:$W$5008)-1)+$AR$243</f>
        <v>4.820964192838554E-2</v>
      </c>
    </row>
    <row r="245" spans="8:44">
      <c r="H245" s="1"/>
      <c r="P245">
        <v>237</v>
      </c>
      <c r="Q245">
        <v>215.40678894506939</v>
      </c>
      <c r="S245">
        <v>237</v>
      </c>
      <c r="T245">
        <v>170.26332202858947</v>
      </c>
      <c r="V245">
        <v>237</v>
      </c>
      <c r="W245">
        <v>194.77697314813184</v>
      </c>
      <c r="AK245">
        <f>SMALL('Iter No Test'!$Q$9:$Q$508,243)</f>
        <v>205.43091799172689</v>
      </c>
      <c r="AL245">
        <f>1/(COUNT('Iter No Test'!$Q$9:$Q$508)-1)+$AL$244</f>
        <v>0.48496993987975995</v>
      </c>
      <c r="AN245">
        <f>SMALL('Iter No Test'!$T$9:$T$1008,243)</f>
        <v>154.88372784729694</v>
      </c>
      <c r="AO245">
        <f>1/(COUNT('Iter No Test'!$T$9:$T$1008)-1)+$AO$244</f>
        <v>0.24224224224224308</v>
      </c>
      <c r="AQ245">
        <f>SMALL('Iter No Test'!$W$9:$W$5008,243)</f>
        <v>80.412398873678811</v>
      </c>
      <c r="AR245">
        <f>1/(COUNT('Iter No Test'!$W$9:$W$5008)-1)+$AR$244</f>
        <v>4.8409681936387138E-2</v>
      </c>
    </row>
    <row r="246" spans="8:44">
      <c r="H246" s="1"/>
      <c r="P246">
        <v>238</v>
      </c>
      <c r="Q246">
        <v>200.59346921392788</v>
      </c>
      <c r="S246">
        <v>238</v>
      </c>
      <c r="T246">
        <v>221.66536185983824</v>
      </c>
      <c r="V246">
        <v>238</v>
      </c>
      <c r="W246">
        <v>118.03366324526706</v>
      </c>
      <c r="AK246">
        <f>SMALL('Iter No Test'!$Q$9:$Q$508,244)</f>
        <v>206.35085203844878</v>
      </c>
      <c r="AL246">
        <f>1/(COUNT('Iter No Test'!$Q$9:$Q$508)-1)+$AL$245</f>
        <v>0.48697394789579201</v>
      </c>
      <c r="AN246">
        <f>SMALL('Iter No Test'!$T$9:$T$1008,244)</f>
        <v>155.01011577658227</v>
      </c>
      <c r="AO246">
        <f>1/(COUNT('Iter No Test'!$T$9:$T$1008)-1)+$AO$245</f>
        <v>0.24324324324324409</v>
      </c>
      <c r="AQ246">
        <f>SMALL('Iter No Test'!$W$9:$W$5008,244)</f>
        <v>80.576795566156306</v>
      </c>
      <c r="AR246">
        <f>1/(COUNT('Iter No Test'!$W$9:$W$5008)-1)+$AR$245</f>
        <v>4.8609721944388735E-2</v>
      </c>
    </row>
    <row r="247" spans="8:44">
      <c r="H247" s="1"/>
      <c r="P247">
        <v>239</v>
      </c>
      <c r="Q247">
        <v>231.51421614978861</v>
      </c>
      <c r="S247">
        <v>239</v>
      </c>
      <c r="T247">
        <v>174.44769026606079</v>
      </c>
      <c r="V247">
        <v>239</v>
      </c>
      <c r="W247">
        <v>44.839270307287109</v>
      </c>
      <c r="AK247">
        <f>SMALL('Iter No Test'!$Q$9:$Q$508,245)</f>
        <v>206.45719607838689</v>
      </c>
      <c r="AL247">
        <f>1/(COUNT('Iter No Test'!$Q$9:$Q$508)-1)+$AL$246</f>
        <v>0.48897795591182408</v>
      </c>
      <c r="AN247">
        <f>SMALL('Iter No Test'!$T$9:$T$1008,245)</f>
        <v>155.36882271480897</v>
      </c>
      <c r="AO247">
        <f>1/(COUNT('Iter No Test'!$T$9:$T$1008)-1)+$AO$246</f>
        <v>0.2442442442442451</v>
      </c>
      <c r="AQ247">
        <f>SMALL('Iter No Test'!$W$9:$W$5008,245)</f>
        <v>80.912243997548188</v>
      </c>
      <c r="AR247">
        <f>1/(COUNT('Iter No Test'!$W$9:$W$5008)-1)+$AR$246</f>
        <v>4.8809761952390333E-2</v>
      </c>
    </row>
    <row r="248" spans="8:44">
      <c r="H248" s="1"/>
      <c r="P248">
        <v>240</v>
      </c>
      <c r="Q248">
        <v>322.40769043427343</v>
      </c>
      <c r="S248">
        <v>240</v>
      </c>
      <c r="T248">
        <v>245.96817783027831</v>
      </c>
      <c r="V248">
        <v>240</v>
      </c>
      <c r="W248">
        <v>304.24743047983839</v>
      </c>
      <c r="AK248">
        <f>SMALL('Iter No Test'!$Q$9:$Q$508,246)</f>
        <v>206.57603157406024</v>
      </c>
      <c r="AL248">
        <f>1/(COUNT('Iter No Test'!$Q$9:$Q$508)-1)+$AL$247</f>
        <v>0.49098196392785615</v>
      </c>
      <c r="AN248">
        <f>SMALL('Iter No Test'!$T$9:$T$1008,246)</f>
        <v>155.61407439969327</v>
      </c>
      <c r="AO248">
        <f>1/(COUNT('Iter No Test'!$T$9:$T$1008)-1)+$AO$247</f>
        <v>0.2452452452452461</v>
      </c>
      <c r="AQ248">
        <f>SMALL('Iter No Test'!$W$9:$W$5008,246)</f>
        <v>81.022411501704767</v>
      </c>
      <c r="AR248">
        <f>1/(COUNT('Iter No Test'!$W$9:$W$5008)-1)+$AR$247</f>
        <v>4.9009801960391931E-2</v>
      </c>
    </row>
    <row r="249" spans="8:44">
      <c r="H249" s="1"/>
      <c r="P249">
        <v>241</v>
      </c>
      <c r="Q249">
        <v>214.77053461588699</v>
      </c>
      <c r="S249">
        <v>241</v>
      </c>
      <c r="T249">
        <v>177.03476925068409</v>
      </c>
      <c r="V249">
        <v>241</v>
      </c>
      <c r="W249">
        <v>308.35112691066035</v>
      </c>
      <c r="AK249">
        <f>SMALL('Iter No Test'!$Q$9:$Q$508,247)</f>
        <v>207.35125332237294</v>
      </c>
      <c r="AL249">
        <f>1/(COUNT('Iter No Test'!$Q$9:$Q$508)-1)+$AL$248</f>
        <v>0.49298597194388821</v>
      </c>
      <c r="AN249">
        <f>SMALL('Iter No Test'!$T$9:$T$1008,247)</f>
        <v>155.77436972349449</v>
      </c>
      <c r="AO249">
        <f>1/(COUNT('Iter No Test'!$T$9:$T$1008)-1)+$AO$248</f>
        <v>0.24624624624624711</v>
      </c>
      <c r="AQ249">
        <f>SMALL('Iter No Test'!$W$9:$W$5008,247)</f>
        <v>81.039781545257966</v>
      </c>
      <c r="AR249">
        <f>1/(COUNT('Iter No Test'!$W$9:$W$5008)-1)+$AR$248</f>
        <v>4.9209841968393529E-2</v>
      </c>
    </row>
    <row r="250" spans="8:44">
      <c r="H250" s="1"/>
      <c r="P250">
        <v>242</v>
      </c>
      <c r="Q250">
        <v>174.25658899486163</v>
      </c>
      <c r="S250">
        <v>242</v>
      </c>
      <c r="T250">
        <v>154.61091154738043</v>
      </c>
      <c r="V250">
        <v>242</v>
      </c>
      <c r="W250">
        <v>160.9480067164838</v>
      </c>
      <c r="AK250">
        <f>SMALL('Iter No Test'!$Q$9:$Q$508,248)</f>
        <v>208.38837366820792</v>
      </c>
      <c r="AL250">
        <f>1/(COUNT('Iter No Test'!$Q$9:$Q$508)-1)+$AL$249</f>
        <v>0.49498997995992028</v>
      </c>
      <c r="AN250">
        <f>SMALL('Iter No Test'!$T$9:$T$1008,248)</f>
        <v>155.92756487007796</v>
      </c>
      <c r="AO250">
        <f>1/(COUNT('Iter No Test'!$T$9:$T$1008)-1)+$AO$249</f>
        <v>0.24724724724724811</v>
      </c>
      <c r="AQ250">
        <f>SMALL('Iter No Test'!$W$9:$W$5008,248)</f>
        <v>81.055006412551222</v>
      </c>
      <c r="AR250">
        <f>1/(COUNT('Iter No Test'!$W$9:$W$5008)-1)+$AR$249</f>
        <v>4.9409881976395127E-2</v>
      </c>
    </row>
    <row r="251" spans="8:44">
      <c r="H251" s="1"/>
      <c r="P251">
        <v>243</v>
      </c>
      <c r="Q251">
        <v>327.80345828003902</v>
      </c>
      <c r="S251">
        <v>243</v>
      </c>
      <c r="T251">
        <v>229.83067375702032</v>
      </c>
      <c r="V251">
        <v>243</v>
      </c>
      <c r="W251">
        <v>142.8483441063608</v>
      </c>
      <c r="AK251">
        <f>SMALL('Iter No Test'!$Q$9:$Q$508,249)</f>
        <v>208.49641019083455</v>
      </c>
      <c r="AL251">
        <f>1/(COUNT('Iter No Test'!$Q$9:$Q$508)-1)+$AL$250</f>
        <v>0.49699398797595234</v>
      </c>
      <c r="AN251">
        <f>SMALL('Iter No Test'!$T$9:$T$1008,249)</f>
        <v>155.96898732213378</v>
      </c>
      <c r="AO251">
        <f>1/(COUNT('Iter No Test'!$T$9:$T$1008)-1)+$AO$250</f>
        <v>0.24824824824824912</v>
      </c>
      <c r="AQ251">
        <f>SMALL('Iter No Test'!$W$9:$W$5008,249)</f>
        <v>81.127278512495153</v>
      </c>
      <c r="AR251">
        <f>1/(COUNT('Iter No Test'!$W$9:$W$5008)-1)+$AR$250</f>
        <v>4.9609921984396725E-2</v>
      </c>
    </row>
    <row r="252" spans="8:44">
      <c r="H252" s="1"/>
      <c r="P252">
        <v>244</v>
      </c>
      <c r="Q252">
        <v>285.1996977660977</v>
      </c>
      <c r="S252">
        <v>244</v>
      </c>
      <c r="T252">
        <v>43.234620239456774</v>
      </c>
      <c r="V252">
        <v>244</v>
      </c>
      <c r="W252">
        <v>302.89747396340397</v>
      </c>
      <c r="AK252">
        <f>SMALL('Iter No Test'!$Q$9:$Q$508,250)</f>
        <v>208.81448643245005</v>
      </c>
      <c r="AL252">
        <f>1/(COUNT('Iter No Test'!$Q$9:$Q$508)-1)+$AL$251</f>
        <v>0.49899799599198441</v>
      </c>
      <c r="AN252">
        <f>SMALL('Iter No Test'!$T$9:$T$1008,250)</f>
        <v>156.20688531324853</v>
      </c>
      <c r="AO252">
        <f>1/(COUNT('Iter No Test'!$T$9:$T$1008)-1)+$AO$251</f>
        <v>0.24924924924925013</v>
      </c>
      <c r="AQ252">
        <f>SMALL('Iter No Test'!$W$9:$W$5008,250)</f>
        <v>81.392548402604064</v>
      </c>
      <c r="AR252">
        <f>1/(COUNT('Iter No Test'!$W$9:$W$5008)-1)+$AR$251</f>
        <v>4.9809961992398323E-2</v>
      </c>
    </row>
    <row r="253" spans="8:44">
      <c r="H253" s="1"/>
      <c r="P253">
        <v>245</v>
      </c>
      <c r="Q253">
        <v>171.42870236296935</v>
      </c>
      <c r="S253">
        <v>245</v>
      </c>
      <c r="T253">
        <v>105.63804475461619</v>
      </c>
      <c r="V253">
        <v>245</v>
      </c>
      <c r="W253">
        <v>194.25980052731336</v>
      </c>
      <c r="AK253">
        <f>SMALL('Iter No Test'!$Q$9:$Q$508,251)</f>
        <v>209.42610963698544</v>
      </c>
      <c r="AL253">
        <f>1/(COUNT('Iter No Test'!$Q$9:$Q$508)-1)+$AL$252</f>
        <v>0.50100200400801642</v>
      </c>
      <c r="AN253">
        <f>SMALL('Iter No Test'!$T$9:$T$1008,251)</f>
        <v>156.29308146934406</v>
      </c>
      <c r="AO253">
        <f>1/(COUNT('Iter No Test'!$T$9:$T$1008)-1)+$AO$252</f>
        <v>0.25025025025025111</v>
      </c>
      <c r="AQ253">
        <f>SMALL('Iter No Test'!$W$9:$W$5008,251)</f>
        <v>81.582612009880577</v>
      </c>
      <c r="AR253">
        <f>1/(COUNT('Iter No Test'!$W$9:$W$5008)-1)+$AR$252</f>
        <v>5.0010002000399921E-2</v>
      </c>
    </row>
    <row r="254" spans="8:44">
      <c r="H254" s="1"/>
      <c r="P254">
        <v>246</v>
      </c>
      <c r="Q254">
        <v>152.42087726486488</v>
      </c>
      <c r="S254">
        <v>246</v>
      </c>
      <c r="T254">
        <v>338.85780409482084</v>
      </c>
      <c r="V254">
        <v>246</v>
      </c>
      <c r="W254">
        <v>308.94257093590716</v>
      </c>
      <c r="AK254">
        <f>SMALL('Iter No Test'!$Q$9:$Q$508,252)</f>
        <v>209.50005052774205</v>
      </c>
      <c r="AL254">
        <f>1/(COUNT('Iter No Test'!$Q$9:$Q$508)-1)+$AL$253</f>
        <v>0.50300601202404849</v>
      </c>
      <c r="AN254">
        <f>SMALL('Iter No Test'!$T$9:$T$1008,252)</f>
        <v>157.72231731041433</v>
      </c>
      <c r="AO254">
        <f>1/(COUNT('Iter No Test'!$T$9:$T$1008)-1)+$AO$253</f>
        <v>0.25125125125125208</v>
      </c>
      <c r="AQ254">
        <f>SMALL('Iter No Test'!$W$9:$W$5008,252)</f>
        <v>81.771714407895445</v>
      </c>
      <c r="AR254">
        <f>1/(COUNT('Iter No Test'!$W$9:$W$5008)-1)+$AR$253</f>
        <v>5.0210042008401519E-2</v>
      </c>
    </row>
    <row r="255" spans="8:44">
      <c r="H255" s="1"/>
      <c r="P255">
        <v>247</v>
      </c>
      <c r="Q255">
        <v>385.43773698433517</v>
      </c>
      <c r="S255">
        <v>247</v>
      </c>
      <c r="T255">
        <v>291.17419430830267</v>
      </c>
      <c r="V255">
        <v>247</v>
      </c>
      <c r="W255">
        <v>163.93777088273407</v>
      </c>
      <c r="AK255">
        <f>SMALL('Iter No Test'!$Q$9:$Q$508,253)</f>
        <v>210.10660840430913</v>
      </c>
      <c r="AL255">
        <f>1/(COUNT('Iter No Test'!$Q$9:$Q$508)-1)+$AL$254</f>
        <v>0.50501002004008055</v>
      </c>
      <c r="AN255">
        <f>SMALL('Iter No Test'!$T$9:$T$1008,253)</f>
        <v>157.87647879448102</v>
      </c>
      <c r="AO255">
        <f>1/(COUNT('Iter No Test'!$T$9:$T$1008)-1)+$AO$254</f>
        <v>0.25225225225225306</v>
      </c>
      <c r="AQ255">
        <f>SMALL('Iter No Test'!$W$9:$W$5008,253)</f>
        <v>81.988952027062183</v>
      </c>
      <c r="AR255">
        <f>1/(COUNT('Iter No Test'!$W$9:$W$5008)-1)+$AR$254</f>
        <v>5.0410082016403117E-2</v>
      </c>
    </row>
    <row r="256" spans="8:44">
      <c r="H256" s="1"/>
      <c r="P256">
        <v>248</v>
      </c>
      <c r="Q256">
        <v>115.01779243162773</v>
      </c>
      <c r="S256">
        <v>248</v>
      </c>
      <c r="T256">
        <v>204.45908406774819</v>
      </c>
      <c r="V256">
        <v>248</v>
      </c>
      <c r="W256">
        <v>274.42440766876013</v>
      </c>
      <c r="AK256">
        <f>SMALL('Iter No Test'!$Q$9:$Q$508,254)</f>
        <v>210.14380092638368</v>
      </c>
      <c r="AL256">
        <f>1/(COUNT('Iter No Test'!$Q$9:$Q$508)-1)+$AL$255</f>
        <v>0.50701402805611262</v>
      </c>
      <c r="AN256">
        <f>SMALL('Iter No Test'!$T$9:$T$1008,254)</f>
        <v>158.09026218640642</v>
      </c>
      <c r="AO256">
        <f>1/(COUNT('Iter No Test'!$T$9:$T$1008)-1)+$AO$255</f>
        <v>0.25325325325325404</v>
      </c>
      <c r="AQ256">
        <f>SMALL('Iter No Test'!$W$9:$W$5008,254)</f>
        <v>82.027726946855054</v>
      </c>
      <c r="AR256">
        <f>1/(COUNT('Iter No Test'!$W$9:$W$5008)-1)+$AR$255</f>
        <v>5.0610122024404715E-2</v>
      </c>
    </row>
    <row r="257" spans="8:44">
      <c r="H257" s="1"/>
      <c r="P257">
        <v>249</v>
      </c>
      <c r="Q257">
        <v>123.98525721616133</v>
      </c>
      <c r="S257">
        <v>249</v>
      </c>
      <c r="T257">
        <v>155.61407439969327</v>
      </c>
      <c r="V257">
        <v>249</v>
      </c>
      <c r="W257">
        <v>182.03043214630304</v>
      </c>
      <c r="AK257">
        <f>SMALL('Iter No Test'!$Q$9:$Q$508,255)</f>
        <v>210.60486727419712</v>
      </c>
      <c r="AL257">
        <f>1/(COUNT('Iter No Test'!$Q$9:$Q$508)-1)+$AL$256</f>
        <v>0.50901803607214469</v>
      </c>
      <c r="AN257">
        <f>SMALL('Iter No Test'!$T$9:$T$1008,255)</f>
        <v>158.23912696942264</v>
      </c>
      <c r="AO257">
        <f>1/(COUNT('Iter No Test'!$T$9:$T$1008)-1)+$AO$256</f>
        <v>0.25425425425425502</v>
      </c>
      <c r="AQ257">
        <f>SMALL('Iter No Test'!$W$9:$W$5008,255)</f>
        <v>82.196090353717068</v>
      </c>
      <c r="AR257">
        <f>1/(COUNT('Iter No Test'!$W$9:$W$5008)-1)+$AR$256</f>
        <v>5.0810162032406313E-2</v>
      </c>
    </row>
    <row r="258" spans="8:44">
      <c r="H258" s="1"/>
      <c r="P258">
        <v>250</v>
      </c>
      <c r="Q258">
        <v>313.82324125050661</v>
      </c>
      <c r="S258">
        <v>250</v>
      </c>
      <c r="T258">
        <v>180.65828372892003</v>
      </c>
      <c r="V258">
        <v>250</v>
      </c>
      <c r="W258">
        <v>157.23989379714152</v>
      </c>
      <c r="AK258">
        <f>SMALL('Iter No Test'!$Q$9:$Q$508,256)</f>
        <v>211.16665813502055</v>
      </c>
      <c r="AL258">
        <f>1/(COUNT('Iter No Test'!$Q$9:$Q$508)-1)+$AL$257</f>
        <v>0.51102204408817675</v>
      </c>
      <c r="AN258">
        <f>SMALL('Iter No Test'!$T$9:$T$1008,256)</f>
        <v>158.48805715693334</v>
      </c>
      <c r="AO258">
        <f>1/(COUNT('Iter No Test'!$T$9:$T$1008)-1)+$AO$257</f>
        <v>0.255255255255256</v>
      </c>
      <c r="AQ258">
        <f>SMALL('Iter No Test'!$W$9:$W$5008,256)</f>
        <v>82.32904252469389</v>
      </c>
      <c r="AR258">
        <f>1/(COUNT('Iter No Test'!$W$9:$W$5008)-1)+$AR$257</f>
        <v>5.1010202040407911E-2</v>
      </c>
    </row>
    <row r="259" spans="8:44">
      <c r="P259">
        <v>251</v>
      </c>
      <c r="Q259">
        <v>339.07800069633316</v>
      </c>
      <c r="S259">
        <v>251</v>
      </c>
      <c r="T259">
        <v>137.42621780713034</v>
      </c>
      <c r="V259">
        <v>251</v>
      </c>
      <c r="W259">
        <v>368.28711484459092</v>
      </c>
      <c r="AK259">
        <f>SMALL('Iter No Test'!$Q$9:$Q$508,257)</f>
        <v>211.28109101416678</v>
      </c>
      <c r="AL259">
        <f>1/(COUNT('Iter No Test'!$Q$9:$Q$508)-1)+$AL$258</f>
        <v>0.51302605210420882</v>
      </c>
      <c r="AN259">
        <f>SMALL('Iter No Test'!$T$9:$T$1008,257)</f>
        <v>158.56873272888916</v>
      </c>
      <c r="AO259">
        <f>1/(COUNT('Iter No Test'!$T$9:$T$1008)-1)+$AO$258</f>
        <v>0.25625625625625698</v>
      </c>
      <c r="AQ259">
        <f>SMALL('Iter No Test'!$W$9:$W$5008,257)</f>
        <v>82.352596875481069</v>
      </c>
      <c r="AR259">
        <f>1/(COUNT('Iter No Test'!$W$9:$W$5008)-1)+$AR$258</f>
        <v>5.1210242048409509E-2</v>
      </c>
    </row>
    <row r="260" spans="8:44">
      <c r="P260">
        <v>252</v>
      </c>
      <c r="Q260">
        <v>83.933840198968227</v>
      </c>
      <c r="S260">
        <v>252</v>
      </c>
      <c r="T260">
        <v>206.91559263981668</v>
      </c>
      <c r="V260">
        <v>252</v>
      </c>
      <c r="W260">
        <v>296.64325319132018</v>
      </c>
      <c r="AK260">
        <f>SMALL('Iter No Test'!$Q$9:$Q$508,258)</f>
        <v>211.42793904094549</v>
      </c>
      <c r="AL260">
        <f>1/(COUNT('Iter No Test'!$Q$9:$Q$508)-1)+$AL$259</f>
        <v>0.51503006012024088</v>
      </c>
      <c r="AN260">
        <f>SMALL('Iter No Test'!$T$9:$T$1008,258)</f>
        <v>158.71137170186157</v>
      </c>
      <c r="AO260">
        <f>1/(COUNT('Iter No Test'!$T$9:$T$1008)-1)+$AO$259</f>
        <v>0.25725725725725795</v>
      </c>
      <c r="AQ260">
        <f>SMALL('Iter No Test'!$W$9:$W$5008,258)</f>
        <v>82.431444168171808</v>
      </c>
      <c r="AR260">
        <f>1/(COUNT('Iter No Test'!$W$9:$W$5008)-1)+$AR$259</f>
        <v>5.1410282056411107E-2</v>
      </c>
    </row>
    <row r="261" spans="8:44">
      <c r="P261">
        <v>253</v>
      </c>
      <c r="Q261">
        <v>315.92383210140457</v>
      </c>
      <c r="S261">
        <v>253</v>
      </c>
      <c r="T261">
        <v>378.23961959585517</v>
      </c>
      <c r="V261">
        <v>253</v>
      </c>
      <c r="W261">
        <v>353.91452683570958</v>
      </c>
      <c r="AK261">
        <f>SMALL('Iter No Test'!$Q$9:$Q$508,259)</f>
        <v>211.66092463189537</v>
      </c>
      <c r="AL261">
        <f>1/(COUNT('Iter No Test'!$Q$9:$Q$508)-1)+$AL$260</f>
        <v>0.51703406813627295</v>
      </c>
      <c r="AN261">
        <f>SMALL('Iter No Test'!$T$9:$T$1008,259)</f>
        <v>158.89376480231761</v>
      </c>
      <c r="AO261">
        <f>1/(COUNT('Iter No Test'!$T$9:$T$1008)-1)+$AO$260</f>
        <v>0.25825825825825893</v>
      </c>
      <c r="AQ261">
        <f>SMALL('Iter No Test'!$W$9:$W$5008,259)</f>
        <v>82.452452421343409</v>
      </c>
      <c r="AR261">
        <f>1/(COUNT('Iter No Test'!$W$9:$W$5008)-1)+$AR$260</f>
        <v>5.1610322064412704E-2</v>
      </c>
    </row>
    <row r="262" spans="8:44">
      <c r="P262">
        <v>254</v>
      </c>
      <c r="Q262">
        <v>350.65835703031689</v>
      </c>
      <c r="S262">
        <v>254</v>
      </c>
      <c r="T262">
        <v>207.63310365626791</v>
      </c>
      <c r="V262">
        <v>254</v>
      </c>
      <c r="W262">
        <v>324.12819842001977</v>
      </c>
      <c r="AK262">
        <f>SMALL('Iter No Test'!$Q$9:$Q$508,260)</f>
        <v>211.90283441192858</v>
      </c>
      <c r="AL262">
        <f>1/(COUNT('Iter No Test'!$Q$9:$Q$508)-1)+$AL$261</f>
        <v>0.51903807615230502</v>
      </c>
      <c r="AN262">
        <f>SMALL('Iter No Test'!$T$9:$T$1008,260)</f>
        <v>159.12540259831493</v>
      </c>
      <c r="AO262">
        <f>1/(COUNT('Iter No Test'!$T$9:$T$1008)-1)+$AO$261</f>
        <v>0.25925925925925991</v>
      </c>
      <c r="AQ262">
        <f>SMALL('Iter No Test'!$W$9:$W$5008,260)</f>
        <v>82.4682491304292</v>
      </c>
      <c r="AR262">
        <f>1/(COUNT('Iter No Test'!$W$9:$W$5008)-1)+$AR$261</f>
        <v>5.1810362072414302E-2</v>
      </c>
    </row>
    <row r="263" spans="8:44">
      <c r="P263">
        <v>255</v>
      </c>
      <c r="Q263">
        <v>211.90283441192858</v>
      </c>
      <c r="S263">
        <v>255</v>
      </c>
      <c r="T263">
        <v>155.01011577658227</v>
      </c>
      <c r="V263">
        <v>255</v>
      </c>
      <c r="W263">
        <v>257.86961820783972</v>
      </c>
      <c r="AK263">
        <f>SMALL('Iter No Test'!$Q$9:$Q$508,261)</f>
        <v>212.6259061060384</v>
      </c>
      <c r="AL263">
        <f>1/(COUNT('Iter No Test'!$Q$9:$Q$508)-1)+$AL$262</f>
        <v>0.52104208416833708</v>
      </c>
      <c r="AN263">
        <f>SMALL('Iter No Test'!$T$9:$T$1008,261)</f>
        <v>159.49653997339018</v>
      </c>
      <c r="AO263">
        <f>1/(COUNT('Iter No Test'!$T$9:$T$1008)-1)+$AO$262</f>
        <v>0.26026026026026089</v>
      </c>
      <c r="AQ263">
        <f>SMALL('Iter No Test'!$W$9:$W$5008,261)</f>
        <v>82.5280441924684</v>
      </c>
      <c r="AR263">
        <f>1/(COUNT('Iter No Test'!$W$9:$W$5008)-1)+$AR$262</f>
        <v>5.20104020804159E-2</v>
      </c>
    </row>
    <row r="264" spans="8:44">
      <c r="P264">
        <v>256</v>
      </c>
      <c r="Q264">
        <v>100.73425017457367</v>
      </c>
      <c r="S264">
        <v>256</v>
      </c>
      <c r="T264">
        <v>199.33330014043946</v>
      </c>
      <c r="V264">
        <v>256</v>
      </c>
      <c r="W264">
        <v>202.09094704783053</v>
      </c>
      <c r="AK264">
        <f>SMALL('Iter No Test'!$Q$9:$Q$508,262)</f>
        <v>213.13239324772084</v>
      </c>
      <c r="AL264">
        <f>1/(COUNT('Iter No Test'!$Q$9:$Q$508)-1)+$AL$263</f>
        <v>0.52304609218436915</v>
      </c>
      <c r="AN264">
        <f>SMALL('Iter No Test'!$T$9:$T$1008,262)</f>
        <v>159.52508468415334</v>
      </c>
      <c r="AO264">
        <f>1/(COUNT('Iter No Test'!$T$9:$T$1008)-1)+$AO$263</f>
        <v>0.26126126126126187</v>
      </c>
      <c r="AQ264">
        <f>SMALL('Iter No Test'!$W$9:$W$5008,262)</f>
        <v>82.568589215502129</v>
      </c>
      <c r="AR264">
        <f>1/(COUNT('Iter No Test'!$W$9:$W$5008)-1)+$AR$263</f>
        <v>5.2210442088417498E-2</v>
      </c>
    </row>
    <row r="265" spans="8:44">
      <c r="P265">
        <v>257</v>
      </c>
      <c r="Q265">
        <v>383.8305198727154</v>
      </c>
      <c r="S265">
        <v>257</v>
      </c>
      <c r="T265">
        <v>387.03890818617765</v>
      </c>
      <c r="V265">
        <v>257</v>
      </c>
      <c r="W265">
        <v>458.2273357460748</v>
      </c>
      <c r="AK265">
        <f>SMALL('Iter No Test'!$Q$9:$Q$508,263)</f>
        <v>213.20022894918657</v>
      </c>
      <c r="AL265">
        <f>1/(COUNT('Iter No Test'!$Q$9:$Q$508)-1)+$AL$264</f>
        <v>0.52505010020040122</v>
      </c>
      <c r="AN265">
        <f>SMALL('Iter No Test'!$T$9:$T$1008,263)</f>
        <v>159.77618836790447</v>
      </c>
      <c r="AO265">
        <f>1/(COUNT('Iter No Test'!$T$9:$T$1008)-1)+$AO$264</f>
        <v>0.26226226226226285</v>
      </c>
      <c r="AQ265">
        <f>SMALL('Iter No Test'!$W$9:$W$5008,263)</f>
        <v>82.651468095227784</v>
      </c>
      <c r="AR265">
        <f>1/(COUNT('Iter No Test'!$W$9:$W$5008)-1)+$AR$264</f>
        <v>5.2410482096419096E-2</v>
      </c>
    </row>
    <row r="266" spans="8:44">
      <c r="P266">
        <v>258</v>
      </c>
      <c r="Q266">
        <v>317.498681991176</v>
      </c>
      <c r="S266">
        <v>258</v>
      </c>
      <c r="T266">
        <v>246.2261805502601</v>
      </c>
      <c r="V266">
        <v>258</v>
      </c>
      <c r="W266">
        <v>230.09624452030923</v>
      </c>
      <c r="AK266">
        <f>SMALL('Iter No Test'!$Q$9:$Q$508,264)</f>
        <v>213.4777289015264</v>
      </c>
      <c r="AL266">
        <f>1/(COUNT('Iter No Test'!$Q$9:$Q$508)-1)+$AL$265</f>
        <v>0.52705410821643328</v>
      </c>
      <c r="AN266">
        <f>SMALL('Iter No Test'!$T$9:$T$1008,264)</f>
        <v>159.88739101067137</v>
      </c>
      <c r="AO266">
        <f>1/(COUNT('Iter No Test'!$T$9:$T$1008)-1)+$AO$265</f>
        <v>0.26326326326326382</v>
      </c>
      <c r="AQ266">
        <f>SMALL('Iter No Test'!$W$9:$W$5008,264)</f>
        <v>82.699506491461037</v>
      </c>
      <c r="AR266">
        <f>1/(COUNT('Iter No Test'!$W$9:$W$5008)-1)+$AR$265</f>
        <v>5.2610522104420694E-2</v>
      </c>
    </row>
    <row r="267" spans="8:44">
      <c r="P267">
        <v>259</v>
      </c>
      <c r="Q267">
        <v>230.16056507779152</v>
      </c>
      <c r="S267">
        <v>259</v>
      </c>
      <c r="T267">
        <v>187.99916660774852</v>
      </c>
      <c r="V267">
        <v>259</v>
      </c>
      <c r="W267">
        <v>112.46810358373574</v>
      </c>
      <c r="AK267">
        <f>SMALL('Iter No Test'!$Q$9:$Q$508,265)</f>
        <v>213.85246356055561</v>
      </c>
      <c r="AL267">
        <f>1/(COUNT('Iter No Test'!$Q$9:$Q$508)-1)+$AL$266</f>
        <v>0.52905811623246535</v>
      </c>
      <c r="AN267">
        <f>SMALL('Iter No Test'!$T$9:$T$1008,265)</f>
        <v>160.00120561236713</v>
      </c>
      <c r="AO267">
        <f>1/(COUNT('Iter No Test'!$T$9:$T$1008)-1)+$AO$266</f>
        <v>0.2642642642642648</v>
      </c>
      <c r="AQ267">
        <f>SMALL('Iter No Test'!$W$9:$W$5008,265)</f>
        <v>82.714465686302944</v>
      </c>
      <c r="AR267">
        <f>1/(COUNT('Iter No Test'!$W$9:$W$5008)-1)+$AR$266</f>
        <v>5.2810562112422292E-2</v>
      </c>
    </row>
    <row r="268" spans="8:44">
      <c r="P268">
        <v>260</v>
      </c>
      <c r="Q268">
        <v>227.89622228436335</v>
      </c>
      <c r="S268">
        <v>260</v>
      </c>
      <c r="T268">
        <v>309.13546640077425</v>
      </c>
      <c r="V268">
        <v>260</v>
      </c>
      <c r="W268">
        <v>330.31818901914824</v>
      </c>
      <c r="AK268">
        <f>SMALL('Iter No Test'!$Q$9:$Q$508,266)</f>
        <v>214.63456542577114</v>
      </c>
      <c r="AL268">
        <f>1/(COUNT('Iter No Test'!$Q$9:$Q$508)-1)+$AL$267</f>
        <v>0.53106212424849741</v>
      </c>
      <c r="AN268">
        <f>SMALL('Iter No Test'!$T$9:$T$1008,266)</f>
        <v>160.29830182454936</v>
      </c>
      <c r="AO268">
        <f>1/(COUNT('Iter No Test'!$T$9:$T$1008)-1)+$AO$267</f>
        <v>0.26526526526526578</v>
      </c>
      <c r="AQ268">
        <f>SMALL('Iter No Test'!$W$9:$W$5008,266)</f>
        <v>82.955411503128829</v>
      </c>
      <c r="AR268">
        <f>1/(COUNT('Iter No Test'!$W$9:$W$5008)-1)+$AR$267</f>
        <v>5.301060212042389E-2</v>
      </c>
    </row>
    <row r="269" spans="8:44">
      <c r="P269">
        <v>261</v>
      </c>
      <c r="Q269">
        <v>213.20022894918657</v>
      </c>
      <c r="S269">
        <v>261</v>
      </c>
      <c r="T269">
        <v>159.52508468415334</v>
      </c>
      <c r="V269">
        <v>261</v>
      </c>
      <c r="W269">
        <v>200.82113083253233</v>
      </c>
      <c r="AK269">
        <f>SMALL('Iter No Test'!$Q$9:$Q$508,267)</f>
        <v>214.77053461588699</v>
      </c>
      <c r="AL269">
        <f>1/(COUNT('Iter No Test'!$Q$9:$Q$508)-1)+$AL$268</f>
        <v>0.53306613226452948</v>
      </c>
      <c r="AN269">
        <f>SMALL('Iter No Test'!$T$9:$T$1008,267)</f>
        <v>160.39732480526089</v>
      </c>
      <c r="AO269">
        <f>1/(COUNT('Iter No Test'!$T$9:$T$1008)-1)+$AO$268</f>
        <v>0.26626626626626676</v>
      </c>
      <c r="AQ269">
        <f>SMALL('Iter No Test'!$W$9:$W$5008,267)</f>
        <v>83.174637766614538</v>
      </c>
      <c r="AR269">
        <f>1/(COUNT('Iter No Test'!$W$9:$W$5008)-1)+$AR$268</f>
        <v>5.3210642128425488E-2</v>
      </c>
    </row>
    <row r="270" spans="8:44">
      <c r="P270">
        <v>262</v>
      </c>
      <c r="Q270">
        <v>333.97367677438547</v>
      </c>
      <c r="S270">
        <v>262</v>
      </c>
      <c r="T270">
        <v>265.21212847630176</v>
      </c>
      <c r="V270">
        <v>262</v>
      </c>
      <c r="W270">
        <v>170.00807712786377</v>
      </c>
      <c r="AK270">
        <f>SMALL('Iter No Test'!$Q$9:$Q$508,268)</f>
        <v>214.87150873239963</v>
      </c>
      <c r="AL270">
        <f>1/(COUNT('Iter No Test'!$Q$9:$Q$508)-1)+$AL$269</f>
        <v>0.53507014028056155</v>
      </c>
      <c r="AN270">
        <f>SMALL('Iter No Test'!$T$9:$T$1008,268)</f>
        <v>160.46872329501912</v>
      </c>
      <c r="AO270">
        <f>1/(COUNT('Iter No Test'!$T$9:$T$1008)-1)+$AO$269</f>
        <v>0.26726726726726774</v>
      </c>
      <c r="AQ270">
        <f>SMALL('Iter No Test'!$W$9:$W$5008,268)</f>
        <v>83.217286004553912</v>
      </c>
      <c r="AR270">
        <f>1/(COUNT('Iter No Test'!$W$9:$W$5008)-1)+$AR$269</f>
        <v>5.3410682136427086E-2</v>
      </c>
    </row>
    <row r="271" spans="8:44">
      <c r="P271">
        <v>263</v>
      </c>
      <c r="Q271">
        <v>442.56417767139203</v>
      </c>
      <c r="S271">
        <v>263</v>
      </c>
      <c r="T271">
        <v>441.87347993722653</v>
      </c>
      <c r="V271">
        <v>263</v>
      </c>
      <c r="W271">
        <v>414.6663198225001</v>
      </c>
      <c r="AK271">
        <f>SMALL('Iter No Test'!$Q$9:$Q$508,269)</f>
        <v>215.30856053789179</v>
      </c>
      <c r="AL271">
        <f>1/(COUNT('Iter No Test'!$Q$9:$Q$508)-1)+$AL$270</f>
        <v>0.53707414829659361</v>
      </c>
      <c r="AN271">
        <f>SMALL('Iter No Test'!$T$9:$T$1008,269)</f>
        <v>160.82010588128611</v>
      </c>
      <c r="AO271">
        <f>1/(COUNT('Iter No Test'!$T$9:$T$1008)-1)+$AO$270</f>
        <v>0.26826826826826872</v>
      </c>
      <c r="AQ271">
        <f>SMALL('Iter No Test'!$W$9:$W$5008,269)</f>
        <v>83.362506230018255</v>
      </c>
      <c r="AR271">
        <f>1/(COUNT('Iter No Test'!$W$9:$W$5008)-1)+$AR$270</f>
        <v>5.3610722144428684E-2</v>
      </c>
    </row>
    <row r="272" spans="8:44">
      <c r="P272">
        <v>264</v>
      </c>
      <c r="Q272">
        <v>178.60308700860719</v>
      </c>
      <c r="S272">
        <v>264</v>
      </c>
      <c r="T272">
        <v>45.510535614025997</v>
      </c>
      <c r="V272">
        <v>264</v>
      </c>
      <c r="W272">
        <v>56.983499944200148</v>
      </c>
      <c r="AK272">
        <f>SMALL('Iter No Test'!$Q$9:$Q$508,270)</f>
        <v>215.40678894506939</v>
      </c>
      <c r="AL272">
        <f>1/(COUNT('Iter No Test'!$Q$9:$Q$508)-1)+$AL$271</f>
        <v>0.53907815631262568</v>
      </c>
      <c r="AN272">
        <f>SMALL('Iter No Test'!$T$9:$T$1008,270)</f>
        <v>161.25824866179497</v>
      </c>
      <c r="AO272">
        <f>1/(COUNT('Iter No Test'!$T$9:$T$1008)-1)+$AO$271</f>
        <v>0.2692692692692697</v>
      </c>
      <c r="AQ272">
        <f>SMALL('Iter No Test'!$W$9:$W$5008,270)</f>
        <v>83.573354969458833</v>
      </c>
      <c r="AR272">
        <f>1/(COUNT('Iter No Test'!$W$9:$W$5008)-1)+$AR$271</f>
        <v>5.3810762152430282E-2</v>
      </c>
    </row>
    <row r="273" spans="16:44">
      <c r="P273">
        <v>265</v>
      </c>
      <c r="Q273">
        <v>303.05793625994681</v>
      </c>
      <c r="S273">
        <v>265</v>
      </c>
      <c r="T273">
        <v>265.0125408091136</v>
      </c>
      <c r="V273">
        <v>265</v>
      </c>
      <c r="W273">
        <v>213.3941825808889</v>
      </c>
      <c r="AK273">
        <f>SMALL('Iter No Test'!$Q$9:$Q$508,271)</f>
        <v>215.44836186755253</v>
      </c>
      <c r="AL273">
        <f>1/(COUNT('Iter No Test'!$Q$9:$Q$508)-1)+$AL$272</f>
        <v>0.54108216432865774</v>
      </c>
      <c r="AN273">
        <f>SMALL('Iter No Test'!$T$9:$T$1008,271)</f>
        <v>161.46869241429729</v>
      </c>
      <c r="AO273">
        <f>1/(COUNT('Iter No Test'!$T$9:$T$1008)-1)+$AO$272</f>
        <v>0.27027027027027067</v>
      </c>
      <c r="AQ273">
        <f>SMALL('Iter No Test'!$W$9:$W$5008,271)</f>
        <v>83.63198655576798</v>
      </c>
      <c r="AR273">
        <f>1/(COUNT('Iter No Test'!$W$9:$W$5008)-1)+$AR$272</f>
        <v>5.401080216043188E-2</v>
      </c>
    </row>
    <row r="274" spans="16:44">
      <c r="P274">
        <v>266</v>
      </c>
      <c r="Q274">
        <v>199.59617391136379</v>
      </c>
      <c r="S274">
        <v>266</v>
      </c>
      <c r="T274">
        <v>231.16691609324425</v>
      </c>
      <c r="V274">
        <v>266</v>
      </c>
      <c r="W274">
        <v>243.91031778729638</v>
      </c>
      <c r="AK274">
        <f>SMALL('Iter No Test'!$Q$9:$Q$508,272)</f>
        <v>215.51599686486949</v>
      </c>
      <c r="AL274">
        <f>1/(COUNT('Iter No Test'!$Q$9:$Q$508)-1)+$AL$273</f>
        <v>0.54308617234468981</v>
      </c>
      <c r="AN274">
        <f>SMALL('Iter No Test'!$T$9:$T$1008,272)</f>
        <v>161.85120899519274</v>
      </c>
      <c r="AO274">
        <f>1/(COUNT('Iter No Test'!$T$9:$T$1008)-1)+$AO$273</f>
        <v>0.27127127127127165</v>
      </c>
      <c r="AQ274">
        <f>SMALL('Iter No Test'!$W$9:$W$5008,272)</f>
        <v>83.8175034900772</v>
      </c>
      <c r="AR274">
        <f>1/(COUNT('Iter No Test'!$W$9:$W$5008)-1)+$AR$273</f>
        <v>5.4210842168433478E-2</v>
      </c>
    </row>
    <row r="275" spans="16:44">
      <c r="P275">
        <v>267</v>
      </c>
      <c r="Q275">
        <v>210.60486727419712</v>
      </c>
      <c r="S275">
        <v>267</v>
      </c>
      <c r="T275">
        <v>198.75936423623116</v>
      </c>
      <c r="V275">
        <v>267</v>
      </c>
      <c r="W275">
        <v>108.00404506101781</v>
      </c>
      <c r="AK275">
        <f>SMALL('Iter No Test'!$Q$9:$Q$508,273)</f>
        <v>216.16089839257867</v>
      </c>
      <c r="AL275">
        <f>1/(COUNT('Iter No Test'!$Q$9:$Q$508)-1)+$AL$274</f>
        <v>0.54509018036072188</v>
      </c>
      <c r="AN275">
        <f>SMALL('Iter No Test'!$T$9:$T$1008,273)</f>
        <v>162.06184704794123</v>
      </c>
      <c r="AO275">
        <f>1/(COUNT('Iter No Test'!$T$9:$T$1008)-1)+$AO$274</f>
        <v>0.27227227227227263</v>
      </c>
      <c r="AQ275">
        <f>SMALL('Iter No Test'!$W$9:$W$5008,273)</f>
        <v>83.83690325926429</v>
      </c>
      <c r="AR275">
        <f>1/(COUNT('Iter No Test'!$W$9:$W$5008)-1)+$AR$274</f>
        <v>5.4410882176435076E-2</v>
      </c>
    </row>
    <row r="276" spans="16:44">
      <c r="P276">
        <v>268</v>
      </c>
      <c r="Q276">
        <v>53.361051016442715</v>
      </c>
      <c r="S276">
        <v>268</v>
      </c>
      <c r="T276">
        <v>141.97276628880601</v>
      </c>
      <c r="V276">
        <v>268</v>
      </c>
      <c r="W276">
        <v>173.72554818720596</v>
      </c>
      <c r="AK276">
        <f>SMALL('Iter No Test'!$Q$9:$Q$508,274)</f>
        <v>216.58178375275719</v>
      </c>
      <c r="AL276">
        <f>1/(COUNT('Iter No Test'!$Q$9:$Q$508)-1)+$AL$275</f>
        <v>0.54709418837675394</v>
      </c>
      <c r="AN276">
        <f>SMALL('Iter No Test'!$T$9:$T$1008,274)</f>
        <v>162.4618556154758</v>
      </c>
      <c r="AO276">
        <f>1/(COUNT('Iter No Test'!$T$9:$T$1008)-1)+$AO$275</f>
        <v>0.27327327327327361</v>
      </c>
      <c r="AQ276">
        <f>SMALL('Iter No Test'!$W$9:$W$5008,274)</f>
        <v>83.841192098319539</v>
      </c>
      <c r="AR276">
        <f>1/(COUNT('Iter No Test'!$W$9:$W$5008)-1)+$AR$275</f>
        <v>5.4610922184436674E-2</v>
      </c>
    </row>
    <row r="277" spans="16:44">
      <c r="P277">
        <v>269</v>
      </c>
      <c r="Q277">
        <v>277.2667896054042</v>
      </c>
      <c r="S277">
        <v>269</v>
      </c>
      <c r="T277">
        <v>163.24095741323751</v>
      </c>
      <c r="V277">
        <v>269</v>
      </c>
      <c r="W277">
        <v>257.397297074324</v>
      </c>
      <c r="AK277">
        <f>SMALL('Iter No Test'!$Q$9:$Q$508,275)</f>
        <v>217.10147537208664</v>
      </c>
      <c r="AL277">
        <f>1/(COUNT('Iter No Test'!$Q$9:$Q$508)-1)+$AL$276</f>
        <v>0.54909819639278601</v>
      </c>
      <c r="AN277">
        <f>SMALL('Iter No Test'!$T$9:$T$1008,275)</f>
        <v>162.47735843129402</v>
      </c>
      <c r="AO277">
        <f>1/(COUNT('Iter No Test'!$T$9:$T$1008)-1)+$AO$276</f>
        <v>0.27427427427427459</v>
      </c>
      <c r="AQ277">
        <f>SMALL('Iter No Test'!$W$9:$W$5008,275)</f>
        <v>84.002149766492678</v>
      </c>
      <c r="AR277">
        <f>1/(COUNT('Iter No Test'!$W$9:$W$5008)-1)+$AR$276</f>
        <v>5.4810962192438271E-2</v>
      </c>
    </row>
    <row r="278" spans="16:44">
      <c r="P278">
        <v>270</v>
      </c>
      <c r="Q278">
        <v>221.62646170578319</v>
      </c>
      <c r="S278">
        <v>270</v>
      </c>
      <c r="T278">
        <v>249.78083901165934</v>
      </c>
      <c r="V278">
        <v>270</v>
      </c>
      <c r="W278">
        <v>149.52704888051505</v>
      </c>
      <c r="AK278">
        <f>SMALL('Iter No Test'!$Q$9:$Q$508,276)</f>
        <v>217.52125748886644</v>
      </c>
      <c r="AL278">
        <f>1/(COUNT('Iter No Test'!$Q$9:$Q$508)-1)+$AL$277</f>
        <v>0.55110220440881807</v>
      </c>
      <c r="AN278">
        <f>SMALL('Iter No Test'!$T$9:$T$1008,276)</f>
        <v>162.50985246990109</v>
      </c>
      <c r="AO278">
        <f>1/(COUNT('Iter No Test'!$T$9:$T$1008)-1)+$AO$277</f>
        <v>0.27527527527527557</v>
      </c>
      <c r="AQ278">
        <f>SMALL('Iter No Test'!$W$9:$W$5008,276)</f>
        <v>84.031223603995784</v>
      </c>
      <c r="AR278">
        <f>1/(COUNT('Iter No Test'!$W$9:$W$5008)-1)+$AR$277</f>
        <v>5.5011002200439869E-2</v>
      </c>
    </row>
    <row r="279" spans="16:44">
      <c r="P279">
        <v>271</v>
      </c>
      <c r="Q279">
        <v>328.16903092106429</v>
      </c>
      <c r="S279">
        <v>271</v>
      </c>
      <c r="T279">
        <v>165.31511042643609</v>
      </c>
      <c r="V279">
        <v>271</v>
      </c>
      <c r="W279">
        <v>107.55585716421251</v>
      </c>
      <c r="AK279">
        <f>SMALL('Iter No Test'!$Q$9:$Q$508,277)</f>
        <v>217.67972513800549</v>
      </c>
      <c r="AL279">
        <f>1/(COUNT('Iter No Test'!$Q$9:$Q$508)-1)+$AL$278</f>
        <v>0.55310621242485014</v>
      </c>
      <c r="AN279">
        <f>SMALL('Iter No Test'!$T$9:$T$1008,277)</f>
        <v>162.60583448478263</v>
      </c>
      <c r="AO279">
        <f>1/(COUNT('Iter No Test'!$T$9:$T$1008)-1)+$AO$278</f>
        <v>0.27627627627627654</v>
      </c>
      <c r="AQ279">
        <f>SMALL('Iter No Test'!$W$9:$W$5008,277)</f>
        <v>84.143840468786919</v>
      </c>
      <c r="AR279">
        <f>1/(COUNT('Iter No Test'!$W$9:$W$5008)-1)+$AR$278</f>
        <v>5.5211042208441467E-2</v>
      </c>
    </row>
    <row r="280" spans="16:44">
      <c r="P280">
        <v>272</v>
      </c>
      <c r="Q280">
        <v>245.04006569426139</v>
      </c>
      <c r="S280">
        <v>272</v>
      </c>
      <c r="T280">
        <v>267.63873146203218</v>
      </c>
      <c r="V280">
        <v>272</v>
      </c>
      <c r="W280">
        <v>380.41268801300691</v>
      </c>
      <c r="AK280">
        <f>SMALL('Iter No Test'!$Q$9:$Q$508,278)</f>
        <v>217.9804677093953</v>
      </c>
      <c r="AL280">
        <f>1/(COUNT('Iter No Test'!$Q$9:$Q$508)-1)+$AL$279</f>
        <v>0.55511022044088221</v>
      </c>
      <c r="AN280">
        <f>SMALL('Iter No Test'!$T$9:$T$1008,278)</f>
        <v>162.66531793338433</v>
      </c>
      <c r="AO280">
        <f>1/(COUNT('Iter No Test'!$T$9:$T$1008)-1)+$AO$279</f>
        <v>0.27727727727727752</v>
      </c>
      <c r="AQ280">
        <f>SMALL('Iter No Test'!$W$9:$W$5008,278)</f>
        <v>84.166580678921179</v>
      </c>
      <c r="AR280">
        <f>1/(COUNT('Iter No Test'!$W$9:$W$5008)-1)+$AR$279</f>
        <v>5.5411082216443065E-2</v>
      </c>
    </row>
    <row r="281" spans="16:44">
      <c r="P281">
        <v>273</v>
      </c>
      <c r="Q281">
        <v>403.6501956912627</v>
      </c>
      <c r="S281">
        <v>273</v>
      </c>
      <c r="T281">
        <v>240.71071922243755</v>
      </c>
      <c r="V281">
        <v>273</v>
      </c>
      <c r="W281">
        <v>333.68805770693012</v>
      </c>
      <c r="AK281">
        <f>SMALL('Iter No Test'!$Q$9:$Q$508,279)</f>
        <v>218.4578429225129</v>
      </c>
      <c r="AL281">
        <f>1/(COUNT('Iter No Test'!$Q$9:$Q$508)-1)+$AL$280</f>
        <v>0.55711422845691427</v>
      </c>
      <c r="AN281">
        <f>SMALL('Iter No Test'!$T$9:$T$1008,279)</f>
        <v>162.6765953391965</v>
      </c>
      <c r="AO281">
        <f>1/(COUNT('Iter No Test'!$T$9:$T$1008)-1)+$AO$280</f>
        <v>0.2782782782782785</v>
      </c>
      <c r="AQ281">
        <f>SMALL('Iter No Test'!$W$9:$W$5008,279)</f>
        <v>84.16983804593805</v>
      </c>
      <c r="AR281">
        <f>1/(COUNT('Iter No Test'!$W$9:$W$5008)-1)+$AR$280</f>
        <v>5.5611122224444663E-2</v>
      </c>
    </row>
    <row r="282" spans="16:44">
      <c r="P282">
        <v>274</v>
      </c>
      <c r="Q282">
        <v>132.99968429771735</v>
      </c>
      <c r="S282">
        <v>274</v>
      </c>
      <c r="T282">
        <v>263.2077070520337</v>
      </c>
      <c r="V282">
        <v>274</v>
      </c>
      <c r="W282">
        <v>162.59326771762957</v>
      </c>
      <c r="AK282">
        <f>SMALL('Iter No Test'!$Q$9:$Q$508,280)</f>
        <v>218.99361822755702</v>
      </c>
      <c r="AL282">
        <f>1/(COUNT('Iter No Test'!$Q$9:$Q$508)-1)+$AL$281</f>
        <v>0.55911823647294634</v>
      </c>
      <c r="AN282">
        <f>SMALL('Iter No Test'!$T$9:$T$1008,280)</f>
        <v>162.74154787143789</v>
      </c>
      <c r="AO282">
        <f>1/(COUNT('Iter No Test'!$T$9:$T$1008)-1)+$AO$281</f>
        <v>0.27927927927927948</v>
      </c>
      <c r="AQ282">
        <f>SMALL('Iter No Test'!$W$9:$W$5008,280)</f>
        <v>84.304527809701909</v>
      </c>
      <c r="AR282">
        <f>1/(COUNT('Iter No Test'!$W$9:$W$5008)-1)+$AR$281</f>
        <v>5.5811162232446261E-2</v>
      </c>
    </row>
    <row r="283" spans="16:44">
      <c r="P283">
        <v>275</v>
      </c>
      <c r="Q283">
        <v>404.30266180190949</v>
      </c>
      <c r="S283">
        <v>275</v>
      </c>
      <c r="T283">
        <v>252.02854017484481</v>
      </c>
      <c r="V283">
        <v>275</v>
      </c>
      <c r="W283">
        <v>249.12626110754951</v>
      </c>
      <c r="AK283">
        <f>SMALL('Iter No Test'!$Q$9:$Q$508,281)</f>
        <v>219.24317959946418</v>
      </c>
      <c r="AL283">
        <f>1/(COUNT('Iter No Test'!$Q$9:$Q$508)-1)+$AL$282</f>
        <v>0.56112224448897841</v>
      </c>
      <c r="AN283">
        <f>SMALL('Iter No Test'!$T$9:$T$1008,281)</f>
        <v>162.88604830161998</v>
      </c>
      <c r="AO283">
        <f>1/(COUNT('Iter No Test'!$T$9:$T$1008)-1)+$AO$282</f>
        <v>0.28028028028028046</v>
      </c>
      <c r="AQ283">
        <f>SMALL('Iter No Test'!$W$9:$W$5008,281)</f>
        <v>84.338756926171982</v>
      </c>
      <c r="AR283">
        <f>1/(COUNT('Iter No Test'!$W$9:$W$5008)-1)+$AR$282</f>
        <v>5.6011202240447859E-2</v>
      </c>
    </row>
    <row r="284" spans="16:44">
      <c r="P284">
        <v>276</v>
      </c>
      <c r="Q284">
        <v>222.98410279864501</v>
      </c>
      <c r="S284">
        <v>276</v>
      </c>
      <c r="T284">
        <v>148.82628756805462</v>
      </c>
      <c r="V284">
        <v>276</v>
      </c>
      <c r="W284">
        <v>189.1526730786284</v>
      </c>
      <c r="AK284">
        <f>SMALL('Iter No Test'!$Q$9:$Q$508,282)</f>
        <v>221.38634069341518</v>
      </c>
      <c r="AL284">
        <f>1/(COUNT('Iter No Test'!$Q$9:$Q$508)-1)+$AL$283</f>
        <v>0.56312625250501047</v>
      </c>
      <c r="AN284">
        <f>SMALL('Iter No Test'!$T$9:$T$1008,282)</f>
        <v>163.24095741323751</v>
      </c>
      <c r="AO284">
        <f>1/(COUNT('Iter No Test'!$T$9:$T$1008)-1)+$AO$283</f>
        <v>0.28128128128128144</v>
      </c>
      <c r="AQ284">
        <f>SMALL('Iter No Test'!$W$9:$W$5008,282)</f>
        <v>84.598538476665226</v>
      </c>
      <c r="AR284">
        <f>1/(COUNT('Iter No Test'!$W$9:$W$5008)-1)+$AR$283</f>
        <v>5.6211242248449457E-2</v>
      </c>
    </row>
    <row r="285" spans="16:44">
      <c r="P285">
        <v>277</v>
      </c>
      <c r="Q285">
        <v>162.86763668144107</v>
      </c>
      <c r="S285">
        <v>277</v>
      </c>
      <c r="T285">
        <v>319.86253745988233</v>
      </c>
      <c r="V285">
        <v>277</v>
      </c>
      <c r="W285">
        <v>325.45135414275933</v>
      </c>
      <c r="AK285">
        <f>SMALL('Iter No Test'!$Q$9:$Q$508,283)</f>
        <v>221.62646170578319</v>
      </c>
      <c r="AL285">
        <f>1/(COUNT('Iter No Test'!$Q$9:$Q$508)-1)+$AL$284</f>
        <v>0.56513026052104254</v>
      </c>
      <c r="AN285">
        <f>SMALL('Iter No Test'!$T$9:$T$1008,283)</f>
        <v>163.50505694084666</v>
      </c>
      <c r="AO285">
        <f>1/(COUNT('Iter No Test'!$T$9:$T$1008)-1)+$AO$284</f>
        <v>0.28228228228228242</v>
      </c>
      <c r="AQ285">
        <f>SMALL('Iter No Test'!$W$9:$W$5008,283)</f>
        <v>84.736868367195626</v>
      </c>
      <c r="AR285">
        <f>1/(COUNT('Iter No Test'!$W$9:$W$5008)-1)+$AR$284</f>
        <v>5.6411282256451055E-2</v>
      </c>
    </row>
    <row r="286" spans="16:44">
      <c r="P286">
        <v>278</v>
      </c>
      <c r="Q286">
        <v>199.63713426805532</v>
      </c>
      <c r="S286">
        <v>278</v>
      </c>
      <c r="T286">
        <v>95.690305879394728</v>
      </c>
      <c r="V286">
        <v>278</v>
      </c>
      <c r="W286">
        <v>142.58044865652425</v>
      </c>
      <c r="AK286">
        <f>SMALL('Iter No Test'!$Q$9:$Q$508,284)</f>
        <v>222.37861752351031</v>
      </c>
      <c r="AL286">
        <f>1/(COUNT('Iter No Test'!$Q$9:$Q$508)-1)+$AL$285</f>
        <v>0.5671342685370746</v>
      </c>
      <c r="AN286">
        <f>SMALL('Iter No Test'!$T$9:$T$1008,284)</f>
        <v>163.59104141966171</v>
      </c>
      <c r="AO286">
        <f>1/(COUNT('Iter No Test'!$T$9:$T$1008)-1)+$AO$285</f>
        <v>0.28328328328328339</v>
      </c>
      <c r="AQ286">
        <f>SMALL('Iter No Test'!$W$9:$W$5008,284)</f>
        <v>84.768788387977565</v>
      </c>
      <c r="AR286">
        <f>1/(COUNT('Iter No Test'!$W$9:$W$5008)-1)+$AR$285</f>
        <v>5.6611322264452653E-2</v>
      </c>
    </row>
    <row r="287" spans="16:44">
      <c r="P287">
        <v>279</v>
      </c>
      <c r="Q287">
        <v>310.56785320142046</v>
      </c>
      <c r="S287">
        <v>279</v>
      </c>
      <c r="T287">
        <v>164.4959783370729</v>
      </c>
      <c r="V287">
        <v>279</v>
      </c>
      <c r="W287">
        <v>284.59907375062539</v>
      </c>
      <c r="AK287">
        <f>SMALL('Iter No Test'!$Q$9:$Q$508,285)</f>
        <v>222.51625566738426</v>
      </c>
      <c r="AL287">
        <f>1/(COUNT('Iter No Test'!$Q$9:$Q$508)-1)+$AL$286</f>
        <v>0.56913827655310667</v>
      </c>
      <c r="AN287">
        <f>SMALL('Iter No Test'!$T$9:$T$1008,285)</f>
        <v>164.13159569433435</v>
      </c>
      <c r="AO287">
        <f>1/(COUNT('Iter No Test'!$T$9:$T$1008)-1)+$AO$286</f>
        <v>0.28428428428428437</v>
      </c>
      <c r="AQ287">
        <f>SMALL('Iter No Test'!$W$9:$W$5008,285)</f>
        <v>84.860796110676489</v>
      </c>
      <c r="AR287">
        <f>1/(COUNT('Iter No Test'!$W$9:$W$5008)-1)+$AR$286</f>
        <v>5.6811362272454251E-2</v>
      </c>
    </row>
    <row r="288" spans="16:44">
      <c r="P288">
        <v>280</v>
      </c>
      <c r="Q288">
        <v>151.22934648626546</v>
      </c>
      <c r="S288">
        <v>280</v>
      </c>
      <c r="T288">
        <v>438.69323915378754</v>
      </c>
      <c r="V288">
        <v>280</v>
      </c>
      <c r="W288">
        <v>383.22776179724883</v>
      </c>
      <c r="AK288">
        <f>SMALL('Iter No Test'!$Q$9:$Q$508,286)</f>
        <v>222.98410279864501</v>
      </c>
      <c r="AL288">
        <f>1/(COUNT('Iter No Test'!$Q$9:$Q$508)-1)+$AL$287</f>
        <v>0.57114228456913874</v>
      </c>
      <c r="AN288">
        <f>SMALL('Iter No Test'!$T$9:$T$1008,286)</f>
        <v>164.22517843156749</v>
      </c>
      <c r="AO288">
        <f>1/(COUNT('Iter No Test'!$T$9:$T$1008)-1)+$AO$287</f>
        <v>0.28528528528528535</v>
      </c>
      <c r="AQ288">
        <f>SMALL('Iter No Test'!$W$9:$W$5008,286)</f>
        <v>85.016986039321353</v>
      </c>
      <c r="AR288">
        <f>1/(COUNT('Iter No Test'!$W$9:$W$5008)-1)+$AR$287</f>
        <v>5.7011402280455849E-2</v>
      </c>
    </row>
    <row r="289" spans="16:44">
      <c r="P289">
        <v>281</v>
      </c>
      <c r="Q289">
        <v>141.36811428323753</v>
      </c>
      <c r="S289">
        <v>281</v>
      </c>
      <c r="T289">
        <v>275.7356314702306</v>
      </c>
      <c r="V289">
        <v>281</v>
      </c>
      <c r="W289">
        <v>340.7155254022797</v>
      </c>
      <c r="AK289">
        <f>SMALL('Iter No Test'!$Q$9:$Q$508,287)</f>
        <v>223.3793164327908</v>
      </c>
      <c r="AL289">
        <f>1/(COUNT('Iter No Test'!$Q$9:$Q$508)-1)+$AL$288</f>
        <v>0.5731462925851708</v>
      </c>
      <c r="AN289">
        <f>SMALL('Iter No Test'!$T$9:$T$1008,287)</f>
        <v>164.31463292740955</v>
      </c>
      <c r="AO289">
        <f>1/(COUNT('Iter No Test'!$T$9:$T$1008)-1)+$AO$288</f>
        <v>0.28628628628628633</v>
      </c>
      <c r="AQ289">
        <f>SMALL('Iter No Test'!$W$9:$W$5008,287)</f>
        <v>85.072788722186445</v>
      </c>
      <c r="AR289">
        <f>1/(COUNT('Iter No Test'!$W$9:$W$5008)-1)+$AR$288</f>
        <v>5.7211442288457447E-2</v>
      </c>
    </row>
    <row r="290" spans="16:44">
      <c r="P290">
        <v>282</v>
      </c>
      <c r="Q290">
        <v>327.49655789774283</v>
      </c>
      <c r="S290">
        <v>282</v>
      </c>
      <c r="T290">
        <v>170.57249779196115</v>
      </c>
      <c r="V290">
        <v>282</v>
      </c>
      <c r="W290">
        <v>176.02307600336394</v>
      </c>
      <c r="AK290">
        <f>SMALL('Iter No Test'!$Q$9:$Q$508,288)</f>
        <v>223.40157866241535</v>
      </c>
      <c r="AL290">
        <f>1/(COUNT('Iter No Test'!$Q$9:$Q$508)-1)+$AL$289</f>
        <v>0.57515030060120287</v>
      </c>
      <c r="AN290">
        <f>SMALL('Iter No Test'!$T$9:$T$1008,288)</f>
        <v>164.4112065151204</v>
      </c>
      <c r="AO290">
        <f>1/(COUNT('Iter No Test'!$T$9:$T$1008)-1)+$AO$289</f>
        <v>0.28728728728728731</v>
      </c>
      <c r="AQ290">
        <f>SMALL('Iter No Test'!$W$9:$W$5008,288)</f>
        <v>85.169480794139446</v>
      </c>
      <c r="AR290">
        <f>1/(COUNT('Iter No Test'!$W$9:$W$5008)-1)+$AR$289</f>
        <v>5.7411482296459045E-2</v>
      </c>
    </row>
    <row r="291" spans="16:44">
      <c r="P291">
        <v>283</v>
      </c>
      <c r="Q291">
        <v>260.33575724311225</v>
      </c>
      <c r="S291">
        <v>283</v>
      </c>
      <c r="T291">
        <v>90.156095911100394</v>
      </c>
      <c r="V291">
        <v>283</v>
      </c>
      <c r="W291">
        <v>246.42259495674023</v>
      </c>
      <c r="AK291">
        <f>SMALL('Iter No Test'!$Q$9:$Q$508,289)</f>
        <v>223.69744536197749</v>
      </c>
      <c r="AL291">
        <f>1/(COUNT('Iter No Test'!$Q$9:$Q$508)-1)+$AL$290</f>
        <v>0.57715430861723493</v>
      </c>
      <c r="AN291">
        <f>SMALL('Iter No Test'!$T$9:$T$1008,289)</f>
        <v>164.4959783370729</v>
      </c>
      <c r="AO291">
        <f>1/(COUNT('Iter No Test'!$T$9:$T$1008)-1)+$AO$290</f>
        <v>0.28828828828828829</v>
      </c>
      <c r="AQ291">
        <f>SMALL('Iter No Test'!$W$9:$W$5008,289)</f>
        <v>85.194648797464438</v>
      </c>
      <c r="AR291">
        <f>1/(COUNT('Iter No Test'!$W$9:$W$5008)-1)+$AR$290</f>
        <v>5.7611522304460643E-2</v>
      </c>
    </row>
    <row r="292" spans="16:44">
      <c r="P292">
        <v>284</v>
      </c>
      <c r="Q292">
        <v>227.79984233453058</v>
      </c>
      <c r="S292">
        <v>284</v>
      </c>
      <c r="T292">
        <v>228.46697251296089</v>
      </c>
      <c r="V292">
        <v>284</v>
      </c>
      <c r="W292">
        <v>137.58494850746078</v>
      </c>
      <c r="AK292">
        <f>SMALL('Iter No Test'!$Q$9:$Q$508,290)</f>
        <v>223.83025029055568</v>
      </c>
      <c r="AL292">
        <f>1/(COUNT('Iter No Test'!$Q$9:$Q$508)-1)+$AL$291</f>
        <v>0.579158316633267</v>
      </c>
      <c r="AN292">
        <f>SMALL('Iter No Test'!$T$9:$T$1008,290)</f>
        <v>164.93291973074759</v>
      </c>
      <c r="AO292">
        <f>1/(COUNT('Iter No Test'!$T$9:$T$1008)-1)+$AO$291</f>
        <v>0.28928928928928926</v>
      </c>
      <c r="AQ292">
        <f>SMALL('Iter No Test'!$W$9:$W$5008,290)</f>
        <v>85.210394594022347</v>
      </c>
      <c r="AR292">
        <f>1/(COUNT('Iter No Test'!$W$9:$W$5008)-1)+$AR$291</f>
        <v>5.781156231246224E-2</v>
      </c>
    </row>
    <row r="293" spans="16:44">
      <c r="P293">
        <v>285</v>
      </c>
      <c r="Q293">
        <v>286.32765247469968</v>
      </c>
      <c r="S293">
        <v>285</v>
      </c>
      <c r="T293">
        <v>334.09996670568523</v>
      </c>
      <c r="V293">
        <v>285</v>
      </c>
      <c r="W293">
        <v>283.24191618592789</v>
      </c>
      <c r="AK293">
        <f>SMALL('Iter No Test'!$Q$9:$Q$508,291)</f>
        <v>224.03967103624274</v>
      </c>
      <c r="AL293">
        <f>1/(COUNT('Iter No Test'!$Q$9:$Q$508)-1)+$AL$292</f>
        <v>0.58116232464929907</v>
      </c>
      <c r="AN293">
        <f>SMALL('Iter No Test'!$T$9:$T$1008,291)</f>
        <v>165.08657413921728</v>
      </c>
      <c r="AO293">
        <f>1/(COUNT('Iter No Test'!$T$9:$T$1008)-1)+$AO$292</f>
        <v>0.29029029029029024</v>
      </c>
      <c r="AQ293">
        <f>SMALL('Iter No Test'!$W$9:$W$5008,291)</f>
        <v>85.391703917574375</v>
      </c>
      <c r="AR293">
        <f>1/(COUNT('Iter No Test'!$W$9:$W$5008)-1)+$AR$292</f>
        <v>5.8011602320463838E-2</v>
      </c>
    </row>
    <row r="294" spans="16:44">
      <c r="P294">
        <v>286</v>
      </c>
      <c r="Q294">
        <v>136.05844046012791</v>
      </c>
      <c r="S294">
        <v>286</v>
      </c>
      <c r="T294">
        <v>166.01416885264103</v>
      </c>
      <c r="V294">
        <v>286</v>
      </c>
      <c r="W294">
        <v>496.6401626002787</v>
      </c>
      <c r="AK294">
        <f>SMALL('Iter No Test'!$Q$9:$Q$508,292)</f>
        <v>224.48824604367553</v>
      </c>
      <c r="AL294">
        <f>1/(COUNT('Iter No Test'!$Q$9:$Q$508)-1)+$AL$293</f>
        <v>0.58316633266533113</v>
      </c>
      <c r="AN294">
        <f>SMALL('Iter No Test'!$T$9:$T$1008,292)</f>
        <v>165.13386503198475</v>
      </c>
      <c r="AO294">
        <f>1/(COUNT('Iter No Test'!$T$9:$T$1008)-1)+$AO$293</f>
        <v>0.29129129129129122</v>
      </c>
      <c r="AQ294">
        <f>SMALL('Iter No Test'!$W$9:$W$5008,292)</f>
        <v>85.862485367538625</v>
      </c>
      <c r="AR294">
        <f>1/(COUNT('Iter No Test'!$W$9:$W$5008)-1)+$AR$293</f>
        <v>5.8211642328465436E-2</v>
      </c>
    </row>
    <row r="295" spans="16:44">
      <c r="P295">
        <v>287</v>
      </c>
      <c r="Q295">
        <v>173.07902223307451</v>
      </c>
      <c r="S295">
        <v>287</v>
      </c>
      <c r="T295">
        <v>138.6518755173627</v>
      </c>
      <c r="V295">
        <v>287</v>
      </c>
      <c r="W295">
        <v>205.05446898409596</v>
      </c>
      <c r="AK295">
        <f>SMALL('Iter No Test'!$Q$9:$Q$508,293)</f>
        <v>224.75781840409297</v>
      </c>
      <c r="AL295">
        <f>1/(COUNT('Iter No Test'!$Q$9:$Q$508)-1)+$AL$294</f>
        <v>0.5851703406813632</v>
      </c>
      <c r="AN295">
        <f>SMALL('Iter No Test'!$T$9:$T$1008,293)</f>
        <v>165.20461176062818</v>
      </c>
      <c r="AO295">
        <f>1/(COUNT('Iter No Test'!$T$9:$T$1008)-1)+$AO$294</f>
        <v>0.2922922922922922</v>
      </c>
      <c r="AQ295">
        <f>SMALL('Iter No Test'!$W$9:$W$5008,293)</f>
        <v>86.235201839207093</v>
      </c>
      <c r="AR295">
        <f>1/(COUNT('Iter No Test'!$W$9:$W$5008)-1)+$AR$294</f>
        <v>5.8411682336467034E-2</v>
      </c>
    </row>
    <row r="296" spans="16:44">
      <c r="P296">
        <v>288</v>
      </c>
      <c r="Q296">
        <v>278.71121969840601</v>
      </c>
      <c r="S296">
        <v>288</v>
      </c>
      <c r="T296">
        <v>240.17305379941106</v>
      </c>
      <c r="V296">
        <v>288</v>
      </c>
      <c r="W296">
        <v>189.47246700590821</v>
      </c>
      <c r="AK296">
        <f>SMALL('Iter No Test'!$Q$9:$Q$508,294)</f>
        <v>225.39505894074279</v>
      </c>
      <c r="AL296">
        <f>1/(COUNT('Iter No Test'!$Q$9:$Q$508)-1)+$AL$295</f>
        <v>0.58717434869739527</v>
      </c>
      <c r="AN296">
        <f>SMALL('Iter No Test'!$T$9:$T$1008,294)</f>
        <v>165.31511042643609</v>
      </c>
      <c r="AO296">
        <f>1/(COUNT('Iter No Test'!$T$9:$T$1008)-1)+$AO$295</f>
        <v>0.29329329329329318</v>
      </c>
      <c r="AQ296">
        <f>SMALL('Iter No Test'!$W$9:$W$5008,294)</f>
        <v>86.297157864775528</v>
      </c>
      <c r="AR296">
        <f>1/(COUNT('Iter No Test'!$W$9:$W$5008)-1)+$AR$295</f>
        <v>5.8611722344468632E-2</v>
      </c>
    </row>
    <row r="297" spans="16:44">
      <c r="P297">
        <v>289</v>
      </c>
      <c r="Q297">
        <v>144.15118664142247</v>
      </c>
      <c r="S297">
        <v>289</v>
      </c>
      <c r="T297">
        <v>209.8394130720701</v>
      </c>
      <c r="V297">
        <v>289</v>
      </c>
      <c r="W297">
        <v>321.62802840194865</v>
      </c>
      <c r="AK297">
        <f>SMALL('Iter No Test'!$Q$9:$Q$508,295)</f>
        <v>225.87925776904981</v>
      </c>
      <c r="AL297">
        <f>1/(COUNT('Iter No Test'!$Q$9:$Q$508)-1)+$AL$296</f>
        <v>0.58917835671342733</v>
      </c>
      <c r="AN297">
        <f>SMALL('Iter No Test'!$T$9:$T$1008,295)</f>
        <v>165.62653850308618</v>
      </c>
      <c r="AO297">
        <f>1/(COUNT('Iter No Test'!$T$9:$T$1008)-1)+$AO$296</f>
        <v>0.29429429429429416</v>
      </c>
      <c r="AQ297">
        <f>SMALL('Iter No Test'!$W$9:$W$5008,295)</f>
        <v>86.667043193097626</v>
      </c>
      <c r="AR297">
        <f>1/(COUNT('Iter No Test'!$W$9:$W$5008)-1)+$AR$296</f>
        <v>5.881176235247023E-2</v>
      </c>
    </row>
    <row r="298" spans="16:44">
      <c r="P298">
        <v>290</v>
      </c>
      <c r="Q298">
        <v>423.7442000374196</v>
      </c>
      <c r="S298">
        <v>290</v>
      </c>
      <c r="T298">
        <v>363.24486442434835</v>
      </c>
      <c r="V298">
        <v>290</v>
      </c>
      <c r="W298">
        <v>56.223733744937206</v>
      </c>
      <c r="AK298">
        <f>SMALL('Iter No Test'!$Q$9:$Q$508,296)</f>
        <v>227.12229787292472</v>
      </c>
      <c r="AL298">
        <f>1/(COUNT('Iter No Test'!$Q$9:$Q$508)-1)+$AL$297</f>
        <v>0.5911823647294594</v>
      </c>
      <c r="AN298">
        <f>SMALL('Iter No Test'!$T$9:$T$1008,296)</f>
        <v>165.91704805413696</v>
      </c>
      <c r="AO298">
        <f>1/(COUNT('Iter No Test'!$T$9:$T$1008)-1)+$AO$297</f>
        <v>0.29529529529529513</v>
      </c>
      <c r="AQ298">
        <f>SMALL('Iter No Test'!$W$9:$W$5008,296)</f>
        <v>86.692467077018932</v>
      </c>
      <c r="AR298">
        <f>1/(COUNT('Iter No Test'!$W$9:$W$5008)-1)+$AR$297</f>
        <v>5.9011802360471828E-2</v>
      </c>
    </row>
    <row r="299" spans="16:44">
      <c r="P299">
        <v>291</v>
      </c>
      <c r="Q299">
        <v>216.58178375275719</v>
      </c>
      <c r="S299">
        <v>291</v>
      </c>
      <c r="T299">
        <v>221.38091171955628</v>
      </c>
      <c r="V299">
        <v>291</v>
      </c>
      <c r="W299">
        <v>143.09654428262638</v>
      </c>
      <c r="AK299">
        <f>SMALL('Iter No Test'!$Q$9:$Q$508,297)</f>
        <v>227.57156902580317</v>
      </c>
      <c r="AL299">
        <f>1/(COUNT('Iter No Test'!$Q$9:$Q$508)-1)+$AL$298</f>
        <v>0.59318637274549146</v>
      </c>
      <c r="AN299">
        <f>SMALL('Iter No Test'!$T$9:$T$1008,297)</f>
        <v>165.92587158127253</v>
      </c>
      <c r="AO299">
        <f>1/(COUNT('Iter No Test'!$T$9:$T$1008)-1)+$AO$298</f>
        <v>0.29629629629629611</v>
      </c>
      <c r="AQ299">
        <f>SMALL('Iter No Test'!$W$9:$W$5008,297)</f>
        <v>86.962226696036709</v>
      </c>
      <c r="AR299">
        <f>1/(COUNT('Iter No Test'!$W$9:$W$5008)-1)+$AR$298</f>
        <v>5.9211842368473426E-2</v>
      </c>
    </row>
    <row r="300" spans="16:44">
      <c r="P300">
        <v>292</v>
      </c>
      <c r="Q300">
        <v>156.1534006084633</v>
      </c>
      <c r="S300">
        <v>292</v>
      </c>
      <c r="T300">
        <v>306.10289941252768</v>
      </c>
      <c r="V300">
        <v>292</v>
      </c>
      <c r="W300">
        <v>265.82536716240463</v>
      </c>
      <c r="AK300">
        <f>SMALL('Iter No Test'!$Q$9:$Q$508,298)</f>
        <v>227.61996194727584</v>
      </c>
      <c r="AL300">
        <f>1/(COUNT('Iter No Test'!$Q$9:$Q$508)-1)+$AL$299</f>
        <v>0.59519038076152353</v>
      </c>
      <c r="AN300">
        <f>SMALL('Iter No Test'!$T$9:$T$1008,298)</f>
        <v>165.96484819568204</v>
      </c>
      <c r="AO300">
        <f>1/(COUNT('Iter No Test'!$T$9:$T$1008)-1)+$AO$299</f>
        <v>0.29729729729729709</v>
      </c>
      <c r="AQ300">
        <f>SMALL('Iter No Test'!$W$9:$W$5008,298)</f>
        <v>86.99411537281992</v>
      </c>
      <c r="AR300">
        <f>1/(COUNT('Iter No Test'!$W$9:$W$5008)-1)+$AR$299</f>
        <v>5.9411882376475024E-2</v>
      </c>
    </row>
    <row r="301" spans="16:44">
      <c r="P301">
        <v>293</v>
      </c>
      <c r="Q301">
        <v>303.25589303683125</v>
      </c>
      <c r="S301">
        <v>293</v>
      </c>
      <c r="T301">
        <v>193.13175357396833</v>
      </c>
      <c r="V301">
        <v>293</v>
      </c>
      <c r="W301">
        <v>269.8019114945447</v>
      </c>
      <c r="AK301">
        <f>SMALL('Iter No Test'!$Q$9:$Q$508,299)</f>
        <v>227.65300989849038</v>
      </c>
      <c r="AL301">
        <f>1/(COUNT('Iter No Test'!$Q$9:$Q$508)-1)+$AL$300</f>
        <v>0.5971943887775556</v>
      </c>
      <c r="AN301">
        <f>SMALL('Iter No Test'!$T$9:$T$1008,299)</f>
        <v>166.00551004857121</v>
      </c>
      <c r="AO301">
        <f>1/(COUNT('Iter No Test'!$T$9:$T$1008)-1)+$AO$300</f>
        <v>0.29829829829829807</v>
      </c>
      <c r="AQ301">
        <f>SMALL('Iter No Test'!$W$9:$W$5008,299)</f>
        <v>87.025662531255861</v>
      </c>
      <c r="AR301">
        <f>1/(COUNT('Iter No Test'!$W$9:$W$5008)-1)+$AR$300</f>
        <v>5.9611922384476622E-2</v>
      </c>
    </row>
    <row r="302" spans="16:44">
      <c r="P302">
        <v>294</v>
      </c>
      <c r="Q302">
        <v>181.1784313133563</v>
      </c>
      <c r="S302">
        <v>294</v>
      </c>
      <c r="T302">
        <v>167.22228829893959</v>
      </c>
      <c r="V302">
        <v>294</v>
      </c>
      <c r="W302">
        <v>123.16208830571027</v>
      </c>
      <c r="AK302">
        <f>SMALL('Iter No Test'!$Q$9:$Q$508,300)</f>
        <v>227.79984233453058</v>
      </c>
      <c r="AL302">
        <f>1/(COUNT('Iter No Test'!$Q$9:$Q$508)-1)+$AL$301</f>
        <v>0.59919839679358766</v>
      </c>
      <c r="AN302">
        <f>SMALL('Iter No Test'!$T$9:$T$1008,300)</f>
        <v>166.01416885264103</v>
      </c>
      <c r="AO302">
        <f>1/(COUNT('Iter No Test'!$T$9:$T$1008)-1)+$AO$301</f>
        <v>0.29929929929929905</v>
      </c>
      <c r="AQ302">
        <f>SMALL('Iter No Test'!$W$9:$W$5008,300)</f>
        <v>87.125675795522667</v>
      </c>
      <c r="AR302">
        <f>1/(COUNT('Iter No Test'!$W$9:$W$5008)-1)+$AR$301</f>
        <v>5.981196239247822E-2</v>
      </c>
    </row>
    <row r="303" spans="16:44">
      <c r="P303">
        <v>295</v>
      </c>
      <c r="Q303">
        <v>26.298530131168775</v>
      </c>
      <c r="S303">
        <v>295</v>
      </c>
      <c r="T303">
        <v>218.74746574894493</v>
      </c>
      <c r="V303">
        <v>295</v>
      </c>
      <c r="W303">
        <v>324.07914685168276</v>
      </c>
      <c r="AK303">
        <f>SMALL('Iter No Test'!$Q$9:$Q$508,301)</f>
        <v>227.89622228436335</v>
      </c>
      <c r="AL303">
        <f>1/(COUNT('Iter No Test'!$Q$9:$Q$508)-1)+$AL$302</f>
        <v>0.60120240480961973</v>
      </c>
      <c r="AN303">
        <f>SMALL('Iter No Test'!$T$9:$T$1008,301)</f>
        <v>166.69843562347106</v>
      </c>
      <c r="AO303">
        <f>1/(COUNT('Iter No Test'!$T$9:$T$1008)-1)+$AO$302</f>
        <v>0.30030030030030003</v>
      </c>
      <c r="AQ303">
        <f>SMALL('Iter No Test'!$W$9:$W$5008,301)</f>
        <v>87.16597146302621</v>
      </c>
      <c r="AR303">
        <f>1/(COUNT('Iter No Test'!$W$9:$W$5008)-1)+$AR$302</f>
        <v>6.0012002400479818E-2</v>
      </c>
    </row>
    <row r="304" spans="16:44">
      <c r="P304">
        <v>296</v>
      </c>
      <c r="Q304">
        <v>291.76111115492523</v>
      </c>
      <c r="S304">
        <v>296</v>
      </c>
      <c r="T304">
        <v>255.81330238445514</v>
      </c>
      <c r="V304">
        <v>296</v>
      </c>
      <c r="W304">
        <v>303.9574571282422</v>
      </c>
      <c r="AK304">
        <f>SMALL('Iter No Test'!$Q$9:$Q$508,302)</f>
        <v>227.91648677399138</v>
      </c>
      <c r="AL304">
        <f>1/(COUNT('Iter No Test'!$Q$9:$Q$508)-1)+$AL$303</f>
        <v>0.60320641282565179</v>
      </c>
      <c r="AN304">
        <f>SMALL('Iter No Test'!$T$9:$T$1008,302)</f>
        <v>166.80815651305809</v>
      </c>
      <c r="AO304">
        <f>1/(COUNT('Iter No Test'!$T$9:$T$1008)-1)+$AO$303</f>
        <v>0.30130130130130101</v>
      </c>
      <c r="AQ304">
        <f>SMALL('Iter No Test'!$W$9:$W$5008,302)</f>
        <v>87.199511797538733</v>
      </c>
      <c r="AR304">
        <f>1/(COUNT('Iter No Test'!$W$9:$W$5008)-1)+$AR$303</f>
        <v>6.0212042408481416E-2</v>
      </c>
    </row>
    <row r="305" spans="16:44">
      <c r="P305">
        <v>297</v>
      </c>
      <c r="Q305">
        <v>234.58452975464888</v>
      </c>
      <c r="S305">
        <v>297</v>
      </c>
      <c r="T305">
        <v>190.7016964139375</v>
      </c>
      <c r="V305">
        <v>297</v>
      </c>
      <c r="W305">
        <v>142.44142630739498</v>
      </c>
      <c r="AK305">
        <f>SMALL('Iter No Test'!$Q$9:$Q$508,303)</f>
        <v>228.32640755956447</v>
      </c>
      <c r="AL305">
        <f>1/(COUNT('Iter No Test'!$Q$9:$Q$508)-1)+$AL$304</f>
        <v>0.60521042084168386</v>
      </c>
      <c r="AN305">
        <f>SMALL('Iter No Test'!$T$9:$T$1008,303)</f>
        <v>166.86048759349421</v>
      </c>
      <c r="AO305">
        <f>1/(COUNT('Iter No Test'!$T$9:$T$1008)-1)+$AO$304</f>
        <v>0.30230230230230198</v>
      </c>
      <c r="AQ305">
        <f>SMALL('Iter No Test'!$W$9:$W$5008,303)</f>
        <v>87.293167517097359</v>
      </c>
      <c r="AR305">
        <f>1/(COUNT('Iter No Test'!$W$9:$W$5008)-1)+$AR$304</f>
        <v>6.0412082416483014E-2</v>
      </c>
    </row>
    <row r="306" spans="16:44">
      <c r="P306">
        <v>298</v>
      </c>
      <c r="Q306">
        <v>94.78633910677263</v>
      </c>
      <c r="S306">
        <v>298</v>
      </c>
      <c r="T306">
        <v>381.71696368184411</v>
      </c>
      <c r="V306">
        <v>298</v>
      </c>
      <c r="W306">
        <v>212.90083242778016</v>
      </c>
      <c r="AK306">
        <f>SMALL('Iter No Test'!$Q$9:$Q$508,304)</f>
        <v>228.61113175665537</v>
      </c>
      <c r="AL306">
        <f>1/(COUNT('Iter No Test'!$Q$9:$Q$508)-1)+$AL$305</f>
        <v>0.60721442885771593</v>
      </c>
      <c r="AN306">
        <f>SMALL('Iter No Test'!$T$9:$T$1008,304)</f>
        <v>166.95424246570795</v>
      </c>
      <c r="AO306">
        <f>1/(COUNT('Iter No Test'!$T$9:$T$1008)-1)+$AO$305</f>
        <v>0.30330330330330296</v>
      </c>
      <c r="AQ306">
        <f>SMALL('Iter No Test'!$W$9:$W$5008,304)</f>
        <v>87.418190190059747</v>
      </c>
      <c r="AR306">
        <f>1/(COUNT('Iter No Test'!$W$9:$W$5008)-1)+$AR$305</f>
        <v>6.0612122424484612E-2</v>
      </c>
    </row>
    <row r="307" spans="16:44">
      <c r="P307">
        <v>299</v>
      </c>
      <c r="Q307">
        <v>294.78611385128875</v>
      </c>
      <c r="S307">
        <v>299</v>
      </c>
      <c r="T307">
        <v>252.78273113165608</v>
      </c>
      <c r="V307">
        <v>299</v>
      </c>
      <c r="W307">
        <v>232.60167818632209</v>
      </c>
      <c r="AK307">
        <f>SMALL('Iter No Test'!$Q$9:$Q$508,305)</f>
        <v>228.9562185163191</v>
      </c>
      <c r="AL307">
        <f>1/(COUNT('Iter No Test'!$Q$9:$Q$508)-1)+$AL$306</f>
        <v>0.60921843687374799</v>
      </c>
      <c r="AN307">
        <f>SMALL('Iter No Test'!$T$9:$T$1008,305)</f>
        <v>167.10925763230256</v>
      </c>
      <c r="AO307">
        <f>1/(COUNT('Iter No Test'!$T$9:$T$1008)-1)+$AO$306</f>
        <v>0.30430430430430394</v>
      </c>
      <c r="AQ307">
        <f>SMALL('Iter No Test'!$W$9:$W$5008,305)</f>
        <v>87.610762745798922</v>
      </c>
      <c r="AR307">
        <f>1/(COUNT('Iter No Test'!$W$9:$W$5008)-1)+$AR$306</f>
        <v>6.081216243248621E-2</v>
      </c>
    </row>
    <row r="308" spans="16:44">
      <c r="P308">
        <v>300</v>
      </c>
      <c r="Q308">
        <v>189.48846293364869</v>
      </c>
      <c r="S308">
        <v>300</v>
      </c>
      <c r="T308">
        <v>220.54692094679217</v>
      </c>
      <c r="V308">
        <v>300</v>
      </c>
      <c r="W308">
        <v>197.0223078809943</v>
      </c>
      <c r="AK308">
        <f>SMALL('Iter No Test'!$Q$9:$Q$508,306)</f>
        <v>229.38440538107147</v>
      </c>
      <c r="AL308">
        <f>1/(COUNT('Iter No Test'!$Q$9:$Q$508)-1)+$AL$307</f>
        <v>0.61122244488978006</v>
      </c>
      <c r="AN308">
        <f>SMALL('Iter No Test'!$T$9:$T$1008,306)</f>
        <v>167.22228829893959</v>
      </c>
      <c r="AO308">
        <f>1/(COUNT('Iter No Test'!$T$9:$T$1008)-1)+$AO$307</f>
        <v>0.30530530530530492</v>
      </c>
      <c r="AQ308">
        <f>SMALL('Iter No Test'!$W$9:$W$5008,306)</f>
        <v>87.62935259182791</v>
      </c>
      <c r="AR308">
        <f>1/(COUNT('Iter No Test'!$W$9:$W$5008)-1)+$AR$307</f>
        <v>6.1012202440487807E-2</v>
      </c>
    </row>
    <row r="309" spans="16:44">
      <c r="P309">
        <v>301</v>
      </c>
      <c r="Q309">
        <v>367.39248015389649</v>
      </c>
      <c r="S309">
        <v>301</v>
      </c>
      <c r="T309">
        <v>299.35452257605232</v>
      </c>
      <c r="V309">
        <v>301</v>
      </c>
      <c r="W309">
        <v>353.61135674507693</v>
      </c>
      <c r="AK309">
        <f>SMALL('Iter No Test'!$Q$9:$Q$508,307)</f>
        <v>230.16056507779152</v>
      </c>
      <c r="AL309">
        <f>1/(COUNT('Iter No Test'!$Q$9:$Q$508)-1)+$AL$308</f>
        <v>0.61322645290581212</v>
      </c>
      <c r="AN309">
        <f>SMALL('Iter No Test'!$T$9:$T$1008,307)</f>
        <v>167.34802528585266</v>
      </c>
      <c r="AO309">
        <f>1/(COUNT('Iter No Test'!$T$9:$T$1008)-1)+$AO$308</f>
        <v>0.3063063063063059</v>
      </c>
      <c r="AQ309">
        <f>SMALL('Iter No Test'!$W$9:$W$5008,307)</f>
        <v>87.659661918974564</v>
      </c>
      <c r="AR309">
        <f>1/(COUNT('Iter No Test'!$W$9:$W$5008)-1)+$AR$308</f>
        <v>6.1212242448489405E-2</v>
      </c>
    </row>
    <row r="310" spans="16:44">
      <c r="P310">
        <v>302</v>
      </c>
      <c r="Q310">
        <v>285.85156012095592</v>
      </c>
      <c r="S310">
        <v>302</v>
      </c>
      <c r="T310">
        <v>50.512568979517553</v>
      </c>
      <c r="V310">
        <v>302</v>
      </c>
      <c r="W310">
        <v>313.28820552109397</v>
      </c>
      <c r="AK310">
        <f>SMALL('Iter No Test'!$Q$9:$Q$508,308)</f>
        <v>230.40814012150688</v>
      </c>
      <c r="AL310">
        <f>1/(COUNT('Iter No Test'!$Q$9:$Q$508)-1)+$AL$309</f>
        <v>0.61523046092184419</v>
      </c>
      <c r="AN310">
        <f>SMALL('Iter No Test'!$T$9:$T$1008,308)</f>
        <v>167.70529031155516</v>
      </c>
      <c r="AO310">
        <f>1/(COUNT('Iter No Test'!$T$9:$T$1008)-1)+$AO$309</f>
        <v>0.30730730730730688</v>
      </c>
      <c r="AQ310">
        <f>SMALL('Iter No Test'!$W$9:$W$5008,308)</f>
        <v>87.722736567109422</v>
      </c>
      <c r="AR310">
        <f>1/(COUNT('Iter No Test'!$W$9:$W$5008)-1)+$AR$309</f>
        <v>6.1412282456491003E-2</v>
      </c>
    </row>
    <row r="311" spans="16:44">
      <c r="P311">
        <v>303</v>
      </c>
      <c r="Q311">
        <v>126.09512620086623</v>
      </c>
      <c r="S311">
        <v>303</v>
      </c>
      <c r="T311">
        <v>208.59047385940957</v>
      </c>
      <c r="V311">
        <v>303</v>
      </c>
      <c r="W311">
        <v>75.441139830288037</v>
      </c>
      <c r="AK311">
        <f>SMALL('Iter No Test'!$Q$9:$Q$508,309)</f>
        <v>231.51421614978861</v>
      </c>
      <c r="AL311">
        <f>1/(COUNT('Iter No Test'!$Q$9:$Q$508)-1)+$AL$310</f>
        <v>0.61723446893787626</v>
      </c>
      <c r="AN311">
        <f>SMALL('Iter No Test'!$T$9:$T$1008,309)</f>
        <v>167.96707015234159</v>
      </c>
      <c r="AO311">
        <f>1/(COUNT('Iter No Test'!$T$9:$T$1008)-1)+$AO$310</f>
        <v>0.30830830830830785</v>
      </c>
      <c r="AQ311">
        <f>SMALL('Iter No Test'!$W$9:$W$5008,309)</f>
        <v>87.893379928180494</v>
      </c>
      <c r="AR311">
        <f>1/(COUNT('Iter No Test'!$W$9:$W$5008)-1)+$AR$310</f>
        <v>6.1612322464492601E-2</v>
      </c>
    </row>
    <row r="312" spans="16:44">
      <c r="P312">
        <v>304</v>
      </c>
      <c r="Q312">
        <v>321.6601510354472</v>
      </c>
      <c r="S312">
        <v>304</v>
      </c>
      <c r="T312">
        <v>205.40373631839788</v>
      </c>
      <c r="V312">
        <v>304</v>
      </c>
      <c r="W312">
        <v>87.293167517097359</v>
      </c>
      <c r="AK312">
        <f>SMALL('Iter No Test'!$Q$9:$Q$508,310)</f>
        <v>231.77129651064723</v>
      </c>
      <c r="AL312">
        <f>1/(COUNT('Iter No Test'!$Q$9:$Q$508)-1)+$AL$311</f>
        <v>0.61923847695390832</v>
      </c>
      <c r="AN312">
        <f>SMALL('Iter No Test'!$T$9:$T$1008,310)</f>
        <v>168.56489923123434</v>
      </c>
      <c r="AO312">
        <f>1/(COUNT('Iter No Test'!$T$9:$T$1008)-1)+$AO$311</f>
        <v>0.30930930930930883</v>
      </c>
      <c r="AQ312">
        <f>SMALL('Iter No Test'!$W$9:$W$5008,310)</f>
        <v>88.052596700415918</v>
      </c>
      <c r="AR312">
        <f>1/(COUNT('Iter No Test'!$W$9:$W$5008)-1)+$AR$311</f>
        <v>6.1812362472494199E-2</v>
      </c>
    </row>
    <row r="313" spans="16:44">
      <c r="P313">
        <v>305</v>
      </c>
      <c r="Q313">
        <v>158.82177735755482</v>
      </c>
      <c r="S313">
        <v>305</v>
      </c>
      <c r="T313">
        <v>104.99484298248812</v>
      </c>
      <c r="V313">
        <v>305</v>
      </c>
      <c r="W313">
        <v>292.08830846210515</v>
      </c>
      <c r="AK313">
        <f>SMALL('Iter No Test'!$Q$9:$Q$508,311)</f>
        <v>232.14284655336974</v>
      </c>
      <c r="AL313">
        <f>1/(COUNT('Iter No Test'!$Q$9:$Q$508)-1)+$AL$312</f>
        <v>0.62124248496994039</v>
      </c>
      <c r="AN313">
        <f>SMALL('Iter No Test'!$T$9:$T$1008,311)</f>
        <v>168.7545943696739</v>
      </c>
      <c r="AO313">
        <f>1/(COUNT('Iter No Test'!$T$9:$T$1008)-1)+$AO$312</f>
        <v>0.31031031031030981</v>
      </c>
      <c r="AQ313">
        <f>SMALL('Iter No Test'!$W$9:$W$5008,311)</f>
        <v>88.073141899839925</v>
      </c>
      <c r="AR313">
        <f>1/(COUNT('Iter No Test'!$W$9:$W$5008)-1)+$AR$312</f>
        <v>6.2012402480495797E-2</v>
      </c>
    </row>
    <row r="314" spans="16:44">
      <c r="P314">
        <v>306</v>
      </c>
      <c r="Q314">
        <v>85.257349134275671</v>
      </c>
      <c r="S314">
        <v>306</v>
      </c>
      <c r="T314">
        <v>195.2332207300951</v>
      </c>
      <c r="V314">
        <v>306</v>
      </c>
      <c r="W314">
        <v>127.86907399796227</v>
      </c>
      <c r="AK314">
        <f>SMALL('Iter No Test'!$Q$9:$Q$508,312)</f>
        <v>233.28758855919284</v>
      </c>
      <c r="AL314">
        <f>1/(COUNT('Iter No Test'!$Q$9:$Q$508)-1)+$AL$313</f>
        <v>0.62324649298597246</v>
      </c>
      <c r="AN314">
        <f>SMALL('Iter No Test'!$T$9:$T$1008,312)</f>
        <v>168.92334167942602</v>
      </c>
      <c r="AO314">
        <f>1/(COUNT('Iter No Test'!$T$9:$T$1008)-1)+$AO$313</f>
        <v>0.31131131131131079</v>
      </c>
      <c r="AQ314">
        <f>SMALL('Iter No Test'!$W$9:$W$5008,312)</f>
        <v>88.155509712362004</v>
      </c>
      <c r="AR314">
        <f>1/(COUNT('Iter No Test'!$W$9:$W$5008)-1)+$AR$313</f>
        <v>6.2212442488497395E-2</v>
      </c>
    </row>
    <row r="315" spans="16:44">
      <c r="P315">
        <v>307</v>
      </c>
      <c r="Q315">
        <v>196.39796240857714</v>
      </c>
      <c r="S315">
        <v>307</v>
      </c>
      <c r="T315">
        <v>162.06184704794123</v>
      </c>
      <c r="V315">
        <v>307</v>
      </c>
      <c r="W315">
        <v>155.24792566174784</v>
      </c>
      <c r="AK315">
        <f>SMALL('Iter No Test'!$Q$9:$Q$508,313)</f>
        <v>233.29313565786887</v>
      </c>
      <c r="AL315">
        <f>1/(COUNT('Iter No Test'!$Q$9:$Q$508)-1)+$AL$314</f>
        <v>0.62525050100200452</v>
      </c>
      <c r="AN315">
        <f>SMALL('Iter No Test'!$T$9:$T$1008,313)</f>
        <v>169.02479789577015</v>
      </c>
      <c r="AO315">
        <f>1/(COUNT('Iter No Test'!$T$9:$T$1008)-1)+$AO$314</f>
        <v>0.31231231231231177</v>
      </c>
      <c r="AQ315">
        <f>SMALL('Iter No Test'!$W$9:$W$5008,313)</f>
        <v>88.246134283982386</v>
      </c>
      <c r="AR315">
        <f>1/(COUNT('Iter No Test'!$W$9:$W$5008)-1)+$AR$314</f>
        <v>6.2412482496498993E-2</v>
      </c>
    </row>
    <row r="316" spans="16:44">
      <c r="P316">
        <v>308</v>
      </c>
      <c r="Q316">
        <v>258.02664264378825</v>
      </c>
      <c r="S316">
        <v>308</v>
      </c>
      <c r="T316">
        <v>177.84995146579433</v>
      </c>
      <c r="V316">
        <v>308</v>
      </c>
      <c r="W316">
        <v>143.14464670900983</v>
      </c>
      <c r="AK316">
        <f>SMALL('Iter No Test'!$Q$9:$Q$508,314)</f>
        <v>233.64813587384285</v>
      </c>
      <c r="AL316">
        <f>1/(COUNT('Iter No Test'!$Q$9:$Q$508)-1)+$AL$315</f>
        <v>0.62725450901803659</v>
      </c>
      <c r="AN316">
        <f>SMALL('Iter No Test'!$T$9:$T$1008,314)</f>
        <v>169.13537050346909</v>
      </c>
      <c r="AO316">
        <f>1/(COUNT('Iter No Test'!$T$9:$T$1008)-1)+$AO$315</f>
        <v>0.31331331331331275</v>
      </c>
      <c r="AQ316">
        <f>SMALL('Iter No Test'!$W$9:$W$5008,314)</f>
        <v>88.364468749485326</v>
      </c>
      <c r="AR316">
        <f>1/(COUNT('Iter No Test'!$W$9:$W$5008)-1)+$AR$315</f>
        <v>6.2612522504500598E-2</v>
      </c>
    </row>
    <row r="317" spans="16:44">
      <c r="P317">
        <v>309</v>
      </c>
      <c r="Q317">
        <v>237.95293235544057</v>
      </c>
      <c r="S317">
        <v>309</v>
      </c>
      <c r="T317">
        <v>129.82633729694828</v>
      </c>
      <c r="V317">
        <v>309</v>
      </c>
      <c r="W317">
        <v>158.95465124765104</v>
      </c>
      <c r="AK317">
        <f>SMALL('Iter No Test'!$Q$9:$Q$508,315)</f>
        <v>233.84768200471154</v>
      </c>
      <c r="AL317">
        <f>1/(COUNT('Iter No Test'!$Q$9:$Q$508)-1)+$AL$316</f>
        <v>0.62925851703406865</v>
      </c>
      <c r="AN317">
        <f>SMALL('Iter No Test'!$T$9:$T$1008,315)</f>
        <v>169.55341919334825</v>
      </c>
      <c r="AO317">
        <f>1/(COUNT('Iter No Test'!$T$9:$T$1008)-1)+$AO$316</f>
        <v>0.31431431431431373</v>
      </c>
      <c r="AQ317">
        <f>SMALL('Iter No Test'!$W$9:$W$5008,315)</f>
        <v>88.420427618290915</v>
      </c>
      <c r="AR317">
        <f>1/(COUNT('Iter No Test'!$W$9:$W$5008)-1)+$AR$316</f>
        <v>6.2812562512502196E-2</v>
      </c>
    </row>
    <row r="318" spans="16:44">
      <c r="P318">
        <v>310</v>
      </c>
      <c r="Q318">
        <v>378.5514479268856</v>
      </c>
      <c r="S318">
        <v>310</v>
      </c>
      <c r="T318">
        <v>122.92843205283201</v>
      </c>
      <c r="V318">
        <v>310</v>
      </c>
      <c r="W318">
        <v>99.177916003048665</v>
      </c>
      <c r="AK318">
        <f>SMALL('Iter No Test'!$Q$9:$Q$508,316)</f>
        <v>233.85333733386216</v>
      </c>
      <c r="AL318">
        <f>1/(COUNT('Iter No Test'!$Q$9:$Q$508)-1)+$AL$317</f>
        <v>0.63126252505010072</v>
      </c>
      <c r="AN318">
        <f>SMALL('Iter No Test'!$T$9:$T$1008,316)</f>
        <v>169.65355344004126</v>
      </c>
      <c r="AO318">
        <f>1/(COUNT('Iter No Test'!$T$9:$T$1008)-1)+$AO$317</f>
        <v>0.3153153153153147</v>
      </c>
      <c r="AQ318">
        <f>SMALL('Iter No Test'!$W$9:$W$5008,316)</f>
        <v>88.664774910319522</v>
      </c>
      <c r="AR318">
        <f>1/(COUNT('Iter No Test'!$W$9:$W$5008)-1)+$AR$317</f>
        <v>6.3012602520503794E-2</v>
      </c>
    </row>
    <row r="319" spans="16:44">
      <c r="P319">
        <v>311</v>
      </c>
      <c r="Q319">
        <v>75.136335003929602</v>
      </c>
      <c r="S319">
        <v>311</v>
      </c>
      <c r="T319">
        <v>201.90391160282257</v>
      </c>
      <c r="V319">
        <v>311</v>
      </c>
      <c r="W319">
        <v>193.20256625916525</v>
      </c>
      <c r="AK319">
        <f>SMALL('Iter No Test'!$Q$9:$Q$508,317)</f>
        <v>233.86610880071839</v>
      </c>
      <c r="AL319">
        <f>1/(COUNT('Iter No Test'!$Q$9:$Q$508)-1)+$AL$318</f>
        <v>0.63326653306613279</v>
      </c>
      <c r="AN319">
        <f>SMALL('Iter No Test'!$T$9:$T$1008,317)</f>
        <v>169.67522543781982</v>
      </c>
      <c r="AO319">
        <f>1/(COUNT('Iter No Test'!$T$9:$T$1008)-1)+$AO$318</f>
        <v>0.31631631631631568</v>
      </c>
      <c r="AQ319">
        <f>SMALL('Iter No Test'!$W$9:$W$5008,317)</f>
        <v>88.800466170276437</v>
      </c>
      <c r="AR319">
        <f>1/(COUNT('Iter No Test'!$W$9:$W$5008)-1)+$AR$318</f>
        <v>6.3212642528505392E-2</v>
      </c>
    </row>
    <row r="320" spans="16:44">
      <c r="P320">
        <v>312</v>
      </c>
      <c r="Q320">
        <v>145.59081600398198</v>
      </c>
      <c r="S320">
        <v>312</v>
      </c>
      <c r="T320">
        <v>188.70987927304901</v>
      </c>
      <c r="V320">
        <v>312</v>
      </c>
      <c r="W320">
        <v>184.44548917322155</v>
      </c>
      <c r="AK320">
        <f>SMALL('Iter No Test'!$Q$9:$Q$508,318)</f>
        <v>234.15221201175194</v>
      </c>
      <c r="AL320">
        <f>1/(COUNT('Iter No Test'!$Q$9:$Q$508)-1)+$AL$319</f>
        <v>0.63527054108216485</v>
      </c>
      <c r="AN320">
        <f>SMALL('Iter No Test'!$T$9:$T$1008,318)</f>
        <v>169.83148799943834</v>
      </c>
      <c r="AO320">
        <f>1/(COUNT('Iter No Test'!$T$9:$T$1008)-1)+$AO$319</f>
        <v>0.31731731731731666</v>
      </c>
      <c r="AQ320">
        <f>SMALL('Iter No Test'!$W$9:$W$5008,318)</f>
        <v>88.914174825135206</v>
      </c>
      <c r="AR320">
        <f>1/(COUNT('Iter No Test'!$W$9:$W$5008)-1)+$AR$319</f>
        <v>6.341268253650699E-2</v>
      </c>
    </row>
    <row r="321" spans="16:44">
      <c r="P321">
        <v>313</v>
      </c>
      <c r="Q321">
        <v>288.34044282478158</v>
      </c>
      <c r="S321">
        <v>313</v>
      </c>
      <c r="T321">
        <v>126.65706535358495</v>
      </c>
      <c r="V321">
        <v>313</v>
      </c>
      <c r="W321">
        <v>281.79880308966108</v>
      </c>
      <c r="AK321">
        <f>SMALL('Iter No Test'!$Q$9:$Q$508,319)</f>
        <v>234.21411784983556</v>
      </c>
      <c r="AL321">
        <f>1/(COUNT('Iter No Test'!$Q$9:$Q$508)-1)+$AL$320</f>
        <v>0.63727454909819692</v>
      </c>
      <c r="AN321">
        <f>SMALL('Iter No Test'!$T$9:$T$1008,319)</f>
        <v>170.11898054050013</v>
      </c>
      <c r="AO321">
        <f>1/(COUNT('Iter No Test'!$T$9:$T$1008)-1)+$AO$320</f>
        <v>0.31831831831831764</v>
      </c>
      <c r="AQ321">
        <f>SMALL('Iter No Test'!$W$9:$W$5008,319)</f>
        <v>88.993956528862441</v>
      </c>
      <c r="AR321">
        <f>1/(COUNT('Iter No Test'!$W$9:$W$5008)-1)+$AR$320</f>
        <v>6.3612722544508588E-2</v>
      </c>
    </row>
    <row r="322" spans="16:44">
      <c r="P322">
        <v>314</v>
      </c>
      <c r="Q322">
        <v>247.09225896386249</v>
      </c>
      <c r="S322">
        <v>314</v>
      </c>
      <c r="T322">
        <v>148.76553783308435</v>
      </c>
      <c r="V322">
        <v>314</v>
      </c>
      <c r="W322">
        <v>215.75680323479546</v>
      </c>
      <c r="AK322">
        <f>SMALL('Iter No Test'!$Q$9:$Q$508,320)</f>
        <v>234.58452975464888</v>
      </c>
      <c r="AL322">
        <f>1/(COUNT('Iter No Test'!$Q$9:$Q$508)-1)+$AL$321</f>
        <v>0.63927855711422898</v>
      </c>
      <c r="AN322">
        <f>SMALL('Iter No Test'!$T$9:$T$1008,320)</f>
        <v>170.14007441647701</v>
      </c>
      <c r="AO322">
        <f>1/(COUNT('Iter No Test'!$T$9:$T$1008)-1)+$AO$321</f>
        <v>0.31931931931931862</v>
      </c>
      <c r="AQ322">
        <f>SMALL('Iter No Test'!$W$9:$W$5008,320)</f>
        <v>88.994064264104566</v>
      </c>
      <c r="AR322">
        <f>1/(COUNT('Iter No Test'!$W$9:$W$5008)-1)+$AR$321</f>
        <v>6.3812762552510185E-2</v>
      </c>
    </row>
    <row r="323" spans="16:44">
      <c r="P323">
        <v>315</v>
      </c>
      <c r="Q323">
        <v>136.23347946384706</v>
      </c>
      <c r="S323">
        <v>315</v>
      </c>
      <c r="T323">
        <v>133.9332232650091</v>
      </c>
      <c r="V323">
        <v>315</v>
      </c>
      <c r="W323">
        <v>271.06183918278003</v>
      </c>
      <c r="AK323">
        <f>SMALL('Iter No Test'!$Q$9:$Q$508,321)</f>
        <v>234.64564020850315</v>
      </c>
      <c r="AL323">
        <f>1/(COUNT('Iter No Test'!$Q$9:$Q$508)-1)+$AL$322</f>
        <v>0.64128256513026105</v>
      </c>
      <c r="AN323">
        <f>SMALL('Iter No Test'!$T$9:$T$1008,321)</f>
        <v>170.26332202858947</v>
      </c>
      <c r="AO323">
        <f>1/(COUNT('Iter No Test'!$T$9:$T$1008)-1)+$AO$322</f>
        <v>0.3203203203203196</v>
      </c>
      <c r="AQ323">
        <f>SMALL('Iter No Test'!$W$9:$W$5008,321)</f>
        <v>89.024920439614306</v>
      </c>
      <c r="AR323">
        <f>1/(COUNT('Iter No Test'!$W$9:$W$5008)-1)+$AR$322</f>
        <v>6.4012802560511783E-2</v>
      </c>
    </row>
    <row r="324" spans="16:44">
      <c r="P324">
        <v>316</v>
      </c>
      <c r="Q324">
        <v>179.33990769714998</v>
      </c>
      <c r="S324">
        <v>316</v>
      </c>
      <c r="T324">
        <v>121.62077945748899</v>
      </c>
      <c r="V324">
        <v>316</v>
      </c>
      <c r="W324">
        <v>71.404392086886617</v>
      </c>
      <c r="AK324">
        <f>SMALL('Iter No Test'!$Q$9:$Q$508,322)</f>
        <v>235.34213003461892</v>
      </c>
      <c r="AL324">
        <f>1/(COUNT('Iter No Test'!$Q$9:$Q$508)-1)+$AL$323</f>
        <v>0.64328657314629312</v>
      </c>
      <c r="AN324">
        <f>SMALL('Iter No Test'!$T$9:$T$1008,322)</f>
        <v>170.29628628157155</v>
      </c>
      <c r="AO324">
        <f>1/(COUNT('Iter No Test'!$T$9:$T$1008)-1)+$AO$323</f>
        <v>0.32132132132132057</v>
      </c>
      <c r="AQ324">
        <f>SMALL('Iter No Test'!$W$9:$W$5008,322)</f>
        <v>89.135186561686865</v>
      </c>
      <c r="AR324">
        <f>1/(COUNT('Iter No Test'!$W$9:$W$5008)-1)+$AR$323</f>
        <v>6.4212842568513381E-2</v>
      </c>
    </row>
    <row r="325" spans="16:44">
      <c r="P325">
        <v>317</v>
      </c>
      <c r="Q325">
        <v>129.18639323130589</v>
      </c>
      <c r="S325">
        <v>317</v>
      </c>
      <c r="T325">
        <v>88.204930589026631</v>
      </c>
      <c r="V325">
        <v>317</v>
      </c>
      <c r="W325">
        <v>215.05078022417882</v>
      </c>
      <c r="AK325">
        <f>SMALL('Iter No Test'!$Q$9:$Q$508,323)</f>
        <v>235.75797310216447</v>
      </c>
      <c r="AL325">
        <f>1/(COUNT('Iter No Test'!$Q$9:$Q$508)-1)+$AL$324</f>
        <v>0.64529058116232518</v>
      </c>
      <c r="AN325">
        <f>SMALL('Iter No Test'!$T$9:$T$1008,323)</f>
        <v>170.47879024362032</v>
      </c>
      <c r="AO325">
        <f>1/(COUNT('Iter No Test'!$T$9:$T$1008)-1)+$AO$324</f>
        <v>0.32232232232232155</v>
      </c>
      <c r="AQ325">
        <f>SMALL('Iter No Test'!$W$9:$W$5008,323)</f>
        <v>89.262367926097937</v>
      </c>
      <c r="AR325">
        <f>1/(COUNT('Iter No Test'!$W$9:$W$5008)-1)+$AR$324</f>
        <v>6.4412882576514979E-2</v>
      </c>
    </row>
    <row r="326" spans="16:44">
      <c r="P326">
        <v>318</v>
      </c>
      <c r="Q326">
        <v>146.25294373559331</v>
      </c>
      <c r="S326">
        <v>318</v>
      </c>
      <c r="T326">
        <v>169.83148799943834</v>
      </c>
      <c r="V326">
        <v>318</v>
      </c>
      <c r="W326">
        <v>187.4208223830675</v>
      </c>
      <c r="AK326">
        <f>SMALL('Iter No Test'!$Q$9:$Q$508,324)</f>
        <v>236.01239499430523</v>
      </c>
      <c r="AL326">
        <f>1/(COUNT('Iter No Test'!$Q$9:$Q$508)-1)+$AL$325</f>
        <v>0.64729458917835725</v>
      </c>
      <c r="AN326">
        <f>SMALL('Iter No Test'!$T$9:$T$1008,324)</f>
        <v>170.53020934821242</v>
      </c>
      <c r="AO326">
        <f>1/(COUNT('Iter No Test'!$T$9:$T$1008)-1)+$AO$325</f>
        <v>0.32332332332332253</v>
      </c>
      <c r="AQ326">
        <f>SMALL('Iter No Test'!$W$9:$W$5008,324)</f>
        <v>89.396370216853398</v>
      </c>
      <c r="AR326">
        <f>1/(COUNT('Iter No Test'!$W$9:$W$5008)-1)+$AR$325</f>
        <v>6.4612922584516577E-2</v>
      </c>
    </row>
    <row r="327" spans="16:44">
      <c r="P327">
        <v>319</v>
      </c>
      <c r="Q327">
        <v>284.88554406602645</v>
      </c>
      <c r="S327">
        <v>319</v>
      </c>
      <c r="T327">
        <v>366.12492771441191</v>
      </c>
      <c r="V327">
        <v>319</v>
      </c>
      <c r="W327">
        <v>507.04160037643351</v>
      </c>
      <c r="AK327">
        <f>SMALL('Iter No Test'!$Q$9:$Q$508,325)</f>
        <v>236.39712733160073</v>
      </c>
      <c r="AL327">
        <f>1/(COUNT('Iter No Test'!$Q$9:$Q$508)-1)+$AL$326</f>
        <v>0.64929859719438932</v>
      </c>
      <c r="AN327">
        <f>SMALL('Iter No Test'!$T$9:$T$1008,325)</f>
        <v>170.56754466016463</v>
      </c>
      <c r="AO327">
        <f>1/(COUNT('Iter No Test'!$T$9:$T$1008)-1)+$AO$326</f>
        <v>0.32432432432432351</v>
      </c>
      <c r="AQ327">
        <f>SMALL('Iter No Test'!$W$9:$W$5008,325)</f>
        <v>89.413979086077291</v>
      </c>
      <c r="AR327">
        <f>1/(COUNT('Iter No Test'!$W$9:$W$5008)-1)+$AR$326</f>
        <v>6.4812962592518175E-2</v>
      </c>
    </row>
    <row r="328" spans="16:44">
      <c r="P328">
        <v>320</v>
      </c>
      <c r="Q328">
        <v>305.41206615031069</v>
      </c>
      <c r="S328">
        <v>320</v>
      </c>
      <c r="T328">
        <v>187.87150395769078</v>
      </c>
      <c r="V328">
        <v>320</v>
      </c>
      <c r="W328">
        <v>206.15936790778596</v>
      </c>
      <c r="AK328">
        <f>SMALL('Iter No Test'!$Q$9:$Q$508,326)</f>
        <v>236.69073422421161</v>
      </c>
      <c r="AL328">
        <f>1/(COUNT('Iter No Test'!$Q$9:$Q$508)-1)+$AL$327</f>
        <v>0.65130260521042138</v>
      </c>
      <c r="AN328">
        <f>SMALL('Iter No Test'!$T$9:$T$1008,326)</f>
        <v>170.57249779196115</v>
      </c>
      <c r="AO328">
        <f>1/(COUNT('Iter No Test'!$T$9:$T$1008)-1)+$AO$327</f>
        <v>0.32532532532532449</v>
      </c>
      <c r="AQ328">
        <f>SMALL('Iter No Test'!$W$9:$W$5008,326)</f>
        <v>89.81113512721285</v>
      </c>
      <c r="AR328">
        <f>1/(COUNT('Iter No Test'!$W$9:$W$5008)-1)+$AR$327</f>
        <v>6.5013002600519773E-2</v>
      </c>
    </row>
    <row r="329" spans="16:44">
      <c r="P329">
        <v>321</v>
      </c>
      <c r="Q329">
        <v>168.30978178843566</v>
      </c>
      <c r="S329">
        <v>321</v>
      </c>
      <c r="T329">
        <v>175.29812355288846</v>
      </c>
      <c r="V329">
        <v>321</v>
      </c>
      <c r="W329">
        <v>237.02289528370738</v>
      </c>
      <c r="AK329">
        <f>SMALL('Iter No Test'!$Q$9:$Q$508,327)</f>
        <v>237.95293235544057</v>
      </c>
      <c r="AL329">
        <f>1/(COUNT('Iter No Test'!$Q$9:$Q$508)-1)+$AL$328</f>
        <v>0.65330661322645345</v>
      </c>
      <c r="AN329">
        <f>SMALL('Iter No Test'!$T$9:$T$1008,327)</f>
        <v>170.82243177300575</v>
      </c>
      <c r="AO329">
        <f>1/(COUNT('Iter No Test'!$T$9:$T$1008)-1)+$AO$328</f>
        <v>0.32632632632632547</v>
      </c>
      <c r="AQ329">
        <f>SMALL('Iter No Test'!$W$9:$W$5008,327)</f>
        <v>89.840448081979133</v>
      </c>
      <c r="AR329">
        <f>1/(COUNT('Iter No Test'!$W$9:$W$5008)-1)+$AR$328</f>
        <v>6.5213042608521371E-2</v>
      </c>
    </row>
    <row r="330" spans="16:44">
      <c r="P330">
        <v>322</v>
      </c>
      <c r="Q330">
        <v>120.90013839552142</v>
      </c>
      <c r="S330">
        <v>322</v>
      </c>
      <c r="T330">
        <v>182.34222618466467</v>
      </c>
      <c r="V330">
        <v>322</v>
      </c>
      <c r="W330">
        <v>252.38758875738469</v>
      </c>
      <c r="AK330">
        <f>SMALL('Iter No Test'!$Q$9:$Q$508,328)</f>
        <v>238.88828833443321</v>
      </c>
      <c r="AL330">
        <f>1/(COUNT('Iter No Test'!$Q$9:$Q$508)-1)+$AL$329</f>
        <v>0.65531062124248551</v>
      </c>
      <c r="AN330">
        <f>SMALL('Iter No Test'!$T$9:$T$1008,328)</f>
        <v>171.10550595311145</v>
      </c>
      <c r="AO330">
        <f>1/(COUNT('Iter No Test'!$T$9:$T$1008)-1)+$AO$329</f>
        <v>0.32732732732732644</v>
      </c>
      <c r="AQ330">
        <f>SMALL('Iter No Test'!$W$9:$W$5008,328)</f>
        <v>89.863091961725132</v>
      </c>
      <c r="AR330">
        <f>1/(COUNT('Iter No Test'!$W$9:$W$5008)-1)+$AR$329</f>
        <v>6.5413082616522969E-2</v>
      </c>
    </row>
    <row r="331" spans="16:44">
      <c r="P331">
        <v>323</v>
      </c>
      <c r="Q331">
        <v>269.80754084353669</v>
      </c>
      <c r="S331">
        <v>323</v>
      </c>
      <c r="T331">
        <v>155.96898732213378</v>
      </c>
      <c r="V331">
        <v>323</v>
      </c>
      <c r="W331">
        <v>331.48295781279046</v>
      </c>
      <c r="AK331">
        <f>SMALL('Iter No Test'!$Q$9:$Q$508,329)</f>
        <v>239.48090970001343</v>
      </c>
      <c r="AL331">
        <f>1/(COUNT('Iter No Test'!$Q$9:$Q$508)-1)+$AL$330</f>
        <v>0.65731462925851758</v>
      </c>
      <c r="AN331">
        <f>SMALL('Iter No Test'!$T$9:$T$1008,329)</f>
        <v>171.12657953501483</v>
      </c>
      <c r="AO331">
        <f>1/(COUNT('Iter No Test'!$T$9:$T$1008)-1)+$AO$330</f>
        <v>0.32832832832832742</v>
      </c>
      <c r="AQ331">
        <f>SMALL('Iter No Test'!$W$9:$W$5008,329)</f>
        <v>89.870245076656971</v>
      </c>
      <c r="AR331">
        <f>1/(COUNT('Iter No Test'!$W$9:$W$5008)-1)+$AR$330</f>
        <v>6.5613122624524567E-2</v>
      </c>
    </row>
    <row r="332" spans="16:44">
      <c r="P332">
        <v>324</v>
      </c>
      <c r="Q332">
        <v>92.964403737241923</v>
      </c>
      <c r="S332">
        <v>324</v>
      </c>
      <c r="T332">
        <v>202.56959779706744</v>
      </c>
      <c r="V332">
        <v>324</v>
      </c>
      <c r="W332">
        <v>218.27538075688975</v>
      </c>
      <c r="AK332">
        <f>SMALL('Iter No Test'!$Q$9:$Q$508,330)</f>
        <v>239.53782343584336</v>
      </c>
      <c r="AL332">
        <f>1/(COUNT('Iter No Test'!$Q$9:$Q$508)-1)+$AL$331</f>
        <v>0.65931863727454965</v>
      </c>
      <c r="AN332">
        <f>SMALL('Iter No Test'!$T$9:$T$1008,330)</f>
        <v>171.52999458599092</v>
      </c>
      <c r="AO332">
        <f>1/(COUNT('Iter No Test'!$T$9:$T$1008)-1)+$AO$331</f>
        <v>0.3293293293293284</v>
      </c>
      <c r="AQ332">
        <f>SMALL('Iter No Test'!$W$9:$W$5008,330)</f>
        <v>89.882459791477913</v>
      </c>
      <c r="AR332">
        <f>1/(COUNT('Iter No Test'!$W$9:$W$5008)-1)+$AR$331</f>
        <v>6.5813162632526165E-2</v>
      </c>
    </row>
    <row r="333" spans="16:44">
      <c r="P333">
        <v>325</v>
      </c>
      <c r="Q333">
        <v>114.9087581026192</v>
      </c>
      <c r="S333">
        <v>325</v>
      </c>
      <c r="T333">
        <v>28.955271985144108</v>
      </c>
      <c r="V333">
        <v>325</v>
      </c>
      <c r="W333">
        <v>76.888223457162297</v>
      </c>
      <c r="AK333">
        <f>SMALL('Iter No Test'!$Q$9:$Q$508,331)</f>
        <v>239.64300233398944</v>
      </c>
      <c r="AL333">
        <f>1/(COUNT('Iter No Test'!$Q$9:$Q$508)-1)+$AL$332</f>
        <v>0.66132264529058171</v>
      </c>
      <c r="AN333">
        <f>SMALL('Iter No Test'!$T$9:$T$1008,331)</f>
        <v>171.54015549810836</v>
      </c>
      <c r="AO333">
        <f>1/(COUNT('Iter No Test'!$T$9:$T$1008)-1)+$AO$332</f>
        <v>0.33033033033032938</v>
      </c>
      <c r="AQ333">
        <f>SMALL('Iter No Test'!$W$9:$W$5008,331)</f>
        <v>89.945872403816466</v>
      </c>
      <c r="AR333">
        <f>1/(COUNT('Iter No Test'!$W$9:$W$5008)-1)+$AR$332</f>
        <v>6.6013202640527763E-2</v>
      </c>
    </row>
    <row r="334" spans="16:44">
      <c r="P334">
        <v>326</v>
      </c>
      <c r="Q334">
        <v>206.35085203844878</v>
      </c>
      <c r="S334">
        <v>326</v>
      </c>
      <c r="T334">
        <v>164.13159569433435</v>
      </c>
      <c r="V334">
        <v>326</v>
      </c>
      <c r="W334">
        <v>197.77915082088796</v>
      </c>
      <c r="AK334">
        <f>SMALL('Iter No Test'!$Q$9:$Q$508,332)</f>
        <v>239.75868064266518</v>
      </c>
      <c r="AL334">
        <f>1/(COUNT('Iter No Test'!$Q$9:$Q$508)-1)+$AL$333</f>
        <v>0.66332665330661378</v>
      </c>
      <c r="AN334">
        <f>SMALL('Iter No Test'!$T$9:$T$1008,332)</f>
        <v>171.55789878960789</v>
      </c>
      <c r="AO334">
        <f>1/(COUNT('Iter No Test'!$T$9:$T$1008)-1)+$AO$333</f>
        <v>0.33133133133133036</v>
      </c>
      <c r="AQ334">
        <f>SMALL('Iter No Test'!$W$9:$W$5008,332)</f>
        <v>89.976043413543366</v>
      </c>
      <c r="AR334">
        <f>1/(COUNT('Iter No Test'!$W$9:$W$5008)-1)+$AR$333</f>
        <v>6.6213242648529361E-2</v>
      </c>
    </row>
    <row r="335" spans="16:44">
      <c r="P335">
        <v>327</v>
      </c>
      <c r="Q335">
        <v>126.23022393731051</v>
      </c>
      <c r="S335">
        <v>327</v>
      </c>
      <c r="T335">
        <v>117.69044439822071</v>
      </c>
      <c r="V335">
        <v>327</v>
      </c>
      <c r="W335">
        <v>162.90796294975891</v>
      </c>
      <c r="AK335">
        <f>SMALL('Iter No Test'!$Q$9:$Q$508,333)</f>
        <v>239.92151401731172</v>
      </c>
      <c r="AL335">
        <f>1/(COUNT('Iter No Test'!$Q$9:$Q$508)-1)+$AL$334</f>
        <v>0.66533066132264584</v>
      </c>
      <c r="AN335">
        <f>SMALL('Iter No Test'!$T$9:$T$1008,333)</f>
        <v>171.85267134243827</v>
      </c>
      <c r="AO335">
        <f>1/(COUNT('Iter No Test'!$T$9:$T$1008)-1)+$AO$334</f>
        <v>0.33233233233233134</v>
      </c>
      <c r="AQ335">
        <f>SMALL('Iter No Test'!$W$9:$W$5008,333)</f>
        <v>89.994739775330601</v>
      </c>
      <c r="AR335">
        <f>1/(COUNT('Iter No Test'!$W$9:$W$5008)-1)+$AR$334</f>
        <v>6.6413282656530959E-2</v>
      </c>
    </row>
    <row r="336" spans="16:44">
      <c r="P336">
        <v>328</v>
      </c>
      <c r="Q336">
        <v>202.2892724353392</v>
      </c>
      <c r="S336">
        <v>328</v>
      </c>
      <c r="T336">
        <v>294.22991565496096</v>
      </c>
      <c r="V336">
        <v>328</v>
      </c>
      <c r="W336">
        <v>195.25160567004735</v>
      </c>
      <c r="AK336">
        <f>SMALL('Iter No Test'!$Q$9:$Q$508,334)</f>
        <v>240.06885229259146</v>
      </c>
      <c r="AL336">
        <f>1/(COUNT('Iter No Test'!$Q$9:$Q$508)-1)+$AL$335</f>
        <v>0.66733466933867791</v>
      </c>
      <c r="AN336">
        <f>SMALL('Iter No Test'!$T$9:$T$1008,334)</f>
        <v>171.86381146173136</v>
      </c>
      <c r="AO336">
        <f>1/(COUNT('Iter No Test'!$T$9:$T$1008)-1)+$AO$335</f>
        <v>0.33333333333333232</v>
      </c>
      <c r="AQ336">
        <f>SMALL('Iter No Test'!$W$9:$W$5008,334)</f>
        <v>90.065149374303203</v>
      </c>
      <c r="AR336">
        <f>1/(COUNT('Iter No Test'!$W$9:$W$5008)-1)+$AR$335</f>
        <v>6.6613322664532557E-2</v>
      </c>
    </row>
    <row r="337" spans="16:44">
      <c r="P337">
        <v>329</v>
      </c>
      <c r="Q337">
        <v>182.712418002308</v>
      </c>
      <c r="S337">
        <v>329</v>
      </c>
      <c r="T337">
        <v>111.76540174568119</v>
      </c>
      <c r="V337">
        <v>329</v>
      </c>
      <c r="W337">
        <v>148.23047445673757</v>
      </c>
      <c r="AK337">
        <f>SMALL('Iter No Test'!$Q$9:$Q$508,335)</f>
        <v>240.70647317012117</v>
      </c>
      <c r="AL337">
        <f>1/(COUNT('Iter No Test'!$Q$9:$Q$508)-1)+$AL$336</f>
        <v>0.66933867735470998</v>
      </c>
      <c r="AN337">
        <f>SMALL('Iter No Test'!$T$9:$T$1008,335)</f>
        <v>172.44122906408307</v>
      </c>
      <c r="AO337">
        <f>1/(COUNT('Iter No Test'!$T$9:$T$1008)-1)+$AO$336</f>
        <v>0.33433433433433329</v>
      </c>
      <c r="AQ337">
        <f>SMALL('Iter No Test'!$W$9:$W$5008,335)</f>
        <v>90.323934320133162</v>
      </c>
      <c r="AR337">
        <f>1/(COUNT('Iter No Test'!$W$9:$W$5008)-1)+$AR$336</f>
        <v>6.6813362672534155E-2</v>
      </c>
    </row>
    <row r="338" spans="16:44">
      <c r="P338">
        <v>330</v>
      </c>
      <c r="Q338">
        <v>233.84768200471154</v>
      </c>
      <c r="S338">
        <v>330</v>
      </c>
      <c r="T338">
        <v>137.00810937444726</v>
      </c>
      <c r="V338">
        <v>330</v>
      </c>
      <c r="W338">
        <v>387.7607997059726</v>
      </c>
      <c r="AK338">
        <f>SMALL('Iter No Test'!$Q$9:$Q$508,336)</f>
        <v>243.35600778141753</v>
      </c>
      <c r="AL338">
        <f>1/(COUNT('Iter No Test'!$Q$9:$Q$508)-1)+$AL$337</f>
        <v>0.67134268537074204</v>
      </c>
      <c r="AN338">
        <f>SMALL('Iter No Test'!$T$9:$T$1008,336)</f>
        <v>172.54945326304832</v>
      </c>
      <c r="AO338">
        <f>1/(COUNT('Iter No Test'!$T$9:$T$1008)-1)+$AO$337</f>
        <v>0.33533533533533427</v>
      </c>
      <c r="AQ338">
        <f>SMALL('Iter No Test'!$W$9:$W$5008,336)</f>
        <v>90.387466202963651</v>
      </c>
      <c r="AR338">
        <f>1/(COUNT('Iter No Test'!$W$9:$W$5008)-1)+$AR$337</f>
        <v>6.7013402680535752E-2</v>
      </c>
    </row>
    <row r="339" spans="16:44">
      <c r="P339">
        <v>331</v>
      </c>
      <c r="Q339">
        <v>320.06336613500736</v>
      </c>
      <c r="S339">
        <v>331</v>
      </c>
      <c r="T339">
        <v>224.02828136521444</v>
      </c>
      <c r="V339">
        <v>331</v>
      </c>
      <c r="W339">
        <v>311.77216672499208</v>
      </c>
      <c r="AK339">
        <f>SMALL('Iter No Test'!$Q$9:$Q$508,337)</f>
        <v>243.48149119120666</v>
      </c>
      <c r="AL339">
        <f>1/(COUNT('Iter No Test'!$Q$9:$Q$508)-1)+$AL$338</f>
        <v>0.67334669338677411</v>
      </c>
      <c r="AN339">
        <f>SMALL('Iter No Test'!$T$9:$T$1008,337)</f>
        <v>172.66398780998196</v>
      </c>
      <c r="AO339">
        <f>1/(COUNT('Iter No Test'!$T$9:$T$1008)-1)+$AO$338</f>
        <v>0.33633633633633525</v>
      </c>
      <c r="AQ339">
        <f>SMALL('Iter No Test'!$W$9:$W$5008,337)</f>
        <v>90.592377581843209</v>
      </c>
      <c r="AR339">
        <f>1/(COUNT('Iter No Test'!$W$9:$W$5008)-1)+$AR$338</f>
        <v>6.721344268853735E-2</v>
      </c>
    </row>
    <row r="340" spans="16:44">
      <c r="P340">
        <v>332</v>
      </c>
      <c r="Q340">
        <v>388.21084884460441</v>
      </c>
      <c r="S340">
        <v>332</v>
      </c>
      <c r="T340">
        <v>175.91629360620723</v>
      </c>
      <c r="V340">
        <v>332</v>
      </c>
      <c r="W340">
        <v>152.8225946619404</v>
      </c>
      <c r="AK340">
        <f>SMALL('Iter No Test'!$Q$9:$Q$508,338)</f>
        <v>244.70613380725118</v>
      </c>
      <c r="AL340">
        <f>1/(COUNT('Iter No Test'!$Q$9:$Q$508)-1)+$AL$339</f>
        <v>0.67535070140280618</v>
      </c>
      <c r="AN340">
        <f>SMALL('Iter No Test'!$T$9:$T$1008,338)</f>
        <v>172.77642195050413</v>
      </c>
      <c r="AO340">
        <f>1/(COUNT('Iter No Test'!$T$9:$T$1008)-1)+$AO$339</f>
        <v>0.33733733733733623</v>
      </c>
      <c r="AQ340">
        <f>SMALL('Iter No Test'!$W$9:$W$5008,338)</f>
        <v>90.890868400184843</v>
      </c>
      <c r="AR340">
        <f>1/(COUNT('Iter No Test'!$W$9:$W$5008)-1)+$AR$339</f>
        <v>6.7413482696538948E-2</v>
      </c>
    </row>
    <row r="341" spans="16:44">
      <c r="P341">
        <v>333</v>
      </c>
      <c r="Q341">
        <v>364.54896249580884</v>
      </c>
      <c r="S341">
        <v>333</v>
      </c>
      <c r="T341">
        <v>195.68917650663226</v>
      </c>
      <c r="V341">
        <v>333</v>
      </c>
      <c r="W341">
        <v>118.99686600362693</v>
      </c>
      <c r="AK341">
        <f>SMALL('Iter No Test'!$Q$9:$Q$508,339)</f>
        <v>245.04006569426139</v>
      </c>
      <c r="AL341">
        <f>1/(COUNT('Iter No Test'!$Q$9:$Q$508)-1)+$AL$340</f>
        <v>0.67735470941883824</v>
      </c>
      <c r="AN341">
        <f>SMALL('Iter No Test'!$T$9:$T$1008,339)</f>
        <v>173.31165027480893</v>
      </c>
      <c r="AO341">
        <f>1/(COUNT('Iter No Test'!$T$9:$T$1008)-1)+$AO$340</f>
        <v>0.33833833833833721</v>
      </c>
      <c r="AQ341">
        <f>SMALL('Iter No Test'!$W$9:$W$5008,339)</f>
        <v>90.924857898957725</v>
      </c>
      <c r="AR341">
        <f>1/(COUNT('Iter No Test'!$W$9:$W$5008)-1)+$AR$340</f>
        <v>6.7613522704540546E-2</v>
      </c>
    </row>
    <row r="342" spans="16:44">
      <c r="P342">
        <v>334</v>
      </c>
      <c r="Q342">
        <v>96.308994822186321</v>
      </c>
      <c r="S342">
        <v>334</v>
      </c>
      <c r="T342">
        <v>246.03520710232951</v>
      </c>
      <c r="V342">
        <v>334</v>
      </c>
      <c r="W342">
        <v>270.43447451682397</v>
      </c>
      <c r="AK342">
        <f>SMALL('Iter No Test'!$Q$9:$Q$508,340)</f>
        <v>245.79034094245239</v>
      </c>
      <c r="AL342">
        <f>1/(COUNT('Iter No Test'!$Q$9:$Q$508)-1)+$AL$341</f>
        <v>0.67935871743487031</v>
      </c>
      <c r="AN342">
        <f>SMALL('Iter No Test'!$T$9:$T$1008,340)</f>
        <v>173.59312817365418</v>
      </c>
      <c r="AO342">
        <f>1/(COUNT('Iter No Test'!$T$9:$T$1008)-1)+$AO$341</f>
        <v>0.33933933933933819</v>
      </c>
      <c r="AQ342">
        <f>SMALL('Iter No Test'!$W$9:$W$5008,340)</f>
        <v>91.292885510629475</v>
      </c>
      <c r="AR342">
        <f>1/(COUNT('Iter No Test'!$W$9:$W$5008)-1)+$AR$341</f>
        <v>6.7813562712542144E-2</v>
      </c>
    </row>
    <row r="343" spans="16:44">
      <c r="P343">
        <v>335</v>
      </c>
      <c r="Q343">
        <v>56.600435948749208</v>
      </c>
      <c r="S343">
        <v>335</v>
      </c>
      <c r="T343">
        <v>315.70361598038482</v>
      </c>
      <c r="V343">
        <v>335</v>
      </c>
      <c r="W343">
        <v>329.65085923427125</v>
      </c>
      <c r="AK343">
        <f>SMALL('Iter No Test'!$Q$9:$Q$508,341)</f>
        <v>245.84769305726073</v>
      </c>
      <c r="AL343">
        <f>1/(COUNT('Iter No Test'!$Q$9:$Q$508)-1)+$AL$342</f>
        <v>0.68136272545090237</v>
      </c>
      <c r="AN343">
        <f>SMALL('Iter No Test'!$T$9:$T$1008,341)</f>
        <v>173.94837340693985</v>
      </c>
      <c r="AO343">
        <f>1/(COUNT('Iter No Test'!$T$9:$T$1008)-1)+$AO$342</f>
        <v>0.34034034034033916</v>
      </c>
      <c r="AQ343">
        <f>SMALL('Iter No Test'!$W$9:$W$5008,341)</f>
        <v>91.33307594260728</v>
      </c>
      <c r="AR343">
        <f>1/(COUNT('Iter No Test'!$W$9:$W$5008)-1)+$AR$342</f>
        <v>6.8013602720543742E-2</v>
      </c>
    </row>
    <row r="344" spans="16:44">
      <c r="P344">
        <v>336</v>
      </c>
      <c r="Q344">
        <v>311.26045745943679</v>
      </c>
      <c r="S344">
        <v>336</v>
      </c>
      <c r="T344">
        <v>112.22681872323727</v>
      </c>
      <c r="V344">
        <v>336</v>
      </c>
      <c r="W344">
        <v>160.67730717040845</v>
      </c>
      <c r="AK344">
        <f>SMALL('Iter No Test'!$Q$9:$Q$508,342)</f>
        <v>246.42538095537589</v>
      </c>
      <c r="AL344">
        <f>1/(COUNT('Iter No Test'!$Q$9:$Q$508)-1)+$AL$343</f>
        <v>0.68336673346693444</v>
      </c>
      <c r="AN344">
        <f>SMALL('Iter No Test'!$T$9:$T$1008,342)</f>
        <v>174.00584366754657</v>
      </c>
      <c r="AO344">
        <f>1/(COUNT('Iter No Test'!$T$9:$T$1008)-1)+$AO$343</f>
        <v>0.34134134134134014</v>
      </c>
      <c r="AQ344">
        <f>SMALL('Iter No Test'!$W$9:$W$5008,342)</f>
        <v>91.422924452981178</v>
      </c>
      <c r="AR344">
        <f>1/(COUNT('Iter No Test'!$W$9:$W$5008)-1)+$AR$343</f>
        <v>6.821364272854534E-2</v>
      </c>
    </row>
    <row r="345" spans="16:44">
      <c r="P345">
        <v>337</v>
      </c>
      <c r="Q345">
        <v>239.64300233398944</v>
      </c>
      <c r="S345">
        <v>337</v>
      </c>
      <c r="T345">
        <v>284.26357591262126</v>
      </c>
      <c r="V345">
        <v>337</v>
      </c>
      <c r="W345">
        <v>77.478491301923185</v>
      </c>
      <c r="AK345">
        <f>SMALL('Iter No Test'!$Q$9:$Q$508,343)</f>
        <v>247.02776747454246</v>
      </c>
      <c r="AL345">
        <f>1/(COUNT('Iter No Test'!$Q$9:$Q$508)-1)+$AL$344</f>
        <v>0.68537074148296651</v>
      </c>
      <c r="AN345">
        <f>SMALL('Iter No Test'!$T$9:$T$1008,343)</f>
        <v>174.04744480437648</v>
      </c>
      <c r="AO345">
        <f>1/(COUNT('Iter No Test'!$T$9:$T$1008)-1)+$AO$344</f>
        <v>0.34234234234234112</v>
      </c>
      <c r="AQ345">
        <f>SMALL('Iter No Test'!$W$9:$W$5008,343)</f>
        <v>91.510736381278264</v>
      </c>
      <c r="AR345">
        <f>1/(COUNT('Iter No Test'!$W$9:$W$5008)-1)+$AR$344</f>
        <v>6.8413682736546938E-2</v>
      </c>
    </row>
    <row r="346" spans="16:44">
      <c r="P346">
        <v>338</v>
      </c>
      <c r="Q346">
        <v>252.80107292868308</v>
      </c>
      <c r="S346">
        <v>338</v>
      </c>
      <c r="T346">
        <v>148.01355790099552</v>
      </c>
      <c r="V346">
        <v>338</v>
      </c>
      <c r="W346">
        <v>195.64181055339463</v>
      </c>
      <c r="AK346">
        <f>SMALL('Iter No Test'!$Q$9:$Q$508,344)</f>
        <v>247.09225896386249</v>
      </c>
      <c r="AL346">
        <f>1/(COUNT('Iter No Test'!$Q$9:$Q$508)-1)+$AL$345</f>
        <v>0.68737474949899857</v>
      </c>
      <c r="AN346">
        <f>SMALL('Iter No Test'!$T$9:$T$1008,344)</f>
        <v>174.1633816834088</v>
      </c>
      <c r="AO346">
        <f>1/(COUNT('Iter No Test'!$T$9:$T$1008)-1)+$AO$345</f>
        <v>0.3433433433433421</v>
      </c>
      <c r="AQ346">
        <f>SMALL('Iter No Test'!$W$9:$W$5008,344)</f>
        <v>91.739117650473005</v>
      </c>
      <c r="AR346">
        <f>1/(COUNT('Iter No Test'!$W$9:$W$5008)-1)+$AR$345</f>
        <v>6.8613722744548536E-2</v>
      </c>
    </row>
    <row r="347" spans="16:44">
      <c r="P347">
        <v>339</v>
      </c>
      <c r="Q347">
        <v>330.75859743861622</v>
      </c>
      <c r="S347">
        <v>339</v>
      </c>
      <c r="T347">
        <v>378.90339576323595</v>
      </c>
      <c r="V347">
        <v>339</v>
      </c>
      <c r="W347">
        <v>291.66789062588964</v>
      </c>
      <c r="AK347">
        <f>SMALL('Iter No Test'!$Q$9:$Q$508,345)</f>
        <v>247.22257211795807</v>
      </c>
      <c r="AL347">
        <f>1/(COUNT('Iter No Test'!$Q$9:$Q$508)-1)+$AL$346</f>
        <v>0.68937875751503064</v>
      </c>
      <c r="AN347">
        <f>SMALL('Iter No Test'!$T$9:$T$1008,345)</f>
        <v>174.36659250769088</v>
      </c>
      <c r="AO347">
        <f>1/(COUNT('Iter No Test'!$T$9:$T$1008)-1)+$AO$346</f>
        <v>0.34434434434434308</v>
      </c>
      <c r="AQ347">
        <f>SMALL('Iter No Test'!$W$9:$W$5008,345)</f>
        <v>91.83832024672428</v>
      </c>
      <c r="AR347">
        <f>1/(COUNT('Iter No Test'!$W$9:$W$5008)-1)+$AR$346</f>
        <v>6.8813762752550134E-2</v>
      </c>
    </row>
    <row r="348" spans="16:44">
      <c r="P348">
        <v>340</v>
      </c>
      <c r="Q348">
        <v>117.68415095748837</v>
      </c>
      <c r="S348">
        <v>340</v>
      </c>
      <c r="T348">
        <v>130.6098593213606</v>
      </c>
      <c r="V348">
        <v>340</v>
      </c>
      <c r="W348">
        <v>270.53946859577405</v>
      </c>
      <c r="AK348">
        <f>SMALL('Iter No Test'!$Q$9:$Q$508,346)</f>
        <v>247.81292334967847</v>
      </c>
      <c r="AL348">
        <f>1/(COUNT('Iter No Test'!$Q$9:$Q$508)-1)+$AL$347</f>
        <v>0.6913827655310627</v>
      </c>
      <c r="AN348">
        <f>SMALL('Iter No Test'!$T$9:$T$1008,346)</f>
        <v>174.44769026606079</v>
      </c>
      <c r="AO348">
        <f>1/(COUNT('Iter No Test'!$T$9:$T$1008)-1)+$AO$347</f>
        <v>0.34534534534534406</v>
      </c>
      <c r="AQ348">
        <f>SMALL('Iter No Test'!$W$9:$W$5008,346)</f>
        <v>92.134907166843803</v>
      </c>
      <c r="AR348">
        <f>1/(COUNT('Iter No Test'!$W$9:$W$5008)-1)+$AR$347</f>
        <v>6.9013802760551732E-2</v>
      </c>
    </row>
    <row r="349" spans="16:44">
      <c r="P349">
        <v>341</v>
      </c>
      <c r="Q349">
        <v>209.50005052774205</v>
      </c>
      <c r="S349">
        <v>341</v>
      </c>
      <c r="T349">
        <v>287.50701730947401</v>
      </c>
      <c r="V349">
        <v>341</v>
      </c>
      <c r="W349">
        <v>175.4986752789294</v>
      </c>
      <c r="AK349">
        <f>SMALL('Iter No Test'!$Q$9:$Q$508,347)</f>
        <v>247.83164548424648</v>
      </c>
      <c r="AL349">
        <f>1/(COUNT('Iter No Test'!$Q$9:$Q$508)-1)+$AL$348</f>
        <v>0.69338677354709477</v>
      </c>
      <c r="AN349">
        <f>SMALL('Iter No Test'!$T$9:$T$1008,347)</f>
        <v>174.47282361410024</v>
      </c>
      <c r="AO349">
        <f>1/(COUNT('Iter No Test'!$T$9:$T$1008)-1)+$AO$348</f>
        <v>0.34634634634634504</v>
      </c>
      <c r="AQ349">
        <f>SMALL('Iter No Test'!$W$9:$W$5008,347)</f>
        <v>92.261253375142999</v>
      </c>
      <c r="AR349">
        <f>1/(COUNT('Iter No Test'!$W$9:$W$5008)-1)+$AR$348</f>
        <v>6.921384276855333E-2</v>
      </c>
    </row>
    <row r="350" spans="16:44">
      <c r="P350">
        <v>342</v>
      </c>
      <c r="Q350">
        <v>168.97615442806551</v>
      </c>
      <c r="S350">
        <v>342</v>
      </c>
      <c r="T350">
        <v>89.919522345251806</v>
      </c>
      <c r="V350">
        <v>342</v>
      </c>
      <c r="W350">
        <v>138.53176964500088</v>
      </c>
      <c r="AK350">
        <f>SMALL('Iter No Test'!$Q$9:$Q$508,348)</f>
        <v>248.09558142204699</v>
      </c>
      <c r="AL350">
        <f>1/(COUNT('Iter No Test'!$Q$9:$Q$508)-1)+$AL$349</f>
        <v>0.69539078156312684</v>
      </c>
      <c r="AN350">
        <f>SMALL('Iter No Test'!$T$9:$T$1008,348)</f>
        <v>174.48707054556954</v>
      </c>
      <c r="AO350">
        <f>1/(COUNT('Iter No Test'!$T$9:$T$1008)-1)+$AO$349</f>
        <v>0.34734734734734601</v>
      </c>
      <c r="AQ350">
        <f>SMALL('Iter No Test'!$W$9:$W$5008,348)</f>
        <v>92.511209682625264</v>
      </c>
      <c r="AR350">
        <f>1/(COUNT('Iter No Test'!$W$9:$W$5008)-1)+$AR$349</f>
        <v>6.9413882776554928E-2</v>
      </c>
    </row>
    <row r="351" spans="16:44">
      <c r="P351">
        <v>343</v>
      </c>
      <c r="Q351">
        <v>124.4390817344844</v>
      </c>
      <c r="S351">
        <v>343</v>
      </c>
      <c r="T351">
        <v>155.36882271480897</v>
      </c>
      <c r="V351">
        <v>343</v>
      </c>
      <c r="W351">
        <v>91.422924452981178</v>
      </c>
      <c r="AK351">
        <f>SMALL('Iter No Test'!$Q$9:$Q$508,349)</f>
        <v>248.36014980570249</v>
      </c>
      <c r="AL351">
        <f>1/(COUNT('Iter No Test'!$Q$9:$Q$508)-1)+$AL$350</f>
        <v>0.6973947895791589</v>
      </c>
      <c r="AN351">
        <f>SMALL('Iter No Test'!$T$9:$T$1008,349)</f>
        <v>174.5766598866077</v>
      </c>
      <c r="AO351">
        <f>1/(COUNT('Iter No Test'!$T$9:$T$1008)-1)+$AO$350</f>
        <v>0.34834834834834699</v>
      </c>
      <c r="AQ351">
        <f>SMALL('Iter No Test'!$W$9:$W$5008,349)</f>
        <v>92.631990531759286</v>
      </c>
      <c r="AR351">
        <f>1/(COUNT('Iter No Test'!$W$9:$W$5008)-1)+$AR$350</f>
        <v>6.9613922784556526E-2</v>
      </c>
    </row>
    <row r="352" spans="16:44">
      <c r="P352">
        <v>344</v>
      </c>
      <c r="Q352">
        <v>164.58328746858228</v>
      </c>
      <c r="S352">
        <v>344</v>
      </c>
      <c r="T352">
        <v>163.50505694084666</v>
      </c>
      <c r="V352">
        <v>344</v>
      </c>
      <c r="W352">
        <v>216.58593072926959</v>
      </c>
      <c r="AK352">
        <f>SMALL('Iter No Test'!$Q$9:$Q$508,350)</f>
        <v>248.4006194749058</v>
      </c>
      <c r="AL352">
        <f>1/(COUNT('Iter No Test'!$Q$9:$Q$508)-1)+$AL$351</f>
        <v>0.69939879759519097</v>
      </c>
      <c r="AN352">
        <f>SMALL('Iter No Test'!$T$9:$T$1008,350)</f>
        <v>174.78417468132301</v>
      </c>
      <c r="AO352">
        <f>1/(COUNT('Iter No Test'!$T$9:$T$1008)-1)+$AO$351</f>
        <v>0.34934934934934797</v>
      </c>
      <c r="AQ352">
        <f>SMALL('Iter No Test'!$W$9:$W$5008,350)</f>
        <v>92.668148742409215</v>
      </c>
      <c r="AR352">
        <f>1/(COUNT('Iter No Test'!$W$9:$W$5008)-1)+$AR$351</f>
        <v>6.9813962792558124E-2</v>
      </c>
    </row>
    <row r="353" spans="16:44">
      <c r="P353">
        <v>345</v>
      </c>
      <c r="Q353">
        <v>377.15510074736227</v>
      </c>
      <c r="S353">
        <v>345</v>
      </c>
      <c r="T353">
        <v>265.14570031999392</v>
      </c>
      <c r="V353">
        <v>345</v>
      </c>
      <c r="W353">
        <v>260.85968061958204</v>
      </c>
      <c r="AK353">
        <f>SMALL('Iter No Test'!$Q$9:$Q$508,351)</f>
        <v>248.62548131375644</v>
      </c>
      <c r="AL353">
        <f>1/(COUNT('Iter No Test'!$Q$9:$Q$508)-1)+$AL$352</f>
        <v>0.70140280561122303</v>
      </c>
      <c r="AN353">
        <f>SMALL('Iter No Test'!$T$9:$T$1008,351)</f>
        <v>175.26901928176045</v>
      </c>
      <c r="AO353">
        <f>1/(COUNT('Iter No Test'!$T$9:$T$1008)-1)+$AO$352</f>
        <v>0.35035035035034895</v>
      </c>
      <c r="AQ353">
        <f>SMALL('Iter No Test'!$W$9:$W$5008,351)</f>
        <v>92.735773731551973</v>
      </c>
      <c r="AR353">
        <f>1/(COUNT('Iter No Test'!$W$9:$W$5008)-1)+$AR$352</f>
        <v>7.0014002800559721E-2</v>
      </c>
    </row>
    <row r="354" spans="16:44">
      <c r="P354">
        <v>346</v>
      </c>
      <c r="Q354">
        <v>184.97901540288814</v>
      </c>
      <c r="S354">
        <v>346</v>
      </c>
      <c r="T354">
        <v>227.10674824192364</v>
      </c>
      <c r="V354">
        <v>346</v>
      </c>
      <c r="W354">
        <v>306.09164621339858</v>
      </c>
      <c r="AK354">
        <f>SMALL('Iter No Test'!$Q$9:$Q$508,352)</f>
        <v>248.77412874387545</v>
      </c>
      <c r="AL354">
        <f>1/(COUNT('Iter No Test'!$Q$9:$Q$508)-1)+$AL$353</f>
        <v>0.7034068136272551</v>
      </c>
      <c r="AN354">
        <f>SMALL('Iter No Test'!$T$9:$T$1008,352)</f>
        <v>175.29812355288846</v>
      </c>
      <c r="AO354">
        <f>1/(COUNT('Iter No Test'!$T$9:$T$1008)-1)+$AO$353</f>
        <v>0.35135135135134993</v>
      </c>
      <c r="AQ354">
        <f>SMALL('Iter No Test'!$W$9:$W$5008,352)</f>
        <v>92.74423494984012</v>
      </c>
      <c r="AR354">
        <f>1/(COUNT('Iter No Test'!$W$9:$W$5008)-1)+$AR$353</f>
        <v>7.0214042808561319E-2</v>
      </c>
    </row>
    <row r="355" spans="16:44">
      <c r="P355">
        <v>347</v>
      </c>
      <c r="Q355">
        <v>160.01554929791601</v>
      </c>
      <c r="S355">
        <v>347</v>
      </c>
      <c r="T355">
        <v>170.29628628157155</v>
      </c>
      <c r="V355">
        <v>347</v>
      </c>
      <c r="W355">
        <v>164.59092763585443</v>
      </c>
      <c r="AK355">
        <f>SMALL('Iter No Test'!$Q$9:$Q$508,353)</f>
        <v>249.8677824085425</v>
      </c>
      <c r="AL355">
        <f>1/(COUNT('Iter No Test'!$Q$9:$Q$508)-1)+$AL$354</f>
        <v>0.70541082164328717</v>
      </c>
      <c r="AN355">
        <f>SMALL('Iter No Test'!$T$9:$T$1008,353)</f>
        <v>175.36704118388295</v>
      </c>
      <c r="AO355">
        <f>1/(COUNT('Iter No Test'!$T$9:$T$1008)-1)+$AO$354</f>
        <v>0.35235235235235091</v>
      </c>
      <c r="AQ355">
        <f>SMALL('Iter No Test'!$W$9:$W$5008,353)</f>
        <v>93.26524404539137</v>
      </c>
      <c r="AR355">
        <f>1/(COUNT('Iter No Test'!$W$9:$W$5008)-1)+$AR$354</f>
        <v>7.0414082816562917E-2</v>
      </c>
    </row>
    <row r="356" spans="16:44">
      <c r="P356">
        <v>348</v>
      </c>
      <c r="Q356">
        <v>221.38634069341518</v>
      </c>
      <c r="S356">
        <v>348</v>
      </c>
      <c r="T356">
        <v>124.58708975272413</v>
      </c>
      <c r="V356">
        <v>348</v>
      </c>
      <c r="W356">
        <v>282.17966122996847</v>
      </c>
      <c r="AK356">
        <f>SMALL('Iter No Test'!$Q$9:$Q$508,354)</f>
        <v>251.34671616475194</v>
      </c>
      <c r="AL356">
        <f>1/(COUNT('Iter No Test'!$Q$9:$Q$508)-1)+$AL$355</f>
        <v>0.70741482965931923</v>
      </c>
      <c r="AN356">
        <f>SMALL('Iter No Test'!$T$9:$T$1008,354)</f>
        <v>175.89218702835566</v>
      </c>
      <c r="AO356">
        <f>1/(COUNT('Iter No Test'!$T$9:$T$1008)-1)+$AO$355</f>
        <v>0.35335335335335188</v>
      </c>
      <c r="AQ356">
        <f>SMALL('Iter No Test'!$W$9:$W$5008,354)</f>
        <v>93.288613942658714</v>
      </c>
      <c r="AR356">
        <f>1/(COUNT('Iter No Test'!$W$9:$W$5008)-1)+$AR$355</f>
        <v>7.0614122824564515E-2</v>
      </c>
    </row>
    <row r="357" spans="16:44">
      <c r="P357">
        <v>349</v>
      </c>
      <c r="Q357">
        <v>387.895496214888</v>
      </c>
      <c r="S357">
        <v>349</v>
      </c>
      <c r="T357">
        <v>127.55942243827462</v>
      </c>
      <c r="V357">
        <v>349</v>
      </c>
      <c r="W357">
        <v>266.36315976322828</v>
      </c>
      <c r="AK357">
        <f>SMALL('Iter No Test'!$Q$9:$Q$508,355)</f>
        <v>252.40316015592913</v>
      </c>
      <c r="AL357">
        <f>1/(COUNT('Iter No Test'!$Q$9:$Q$508)-1)+$AL$356</f>
        <v>0.7094188376753513</v>
      </c>
      <c r="AN357">
        <f>SMALL('Iter No Test'!$T$9:$T$1008,355)</f>
        <v>175.91629360620723</v>
      </c>
      <c r="AO357">
        <f>1/(COUNT('Iter No Test'!$T$9:$T$1008)-1)+$AO$356</f>
        <v>0.35435435435435286</v>
      </c>
      <c r="AQ357">
        <f>SMALL('Iter No Test'!$W$9:$W$5008,355)</f>
        <v>93.324847033911823</v>
      </c>
      <c r="AR357">
        <f>1/(COUNT('Iter No Test'!$W$9:$W$5008)-1)+$AR$356</f>
        <v>7.0814162832566113E-2</v>
      </c>
    </row>
    <row r="358" spans="16:44">
      <c r="P358">
        <v>350</v>
      </c>
      <c r="Q358">
        <v>293.6211838333719</v>
      </c>
      <c r="S358">
        <v>350</v>
      </c>
      <c r="T358">
        <v>169.13537050346909</v>
      </c>
      <c r="V358">
        <v>350</v>
      </c>
      <c r="W358">
        <v>141.1919809082205</v>
      </c>
      <c r="AK358">
        <f>SMALL('Iter No Test'!$Q$9:$Q$508,356)</f>
        <v>252.79978242163048</v>
      </c>
      <c r="AL358">
        <f>1/(COUNT('Iter No Test'!$Q$9:$Q$508)-1)+$AL$357</f>
        <v>0.71142284569138337</v>
      </c>
      <c r="AN358">
        <f>SMALL('Iter No Test'!$T$9:$T$1008,356)</f>
        <v>175.98237274761095</v>
      </c>
      <c r="AO358">
        <f>1/(COUNT('Iter No Test'!$T$9:$T$1008)-1)+$AO$357</f>
        <v>0.35535535535535384</v>
      </c>
      <c r="AQ358">
        <f>SMALL('Iter No Test'!$W$9:$W$5008,356)</f>
        <v>93.339461817335945</v>
      </c>
      <c r="AR358">
        <f>1/(COUNT('Iter No Test'!$W$9:$W$5008)-1)+$AR$357</f>
        <v>7.1014202840567711E-2</v>
      </c>
    </row>
    <row r="359" spans="16:44">
      <c r="P359">
        <v>351</v>
      </c>
      <c r="Q359">
        <v>148.87788999144738</v>
      </c>
      <c r="S359">
        <v>351</v>
      </c>
      <c r="T359">
        <v>268.62427951602331</v>
      </c>
      <c r="V359">
        <v>351</v>
      </c>
      <c r="W359">
        <v>119.33775535427365</v>
      </c>
      <c r="AK359">
        <f>SMALL('Iter No Test'!$Q$9:$Q$508,357)</f>
        <v>252.80107292868308</v>
      </c>
      <c r="AL359">
        <f>1/(COUNT('Iter No Test'!$Q$9:$Q$508)-1)+$AL$358</f>
        <v>0.71342685370741543</v>
      </c>
      <c r="AN359">
        <f>SMALL('Iter No Test'!$T$9:$T$1008,357)</f>
        <v>176.19872213192414</v>
      </c>
      <c r="AO359">
        <f>1/(COUNT('Iter No Test'!$T$9:$T$1008)-1)+$AO$358</f>
        <v>0.35635635635635482</v>
      </c>
      <c r="AQ359">
        <f>SMALL('Iter No Test'!$W$9:$W$5008,357)</f>
        <v>93.498468089170004</v>
      </c>
      <c r="AR359">
        <f>1/(COUNT('Iter No Test'!$W$9:$W$5008)-1)+$AR$358</f>
        <v>7.1214242848569309E-2</v>
      </c>
    </row>
    <row r="360" spans="16:44">
      <c r="P360">
        <v>352</v>
      </c>
      <c r="Q360">
        <v>164.14950451087293</v>
      </c>
      <c r="S360">
        <v>352</v>
      </c>
      <c r="T360">
        <v>91.374559658361903</v>
      </c>
      <c r="V360">
        <v>352</v>
      </c>
      <c r="W360">
        <v>195.99662285864571</v>
      </c>
      <c r="AK360">
        <f>SMALL('Iter No Test'!$Q$9:$Q$508,358)</f>
        <v>253.02003174346248</v>
      </c>
      <c r="AL360">
        <f>1/(COUNT('Iter No Test'!$Q$9:$Q$508)-1)+$AL$359</f>
        <v>0.7154308617234475</v>
      </c>
      <c r="AN360">
        <f>SMALL('Iter No Test'!$T$9:$T$1008,358)</f>
        <v>176.35500150251596</v>
      </c>
      <c r="AO360">
        <f>1/(COUNT('Iter No Test'!$T$9:$T$1008)-1)+$AO$359</f>
        <v>0.3573573573573558</v>
      </c>
      <c r="AQ360">
        <f>SMALL('Iter No Test'!$W$9:$W$5008,358)</f>
        <v>93.521951234648412</v>
      </c>
      <c r="AR360">
        <f>1/(COUNT('Iter No Test'!$W$9:$W$5008)-1)+$AR$359</f>
        <v>7.1414282856570907E-2</v>
      </c>
    </row>
    <row r="361" spans="16:44">
      <c r="P361">
        <v>353</v>
      </c>
      <c r="Q361">
        <v>371.96813390051352</v>
      </c>
      <c r="S361">
        <v>353</v>
      </c>
      <c r="T361">
        <v>283.62878972623173</v>
      </c>
      <c r="V361">
        <v>353</v>
      </c>
      <c r="W361">
        <v>210.46682835376603</v>
      </c>
      <c r="AK361">
        <f>SMALL('Iter No Test'!$Q$9:$Q$508,359)</f>
        <v>253.16258147778359</v>
      </c>
      <c r="AL361">
        <f>1/(COUNT('Iter No Test'!$Q$9:$Q$508)-1)+$AL$360</f>
        <v>0.71743486973947956</v>
      </c>
      <c r="AN361">
        <f>SMALL('Iter No Test'!$T$9:$T$1008,359)</f>
        <v>176.78487804703988</v>
      </c>
      <c r="AO361">
        <f>1/(COUNT('Iter No Test'!$T$9:$T$1008)-1)+$AO$360</f>
        <v>0.35835835835835678</v>
      </c>
      <c r="AQ361">
        <f>SMALL('Iter No Test'!$W$9:$W$5008,359)</f>
        <v>93.602757066221415</v>
      </c>
      <c r="AR361">
        <f>1/(COUNT('Iter No Test'!$W$9:$W$5008)-1)+$AR$360</f>
        <v>7.1614322864572505E-2</v>
      </c>
    </row>
    <row r="362" spans="16:44">
      <c r="P362">
        <v>354</v>
      </c>
      <c r="Q362">
        <v>195.91508246919011</v>
      </c>
      <c r="S362">
        <v>354</v>
      </c>
      <c r="T362">
        <v>134.80331092583134</v>
      </c>
      <c r="V362">
        <v>354</v>
      </c>
      <c r="W362">
        <v>180.26750088539535</v>
      </c>
      <c r="AK362">
        <f>SMALL('Iter No Test'!$Q$9:$Q$508,360)</f>
        <v>253.191780154648</v>
      </c>
      <c r="AL362">
        <f>1/(COUNT('Iter No Test'!$Q$9:$Q$508)-1)+$AL$361</f>
        <v>0.71943887775551163</v>
      </c>
      <c r="AN362">
        <f>SMALL('Iter No Test'!$T$9:$T$1008,360)</f>
        <v>177.03476925068409</v>
      </c>
      <c r="AO362">
        <f>1/(COUNT('Iter No Test'!$T$9:$T$1008)-1)+$AO$361</f>
        <v>0.35935935935935776</v>
      </c>
      <c r="AQ362">
        <f>SMALL('Iter No Test'!$W$9:$W$5008,360)</f>
        <v>93.833141667757744</v>
      </c>
      <c r="AR362">
        <f>1/(COUNT('Iter No Test'!$W$9:$W$5008)-1)+$AR$361</f>
        <v>7.1814362872574103E-2</v>
      </c>
    </row>
    <row r="363" spans="16:44">
      <c r="P363">
        <v>355</v>
      </c>
      <c r="Q363">
        <v>97.869642427696078</v>
      </c>
      <c r="S363">
        <v>355</v>
      </c>
      <c r="T363">
        <v>284.6332078200187</v>
      </c>
      <c r="V363">
        <v>355</v>
      </c>
      <c r="W363">
        <v>187.49089542013382</v>
      </c>
      <c r="AK363">
        <f>SMALL('Iter No Test'!$Q$9:$Q$508,361)</f>
        <v>253.47596282977776</v>
      </c>
      <c r="AL363">
        <f>1/(COUNT('Iter No Test'!$Q$9:$Q$508)-1)+$AL$362</f>
        <v>0.7214428857715437</v>
      </c>
      <c r="AN363">
        <f>SMALL('Iter No Test'!$T$9:$T$1008,361)</f>
        <v>177.84995146579433</v>
      </c>
      <c r="AO363">
        <f>1/(COUNT('Iter No Test'!$T$9:$T$1008)-1)+$AO$362</f>
        <v>0.36036036036035873</v>
      </c>
      <c r="AQ363">
        <f>SMALL('Iter No Test'!$W$9:$W$5008,361)</f>
        <v>94.163026931435454</v>
      </c>
      <c r="AR363">
        <f>1/(COUNT('Iter No Test'!$W$9:$W$5008)-1)+$AR$362</f>
        <v>7.2014402880575701E-2</v>
      </c>
    </row>
    <row r="364" spans="16:44">
      <c r="P364">
        <v>356</v>
      </c>
      <c r="Q364">
        <v>120.82223152737183</v>
      </c>
      <c r="S364">
        <v>356</v>
      </c>
      <c r="T364">
        <v>199.04889701452421</v>
      </c>
      <c r="V364">
        <v>356</v>
      </c>
      <c r="W364">
        <v>208.84825145928022</v>
      </c>
      <c r="AK364">
        <f>SMALL('Iter No Test'!$Q$9:$Q$508,362)</f>
        <v>255.10774110331553</v>
      </c>
      <c r="AL364">
        <f>1/(COUNT('Iter No Test'!$Q$9:$Q$508)-1)+$AL$363</f>
        <v>0.72344689378757576</v>
      </c>
      <c r="AN364">
        <f>SMALL('Iter No Test'!$T$9:$T$1008,362)</f>
        <v>177.97862229556281</v>
      </c>
      <c r="AO364">
        <f>1/(COUNT('Iter No Test'!$T$9:$T$1008)-1)+$AO$363</f>
        <v>0.36136136136135971</v>
      </c>
      <c r="AQ364">
        <f>SMALL('Iter No Test'!$W$9:$W$5008,362)</f>
        <v>94.256729991995456</v>
      </c>
      <c r="AR364">
        <f>1/(COUNT('Iter No Test'!$W$9:$W$5008)-1)+$AR$363</f>
        <v>7.2214442888577299E-2</v>
      </c>
    </row>
    <row r="365" spans="16:44">
      <c r="P365">
        <v>357</v>
      </c>
      <c r="Q365">
        <v>225.87925776904981</v>
      </c>
      <c r="S365">
        <v>357</v>
      </c>
      <c r="T365">
        <v>199.6466482383679</v>
      </c>
      <c r="V365">
        <v>357</v>
      </c>
      <c r="W365">
        <v>193.55394773913758</v>
      </c>
      <c r="AK365">
        <f>SMALL('Iter No Test'!$Q$9:$Q$508,363)</f>
        <v>255.95800599888935</v>
      </c>
      <c r="AL365">
        <f>1/(COUNT('Iter No Test'!$Q$9:$Q$508)-1)+$AL$364</f>
        <v>0.72545090180360783</v>
      </c>
      <c r="AN365">
        <f>SMALL('Iter No Test'!$T$9:$T$1008,363)</f>
        <v>177.98414291011201</v>
      </c>
      <c r="AO365">
        <f>1/(COUNT('Iter No Test'!$T$9:$T$1008)-1)+$AO$364</f>
        <v>0.36236236236236069</v>
      </c>
      <c r="AQ365">
        <f>SMALL('Iter No Test'!$W$9:$W$5008,363)</f>
        <v>94.586568586925765</v>
      </c>
      <c r="AR365">
        <f>1/(COUNT('Iter No Test'!$W$9:$W$5008)-1)+$AR$364</f>
        <v>7.2414482896578897E-2</v>
      </c>
    </row>
    <row r="366" spans="16:44">
      <c r="P366">
        <v>358</v>
      </c>
      <c r="Q366">
        <v>341.34809432550753</v>
      </c>
      <c r="S366">
        <v>358</v>
      </c>
      <c r="T366">
        <v>135.98757280609786</v>
      </c>
      <c r="V366">
        <v>358</v>
      </c>
      <c r="W366">
        <v>193.85248902506032</v>
      </c>
      <c r="AK366">
        <f>SMALL('Iter No Test'!$Q$9:$Q$508,364)</f>
        <v>256.30922054137284</v>
      </c>
      <c r="AL366">
        <f>1/(COUNT('Iter No Test'!$Q$9:$Q$508)-1)+$AL$365</f>
        <v>0.72745490981963989</v>
      </c>
      <c r="AN366">
        <f>SMALL('Iter No Test'!$T$9:$T$1008,364)</f>
        <v>178.49526630683351</v>
      </c>
      <c r="AO366">
        <f>1/(COUNT('Iter No Test'!$T$9:$T$1008)-1)+$AO$365</f>
        <v>0.36336336336336167</v>
      </c>
      <c r="AQ366">
        <f>SMALL('Iter No Test'!$W$9:$W$5008,364)</f>
        <v>94.60036423661424</v>
      </c>
      <c r="AR366">
        <f>1/(COUNT('Iter No Test'!$W$9:$W$5008)-1)+$AR$365</f>
        <v>7.2614522904580495E-2</v>
      </c>
    </row>
    <row r="367" spans="16:44">
      <c r="P367">
        <v>359</v>
      </c>
      <c r="Q367">
        <v>74.947892397941473</v>
      </c>
      <c r="S367">
        <v>359</v>
      </c>
      <c r="T367">
        <v>175.89218702835566</v>
      </c>
      <c r="V367">
        <v>359</v>
      </c>
      <c r="W367">
        <v>261.61404744375841</v>
      </c>
      <c r="AK367">
        <f>SMALL('Iter No Test'!$Q$9:$Q$508,365)</f>
        <v>257.21557319477517</v>
      </c>
      <c r="AL367">
        <f>1/(COUNT('Iter No Test'!$Q$9:$Q$508)-1)+$AL$366</f>
        <v>0.72945891783567196</v>
      </c>
      <c r="AN367">
        <f>SMALL('Iter No Test'!$T$9:$T$1008,365)</f>
        <v>178.50396639381154</v>
      </c>
      <c r="AO367">
        <f>1/(COUNT('Iter No Test'!$T$9:$T$1008)-1)+$AO$366</f>
        <v>0.36436436436436265</v>
      </c>
      <c r="AQ367">
        <f>SMALL('Iter No Test'!$W$9:$W$5008,365)</f>
        <v>94.782652735911199</v>
      </c>
      <c r="AR367">
        <f>1/(COUNT('Iter No Test'!$W$9:$W$5008)-1)+$AR$366</f>
        <v>7.2814562912582093E-2</v>
      </c>
    </row>
    <row r="368" spans="16:44">
      <c r="P368">
        <v>360</v>
      </c>
      <c r="Q368">
        <v>175.76586358512355</v>
      </c>
      <c r="S368">
        <v>360</v>
      </c>
      <c r="T368">
        <v>446.64257229037742</v>
      </c>
      <c r="V368">
        <v>360</v>
      </c>
      <c r="W368">
        <v>289.47598633947644</v>
      </c>
      <c r="AK368">
        <f>SMALL('Iter No Test'!$Q$9:$Q$508,366)</f>
        <v>258.02664264378825</v>
      </c>
      <c r="AL368">
        <f>1/(COUNT('Iter No Test'!$Q$9:$Q$508)-1)+$AL$367</f>
        <v>0.73146292585170403</v>
      </c>
      <c r="AN368">
        <f>SMALL('Iter No Test'!$T$9:$T$1008,366)</f>
        <v>179.50555052535555</v>
      </c>
      <c r="AO368">
        <f>1/(COUNT('Iter No Test'!$T$9:$T$1008)-1)+$AO$367</f>
        <v>0.36536536536536363</v>
      </c>
      <c r="AQ368">
        <f>SMALL('Iter No Test'!$W$9:$W$5008,366)</f>
        <v>94.829965489236031</v>
      </c>
      <c r="AR368">
        <f>1/(COUNT('Iter No Test'!$W$9:$W$5008)-1)+$AR$367</f>
        <v>7.3014602920583691E-2</v>
      </c>
    </row>
    <row r="369" spans="16:44">
      <c r="P369">
        <v>361</v>
      </c>
      <c r="Q369">
        <v>263.17509462907208</v>
      </c>
      <c r="S369">
        <v>361</v>
      </c>
      <c r="T369">
        <v>270.28519955946047</v>
      </c>
      <c r="V369">
        <v>361</v>
      </c>
      <c r="W369">
        <v>252.32869661454529</v>
      </c>
      <c r="AK369">
        <f>SMALL('Iter No Test'!$Q$9:$Q$508,367)</f>
        <v>258.62462877162397</v>
      </c>
      <c r="AL369">
        <f>1/(COUNT('Iter No Test'!$Q$9:$Q$508)-1)+$AL$368</f>
        <v>0.73346693386773609</v>
      </c>
      <c r="AN369">
        <f>SMALL('Iter No Test'!$T$9:$T$1008,367)</f>
        <v>179.6828540346711</v>
      </c>
      <c r="AO369">
        <f>1/(COUNT('Iter No Test'!$T$9:$T$1008)-1)+$AO$368</f>
        <v>0.3663663663663646</v>
      </c>
      <c r="AQ369">
        <f>SMALL('Iter No Test'!$W$9:$W$5008,367)</f>
        <v>94.847089974596656</v>
      </c>
      <c r="AR369">
        <f>1/(COUNT('Iter No Test'!$W$9:$W$5008)-1)+$AR$368</f>
        <v>7.3214642928585288E-2</v>
      </c>
    </row>
    <row r="370" spans="16:44">
      <c r="P370">
        <v>362</v>
      </c>
      <c r="Q370">
        <v>348.46089201483238</v>
      </c>
      <c r="S370">
        <v>362</v>
      </c>
      <c r="T370">
        <v>343.02909295220616</v>
      </c>
      <c r="V370">
        <v>362</v>
      </c>
      <c r="W370">
        <v>423.0059244489413</v>
      </c>
      <c r="AK370">
        <f>SMALL('Iter No Test'!$Q$9:$Q$508,368)</f>
        <v>258.88611378650188</v>
      </c>
      <c r="AL370">
        <f>1/(COUNT('Iter No Test'!$Q$9:$Q$508)-1)+$AL$369</f>
        <v>0.73547094188376816</v>
      </c>
      <c r="AN370">
        <f>SMALL('Iter No Test'!$T$9:$T$1008,368)</f>
        <v>180.34347113317565</v>
      </c>
      <c r="AO370">
        <f>1/(COUNT('Iter No Test'!$T$9:$T$1008)-1)+$AO$369</f>
        <v>0.36736736736736558</v>
      </c>
      <c r="AQ370">
        <f>SMALL('Iter No Test'!$W$9:$W$5008,368)</f>
        <v>95.216226306484714</v>
      </c>
      <c r="AR370">
        <f>1/(COUNT('Iter No Test'!$W$9:$W$5008)-1)+$AR$369</f>
        <v>7.3414682936586886E-2</v>
      </c>
    </row>
    <row r="371" spans="16:44">
      <c r="P371">
        <v>363</v>
      </c>
      <c r="Q371">
        <v>258.88611378650188</v>
      </c>
      <c r="S371">
        <v>363</v>
      </c>
      <c r="T371">
        <v>140.28984503295106</v>
      </c>
      <c r="V371">
        <v>363</v>
      </c>
      <c r="W371">
        <v>197.34069450358191</v>
      </c>
      <c r="AK371">
        <f>SMALL('Iter No Test'!$Q$9:$Q$508,369)</f>
        <v>259.28511049200648</v>
      </c>
      <c r="AL371">
        <f>1/(COUNT('Iter No Test'!$Q$9:$Q$508)-1)+$AL$370</f>
        <v>0.73747494989980023</v>
      </c>
      <c r="AN371">
        <f>SMALL('Iter No Test'!$T$9:$T$1008,369)</f>
        <v>180.65828372892003</v>
      </c>
      <c r="AO371">
        <f>1/(COUNT('Iter No Test'!$T$9:$T$1008)-1)+$AO$370</f>
        <v>0.36836836836836656</v>
      </c>
      <c r="AQ371">
        <f>SMALL('Iter No Test'!$W$9:$W$5008,369)</f>
        <v>95.638547409827282</v>
      </c>
      <c r="AR371">
        <f>1/(COUNT('Iter No Test'!$W$9:$W$5008)-1)+$AR$370</f>
        <v>7.3614722944588484E-2</v>
      </c>
    </row>
    <row r="372" spans="16:44">
      <c r="P372">
        <v>364</v>
      </c>
      <c r="Q372">
        <v>182.86782163446057</v>
      </c>
      <c r="S372">
        <v>364</v>
      </c>
      <c r="T372">
        <v>125.4720205916981</v>
      </c>
      <c r="V372">
        <v>364</v>
      </c>
      <c r="W372">
        <v>272.36411856124346</v>
      </c>
      <c r="AK372">
        <f>SMALL('Iter No Test'!$Q$9:$Q$508,370)</f>
        <v>259.59875312079004</v>
      </c>
      <c r="AL372">
        <f>1/(COUNT('Iter No Test'!$Q$9:$Q$508)-1)+$AL$371</f>
        <v>0.73947895791583229</v>
      </c>
      <c r="AN372">
        <f>SMALL('Iter No Test'!$T$9:$T$1008,370)</f>
        <v>180.90609406483435</v>
      </c>
      <c r="AO372">
        <f>1/(COUNT('Iter No Test'!$T$9:$T$1008)-1)+$AO$371</f>
        <v>0.36936936936936754</v>
      </c>
      <c r="AQ372">
        <f>SMALL('Iter No Test'!$W$9:$W$5008,370)</f>
        <v>95.672262075357963</v>
      </c>
      <c r="AR372">
        <f>1/(COUNT('Iter No Test'!$W$9:$W$5008)-1)+$AR$371</f>
        <v>7.3814762952590082E-2</v>
      </c>
    </row>
    <row r="373" spans="16:44">
      <c r="P373">
        <v>365</v>
      </c>
      <c r="Q373">
        <v>180.91757665553087</v>
      </c>
      <c r="S373">
        <v>365</v>
      </c>
      <c r="T373">
        <v>57.277265953336084</v>
      </c>
      <c r="V373">
        <v>365</v>
      </c>
      <c r="W373">
        <v>220.69988933949458</v>
      </c>
      <c r="AK373">
        <f>SMALL('Iter No Test'!$Q$9:$Q$508,371)</f>
        <v>259.96470731352406</v>
      </c>
      <c r="AL373">
        <f>1/(COUNT('Iter No Test'!$Q$9:$Q$508)-1)+$AL$372</f>
        <v>0.74148296593186436</v>
      </c>
      <c r="AN373">
        <f>SMALL('Iter No Test'!$T$9:$T$1008,371)</f>
        <v>181.28031289441412</v>
      </c>
      <c r="AO373">
        <f>1/(COUNT('Iter No Test'!$T$9:$T$1008)-1)+$AO$372</f>
        <v>0.37037037037036852</v>
      </c>
      <c r="AQ373">
        <f>SMALL('Iter No Test'!$W$9:$W$5008,371)</f>
        <v>95.677188325463504</v>
      </c>
      <c r="AR373">
        <f>1/(COUNT('Iter No Test'!$W$9:$W$5008)-1)+$AR$372</f>
        <v>7.401480296059168E-2</v>
      </c>
    </row>
    <row r="374" spans="16:44">
      <c r="P374">
        <v>366</v>
      </c>
      <c r="Q374">
        <v>227.12229787292472</v>
      </c>
      <c r="S374">
        <v>366</v>
      </c>
      <c r="T374">
        <v>158.48805715693334</v>
      </c>
      <c r="V374">
        <v>366</v>
      </c>
      <c r="W374">
        <v>308.21585185672939</v>
      </c>
      <c r="AK374">
        <f>SMALL('Iter No Test'!$Q$9:$Q$508,372)</f>
        <v>260.12772318438903</v>
      </c>
      <c r="AL374">
        <f>1/(COUNT('Iter No Test'!$Q$9:$Q$508)-1)+$AL$373</f>
        <v>0.74348697394789642</v>
      </c>
      <c r="AN374">
        <f>SMALL('Iter No Test'!$T$9:$T$1008,372)</f>
        <v>181.78586759986547</v>
      </c>
      <c r="AO374">
        <f>1/(COUNT('Iter No Test'!$T$9:$T$1008)-1)+$AO$373</f>
        <v>0.3713713713713695</v>
      </c>
      <c r="AQ374">
        <f>SMALL('Iter No Test'!$W$9:$W$5008,372)</f>
        <v>95.690854723202577</v>
      </c>
      <c r="AR374">
        <f>1/(COUNT('Iter No Test'!$W$9:$W$5008)-1)+$AR$373</f>
        <v>7.4214842968593278E-2</v>
      </c>
    </row>
    <row r="375" spans="16:44">
      <c r="P375">
        <v>367</v>
      </c>
      <c r="Q375">
        <v>98.033603131876504</v>
      </c>
      <c r="S375">
        <v>367</v>
      </c>
      <c r="T375">
        <v>320.09558455672465</v>
      </c>
      <c r="V375">
        <v>367</v>
      </c>
      <c r="W375">
        <v>126.1824525841317</v>
      </c>
      <c r="AK375">
        <f>SMALL('Iter No Test'!$Q$9:$Q$508,373)</f>
        <v>260.33575724311225</v>
      </c>
      <c r="AL375">
        <f>1/(COUNT('Iter No Test'!$Q$9:$Q$508)-1)+$AL$374</f>
        <v>0.74549098196392849</v>
      </c>
      <c r="AN375">
        <f>SMALL('Iter No Test'!$T$9:$T$1008,373)</f>
        <v>182.11305370780397</v>
      </c>
      <c r="AO375">
        <f>1/(COUNT('Iter No Test'!$T$9:$T$1008)-1)+$AO$374</f>
        <v>0.37237237237237047</v>
      </c>
      <c r="AQ375">
        <f>SMALL('Iter No Test'!$W$9:$W$5008,373)</f>
        <v>95.826139288797691</v>
      </c>
      <c r="AR375">
        <f>1/(COUNT('Iter No Test'!$W$9:$W$5008)-1)+$AR$374</f>
        <v>7.4414882976594876E-2</v>
      </c>
    </row>
    <row r="376" spans="16:44">
      <c r="P376">
        <v>368</v>
      </c>
      <c r="Q376">
        <v>153.69769847080377</v>
      </c>
      <c r="S376">
        <v>368</v>
      </c>
      <c r="T376">
        <v>146.52381834582113</v>
      </c>
      <c r="V376">
        <v>368</v>
      </c>
      <c r="W376">
        <v>92.511209682625264</v>
      </c>
      <c r="AK376">
        <f>SMALL('Iter No Test'!$Q$9:$Q$508,374)</f>
        <v>261.71416866211416</v>
      </c>
      <c r="AL376">
        <f>1/(COUNT('Iter No Test'!$Q$9:$Q$508)-1)+$AL$375</f>
        <v>0.74749498997996056</v>
      </c>
      <c r="AN376">
        <f>SMALL('Iter No Test'!$T$9:$T$1008,374)</f>
        <v>182.2240399241752</v>
      </c>
      <c r="AO376">
        <f>1/(COUNT('Iter No Test'!$T$9:$T$1008)-1)+$AO$375</f>
        <v>0.37337337337337145</v>
      </c>
      <c r="AQ376">
        <f>SMALL('Iter No Test'!$W$9:$W$5008,374)</f>
        <v>96.001581505256553</v>
      </c>
      <c r="AR376">
        <f>1/(COUNT('Iter No Test'!$W$9:$W$5008)-1)+$AR$375</f>
        <v>7.4614922984596474E-2</v>
      </c>
    </row>
    <row r="377" spans="16:44">
      <c r="P377">
        <v>369</v>
      </c>
      <c r="Q377">
        <v>388.65111015273135</v>
      </c>
      <c r="S377">
        <v>369</v>
      </c>
      <c r="T377">
        <v>192.67152296324599</v>
      </c>
      <c r="V377">
        <v>369</v>
      </c>
      <c r="W377">
        <v>155.50877018321751</v>
      </c>
      <c r="AK377">
        <f>SMALL('Iter No Test'!$Q$9:$Q$508,375)</f>
        <v>262.00729608056434</v>
      </c>
      <c r="AL377">
        <f>1/(COUNT('Iter No Test'!$Q$9:$Q$508)-1)+$AL$376</f>
        <v>0.74949899799599262</v>
      </c>
      <c r="AN377">
        <f>SMALL('Iter No Test'!$T$9:$T$1008,375)</f>
        <v>182.34222618466467</v>
      </c>
      <c r="AO377">
        <f>1/(COUNT('Iter No Test'!$T$9:$T$1008)-1)+$AO$376</f>
        <v>0.37437437437437243</v>
      </c>
      <c r="AQ377">
        <f>SMALL('Iter No Test'!$W$9:$W$5008,375)</f>
        <v>96.042841505063478</v>
      </c>
      <c r="AR377">
        <f>1/(COUNT('Iter No Test'!$W$9:$W$5008)-1)+$AR$376</f>
        <v>7.4814962992598072E-2</v>
      </c>
    </row>
    <row r="378" spans="16:44">
      <c r="P378">
        <v>370</v>
      </c>
      <c r="Q378">
        <v>166.73353338991484</v>
      </c>
      <c r="S378">
        <v>370</v>
      </c>
      <c r="T378">
        <v>241.31660299896953</v>
      </c>
      <c r="V378">
        <v>370</v>
      </c>
      <c r="W378">
        <v>225.52430357666339</v>
      </c>
      <c r="AK378">
        <f>SMALL('Iter No Test'!$Q$9:$Q$508,376)</f>
        <v>263.17509462907208</v>
      </c>
      <c r="AL378">
        <f>1/(COUNT('Iter No Test'!$Q$9:$Q$508)-1)+$AL$377</f>
        <v>0.75150300601202469</v>
      </c>
      <c r="AN378">
        <f>SMALL('Iter No Test'!$T$9:$T$1008,376)</f>
        <v>182.44068903301169</v>
      </c>
      <c r="AO378">
        <f>1/(COUNT('Iter No Test'!$T$9:$T$1008)-1)+$AO$377</f>
        <v>0.37537537537537341</v>
      </c>
      <c r="AQ378">
        <f>SMALL('Iter No Test'!$W$9:$W$5008,376)</f>
        <v>96.100848016416293</v>
      </c>
      <c r="AR378">
        <f>1/(COUNT('Iter No Test'!$W$9:$W$5008)-1)+$AR$377</f>
        <v>7.501500300059967E-2</v>
      </c>
    </row>
    <row r="379" spans="16:44">
      <c r="P379">
        <v>371</v>
      </c>
      <c r="Q379">
        <v>347.76168263832233</v>
      </c>
      <c r="S379">
        <v>371</v>
      </c>
      <c r="T379">
        <v>191.65386211001254</v>
      </c>
      <c r="V379">
        <v>371</v>
      </c>
      <c r="W379">
        <v>236.68227910925395</v>
      </c>
      <c r="AK379">
        <f>SMALL('Iter No Test'!$Q$9:$Q$508,377)</f>
        <v>267.94873194133447</v>
      </c>
      <c r="AL379">
        <f>1/(COUNT('Iter No Test'!$Q$9:$Q$508)-1)+$AL$378</f>
        <v>0.75350701402805675</v>
      </c>
      <c r="AN379">
        <f>SMALL('Iter No Test'!$T$9:$T$1008,377)</f>
        <v>183.46780594820083</v>
      </c>
      <c r="AO379">
        <f>1/(COUNT('Iter No Test'!$T$9:$T$1008)-1)+$AO$378</f>
        <v>0.37637637637637439</v>
      </c>
      <c r="AQ379">
        <f>SMALL('Iter No Test'!$W$9:$W$5008,377)</f>
        <v>96.271563300592049</v>
      </c>
      <c r="AR379">
        <f>1/(COUNT('Iter No Test'!$W$9:$W$5008)-1)+$AR$378</f>
        <v>7.5215043008601268E-2</v>
      </c>
    </row>
    <row r="380" spans="16:44">
      <c r="P380">
        <v>372</v>
      </c>
      <c r="Q380">
        <v>347.03424302152945</v>
      </c>
      <c r="S380">
        <v>372</v>
      </c>
      <c r="T380">
        <v>440.97001060527185</v>
      </c>
      <c r="V380">
        <v>372</v>
      </c>
      <c r="W380">
        <v>270.87560455864667</v>
      </c>
      <c r="AK380">
        <f>SMALL('Iter No Test'!$Q$9:$Q$508,378)</f>
        <v>268.68154669624016</v>
      </c>
      <c r="AL380">
        <f>1/(COUNT('Iter No Test'!$Q$9:$Q$508)-1)+$AL$379</f>
        <v>0.75551102204408882</v>
      </c>
      <c r="AN380">
        <f>SMALL('Iter No Test'!$T$9:$T$1008,378)</f>
        <v>184.4284432076162</v>
      </c>
      <c r="AO380">
        <f>1/(COUNT('Iter No Test'!$T$9:$T$1008)-1)+$AO$379</f>
        <v>0.37737737737737537</v>
      </c>
      <c r="AQ380">
        <f>SMALL('Iter No Test'!$W$9:$W$5008,378)</f>
        <v>96.327524664306779</v>
      </c>
      <c r="AR380">
        <f>1/(COUNT('Iter No Test'!$W$9:$W$5008)-1)+$AR$379</f>
        <v>7.5415083016602866E-2</v>
      </c>
    </row>
    <row r="381" spans="16:44">
      <c r="P381">
        <v>373</v>
      </c>
      <c r="Q381">
        <v>126.18888807395618</v>
      </c>
      <c r="S381">
        <v>373</v>
      </c>
      <c r="T381">
        <v>169.65355344004126</v>
      </c>
      <c r="V381">
        <v>373</v>
      </c>
      <c r="W381">
        <v>259.02664392688058</v>
      </c>
      <c r="AK381">
        <f>SMALL('Iter No Test'!$Q$9:$Q$508,379)</f>
        <v>269.80754084353669</v>
      </c>
      <c r="AL381">
        <f>1/(COUNT('Iter No Test'!$Q$9:$Q$508)-1)+$AL$380</f>
        <v>0.75751503006012089</v>
      </c>
      <c r="AN381">
        <f>SMALL('Iter No Test'!$T$9:$T$1008,379)</f>
        <v>184.87822843219675</v>
      </c>
      <c r="AO381">
        <f>1/(COUNT('Iter No Test'!$T$9:$T$1008)-1)+$AO$380</f>
        <v>0.37837837837837635</v>
      </c>
      <c r="AQ381">
        <f>SMALL('Iter No Test'!$W$9:$W$5008,379)</f>
        <v>96.352233665180535</v>
      </c>
      <c r="AR381">
        <f>1/(COUNT('Iter No Test'!$W$9:$W$5008)-1)+$AR$380</f>
        <v>7.5615123024604464E-2</v>
      </c>
    </row>
    <row r="382" spans="16:44">
      <c r="P382">
        <v>374</v>
      </c>
      <c r="Q382">
        <v>159.37007280334615</v>
      </c>
      <c r="S382">
        <v>374</v>
      </c>
      <c r="T382">
        <v>293.87345026439812</v>
      </c>
      <c r="V382">
        <v>374</v>
      </c>
      <c r="W382">
        <v>212.55337384779651</v>
      </c>
      <c r="AK382">
        <f>SMALL('Iter No Test'!$Q$9:$Q$508,380)</f>
        <v>269.87307604346717</v>
      </c>
      <c r="AL382">
        <f>1/(COUNT('Iter No Test'!$Q$9:$Q$508)-1)+$AL$381</f>
        <v>0.75951903807615295</v>
      </c>
      <c r="AN382">
        <f>SMALL('Iter No Test'!$T$9:$T$1008,380)</f>
        <v>185.13103572349854</v>
      </c>
      <c r="AO382">
        <f>1/(COUNT('Iter No Test'!$T$9:$T$1008)-1)+$AO$381</f>
        <v>0.37937937937937732</v>
      </c>
      <c r="AQ382">
        <f>SMALL('Iter No Test'!$W$9:$W$5008,380)</f>
        <v>96.461577598915383</v>
      </c>
      <c r="AR382">
        <f>1/(COUNT('Iter No Test'!$W$9:$W$5008)-1)+$AR$381</f>
        <v>7.5815163032606062E-2</v>
      </c>
    </row>
    <row r="383" spans="16:44">
      <c r="P383">
        <v>375</v>
      </c>
      <c r="Q383">
        <v>112.99634392756127</v>
      </c>
      <c r="S383">
        <v>375</v>
      </c>
      <c r="T383">
        <v>98.376218602750896</v>
      </c>
      <c r="V383">
        <v>375</v>
      </c>
      <c r="W383">
        <v>302.85708899619976</v>
      </c>
      <c r="AK383">
        <f>SMALL('Iter No Test'!$Q$9:$Q$508,381)</f>
        <v>270.73268239968041</v>
      </c>
      <c r="AL383">
        <f>1/(COUNT('Iter No Test'!$Q$9:$Q$508)-1)+$AL$382</f>
        <v>0.76152304609218502</v>
      </c>
      <c r="AN383">
        <f>SMALL('Iter No Test'!$T$9:$T$1008,381)</f>
        <v>185.41728781076046</v>
      </c>
      <c r="AO383">
        <f>1/(COUNT('Iter No Test'!$T$9:$T$1008)-1)+$AO$382</f>
        <v>0.3803803803803783</v>
      </c>
      <c r="AQ383">
        <f>SMALL('Iter No Test'!$W$9:$W$5008,381)</f>
        <v>96.540098539919939</v>
      </c>
      <c r="AR383">
        <f>1/(COUNT('Iter No Test'!$W$9:$W$5008)-1)+$AR$382</f>
        <v>7.601520304060766E-2</v>
      </c>
    </row>
    <row r="384" spans="16:44">
      <c r="P384">
        <v>376</v>
      </c>
      <c r="Q384">
        <v>132.93735145873853</v>
      </c>
      <c r="S384">
        <v>376</v>
      </c>
      <c r="T384">
        <v>229.07709154394232</v>
      </c>
      <c r="V384">
        <v>376</v>
      </c>
      <c r="W384">
        <v>197.55673545755695</v>
      </c>
      <c r="AK384">
        <f>SMALL('Iter No Test'!$Q$9:$Q$508,382)</f>
        <v>271.117105152401</v>
      </c>
      <c r="AL384">
        <f>1/(COUNT('Iter No Test'!$Q$9:$Q$508)-1)+$AL$383</f>
        <v>0.76352705410821708</v>
      </c>
      <c r="AN384">
        <f>SMALL('Iter No Test'!$T$9:$T$1008,382)</f>
        <v>185.72983561489889</v>
      </c>
      <c r="AO384">
        <f>1/(COUNT('Iter No Test'!$T$9:$T$1008)-1)+$AO$383</f>
        <v>0.38138138138137928</v>
      </c>
      <c r="AQ384">
        <f>SMALL('Iter No Test'!$W$9:$W$5008,382)</f>
        <v>96.556647917702406</v>
      </c>
      <c r="AR384">
        <f>1/(COUNT('Iter No Test'!$W$9:$W$5008)-1)+$AR$383</f>
        <v>7.6215243048609257E-2</v>
      </c>
    </row>
    <row r="385" spans="16:44">
      <c r="P385">
        <v>377</v>
      </c>
      <c r="Q385">
        <v>200.08502857174264</v>
      </c>
      <c r="S385">
        <v>377</v>
      </c>
      <c r="T385">
        <v>293.66813597935061</v>
      </c>
      <c r="V385">
        <v>377</v>
      </c>
      <c r="W385">
        <v>275.22233268030891</v>
      </c>
      <c r="AK385">
        <f>SMALL('Iter No Test'!$Q$9:$Q$508,383)</f>
        <v>271.92845662689854</v>
      </c>
      <c r="AL385">
        <f>1/(COUNT('Iter No Test'!$Q$9:$Q$508)-1)+$AL$384</f>
        <v>0.76553106212424915</v>
      </c>
      <c r="AN385">
        <f>SMALL('Iter No Test'!$T$9:$T$1008,383)</f>
        <v>185.88215964480327</v>
      </c>
      <c r="AO385">
        <f>1/(COUNT('Iter No Test'!$T$9:$T$1008)-1)+$AO$384</f>
        <v>0.38238238238238026</v>
      </c>
      <c r="AQ385">
        <f>SMALL('Iter No Test'!$W$9:$W$5008,383)</f>
        <v>96.624785273951446</v>
      </c>
      <c r="AR385">
        <f>1/(COUNT('Iter No Test'!$W$9:$W$5008)-1)+$AR$384</f>
        <v>7.6415283056610855E-2</v>
      </c>
    </row>
    <row r="386" spans="16:44">
      <c r="P386">
        <v>378</v>
      </c>
      <c r="Q386">
        <v>385.12234208345126</v>
      </c>
      <c r="S386">
        <v>378</v>
      </c>
      <c r="T386">
        <v>294.07666895208865</v>
      </c>
      <c r="V386">
        <v>378</v>
      </c>
      <c r="W386">
        <v>308.9697162144779</v>
      </c>
      <c r="AK386">
        <f>SMALL('Iter No Test'!$Q$9:$Q$508,384)</f>
        <v>272.37638565527504</v>
      </c>
      <c r="AL386">
        <f>1/(COUNT('Iter No Test'!$Q$9:$Q$508)-1)+$AL$385</f>
        <v>0.76753507014028122</v>
      </c>
      <c r="AN386">
        <f>SMALL('Iter No Test'!$T$9:$T$1008,384)</f>
        <v>185.91306510476551</v>
      </c>
      <c r="AO386">
        <f>1/(COUNT('Iter No Test'!$T$9:$T$1008)-1)+$AO$385</f>
        <v>0.38338338338338124</v>
      </c>
      <c r="AQ386">
        <f>SMALL('Iter No Test'!$W$9:$W$5008,384)</f>
        <v>96.726930891047601</v>
      </c>
      <c r="AR386">
        <f>1/(COUNT('Iter No Test'!$W$9:$W$5008)-1)+$AR$385</f>
        <v>7.6615323064612453E-2</v>
      </c>
    </row>
    <row r="387" spans="16:44">
      <c r="P387">
        <v>379</v>
      </c>
      <c r="Q387">
        <v>134.2690932769963</v>
      </c>
      <c r="S387">
        <v>379</v>
      </c>
      <c r="T387">
        <v>150.5252106816456</v>
      </c>
      <c r="V387">
        <v>379</v>
      </c>
      <c r="W387">
        <v>126.55707258047268</v>
      </c>
      <c r="AK387">
        <f>SMALL('Iter No Test'!$Q$9:$Q$508,385)</f>
        <v>274.03113448978667</v>
      </c>
      <c r="AL387">
        <f>1/(COUNT('Iter No Test'!$Q$9:$Q$508)-1)+$AL$386</f>
        <v>0.76953907815631328</v>
      </c>
      <c r="AN387">
        <f>SMALL('Iter No Test'!$T$9:$T$1008,385)</f>
        <v>186.0388647424256</v>
      </c>
      <c r="AO387">
        <f>1/(COUNT('Iter No Test'!$T$9:$T$1008)-1)+$AO$386</f>
        <v>0.38438438438438222</v>
      </c>
      <c r="AQ387">
        <f>SMALL('Iter No Test'!$W$9:$W$5008,385)</f>
        <v>96.932669676197591</v>
      </c>
      <c r="AR387">
        <f>1/(COUNT('Iter No Test'!$W$9:$W$5008)-1)+$AR$386</f>
        <v>7.6815363072614051E-2</v>
      </c>
    </row>
    <row r="388" spans="16:44">
      <c r="P388">
        <v>380</v>
      </c>
      <c r="Q388">
        <v>126.49263821271788</v>
      </c>
      <c r="S388">
        <v>380</v>
      </c>
      <c r="T388">
        <v>278.16343666060948</v>
      </c>
      <c r="V388">
        <v>380</v>
      </c>
      <c r="W388">
        <v>70.574173547008016</v>
      </c>
      <c r="AK388">
        <f>SMALL('Iter No Test'!$Q$9:$Q$508,386)</f>
        <v>274.64341306328686</v>
      </c>
      <c r="AL388">
        <f>1/(COUNT('Iter No Test'!$Q$9:$Q$508)-1)+$AL$387</f>
        <v>0.77154308617234535</v>
      </c>
      <c r="AN388">
        <f>SMALL('Iter No Test'!$T$9:$T$1008,386)</f>
        <v>186.13627848239673</v>
      </c>
      <c r="AO388">
        <f>1/(COUNT('Iter No Test'!$T$9:$T$1008)-1)+$AO$387</f>
        <v>0.38538538538538319</v>
      </c>
      <c r="AQ388">
        <f>SMALL('Iter No Test'!$W$9:$W$5008,386)</f>
        <v>97.075907089253974</v>
      </c>
      <c r="AR388">
        <f>1/(COUNT('Iter No Test'!$W$9:$W$5008)-1)+$AR$387</f>
        <v>7.7015403080615649E-2</v>
      </c>
    </row>
    <row r="389" spans="16:44">
      <c r="P389">
        <v>381</v>
      </c>
      <c r="Q389">
        <v>320.59320523734084</v>
      </c>
      <c r="S389">
        <v>381</v>
      </c>
      <c r="T389">
        <v>266.03530818251807</v>
      </c>
      <c r="V389">
        <v>381</v>
      </c>
      <c r="W389">
        <v>257.54176641067289</v>
      </c>
      <c r="AK389">
        <f>SMALL('Iter No Test'!$Q$9:$Q$508,387)</f>
        <v>276.80780571647279</v>
      </c>
      <c r="AL389">
        <f>1/(COUNT('Iter No Test'!$Q$9:$Q$508)-1)+$AL$388</f>
        <v>0.77354709418837742</v>
      </c>
      <c r="AN389">
        <f>SMALL('Iter No Test'!$T$9:$T$1008,387)</f>
        <v>186.36005564672348</v>
      </c>
      <c r="AO389">
        <f>1/(COUNT('Iter No Test'!$T$9:$T$1008)-1)+$AO$388</f>
        <v>0.38638638638638417</v>
      </c>
      <c r="AQ389">
        <f>SMALL('Iter No Test'!$W$9:$W$5008,387)</f>
        <v>97.180508813648686</v>
      </c>
      <c r="AR389">
        <f>1/(COUNT('Iter No Test'!$W$9:$W$5008)-1)+$AR$388</f>
        <v>7.7215443088617247E-2</v>
      </c>
    </row>
    <row r="390" spans="16:44">
      <c r="P390">
        <v>382</v>
      </c>
      <c r="Q390">
        <v>211.28109101416678</v>
      </c>
      <c r="S390">
        <v>382</v>
      </c>
      <c r="T390">
        <v>218.67872671545868</v>
      </c>
      <c r="V390">
        <v>382</v>
      </c>
      <c r="W390">
        <v>157.01610448214163</v>
      </c>
      <c r="AK390">
        <f>SMALL('Iter No Test'!$Q$9:$Q$508,388)</f>
        <v>277.19717147125255</v>
      </c>
      <c r="AL390">
        <f>1/(COUNT('Iter No Test'!$Q$9:$Q$508)-1)+$AL$389</f>
        <v>0.77555110220440948</v>
      </c>
      <c r="AN390">
        <f>SMALL('Iter No Test'!$T$9:$T$1008,388)</f>
        <v>186.39338730154554</v>
      </c>
      <c r="AO390">
        <f>1/(COUNT('Iter No Test'!$T$9:$T$1008)-1)+$AO$389</f>
        <v>0.38738738738738515</v>
      </c>
      <c r="AQ390">
        <f>SMALL('Iter No Test'!$W$9:$W$5008,388)</f>
        <v>97.350815705163598</v>
      </c>
      <c r="AR390">
        <f>1/(COUNT('Iter No Test'!$W$9:$W$5008)-1)+$AR$389</f>
        <v>7.7415483096618845E-2</v>
      </c>
    </row>
    <row r="391" spans="16:44">
      <c r="P391">
        <v>383</v>
      </c>
      <c r="Q391">
        <v>94.323276804236116</v>
      </c>
      <c r="S391">
        <v>383</v>
      </c>
      <c r="T391">
        <v>270.98977662844675</v>
      </c>
      <c r="V391">
        <v>383</v>
      </c>
      <c r="W391">
        <v>198.36237321549382</v>
      </c>
      <c r="AK391">
        <f>SMALL('Iter No Test'!$Q$9:$Q$508,389)</f>
        <v>277.2667896054042</v>
      </c>
      <c r="AL391">
        <f>1/(COUNT('Iter No Test'!$Q$9:$Q$508)-1)+$AL$390</f>
        <v>0.77755511022044155</v>
      </c>
      <c r="AN391">
        <f>SMALL('Iter No Test'!$T$9:$T$1008,389)</f>
        <v>187.30301878074528</v>
      </c>
      <c r="AO391">
        <f>1/(COUNT('Iter No Test'!$T$9:$T$1008)-1)+$AO$390</f>
        <v>0.38838838838838613</v>
      </c>
      <c r="AQ391">
        <f>SMALL('Iter No Test'!$W$9:$W$5008,389)</f>
        <v>97.357803639086313</v>
      </c>
      <c r="AR391">
        <f>1/(COUNT('Iter No Test'!$W$9:$W$5008)-1)+$AR$390</f>
        <v>7.7615523104620443E-2</v>
      </c>
    </row>
    <row r="392" spans="16:44">
      <c r="P392">
        <v>384</v>
      </c>
      <c r="Q392">
        <v>123.73204393309094</v>
      </c>
      <c r="S392">
        <v>384</v>
      </c>
      <c r="T392">
        <v>187.9486330495302</v>
      </c>
      <c r="V392">
        <v>384</v>
      </c>
      <c r="W392">
        <v>230.24067858355164</v>
      </c>
      <c r="AK392">
        <f>SMALL('Iter No Test'!$Q$9:$Q$508,390)</f>
        <v>278.01527811958772</v>
      </c>
      <c r="AL392">
        <f>1/(COUNT('Iter No Test'!$Q$9:$Q$508)-1)+$AL$391</f>
        <v>0.77955911823647361</v>
      </c>
      <c r="AN392">
        <f>SMALL('Iter No Test'!$T$9:$T$1008,390)</f>
        <v>187.87150395769078</v>
      </c>
      <c r="AO392">
        <f>1/(COUNT('Iter No Test'!$T$9:$T$1008)-1)+$AO$391</f>
        <v>0.38938938938938711</v>
      </c>
      <c r="AQ392">
        <f>SMALL('Iter No Test'!$W$9:$W$5008,390)</f>
        <v>97.691987672761542</v>
      </c>
      <c r="AR392">
        <f>1/(COUNT('Iter No Test'!$W$9:$W$5008)-1)+$AR$391</f>
        <v>7.7815563112622041E-2</v>
      </c>
    </row>
    <row r="393" spans="16:44">
      <c r="P393">
        <v>385</v>
      </c>
      <c r="Q393">
        <v>403.56646698093539</v>
      </c>
      <c r="S393">
        <v>385</v>
      </c>
      <c r="T393">
        <v>258.62240490232006</v>
      </c>
      <c r="V393">
        <v>385</v>
      </c>
      <c r="W393">
        <v>359.5501112161615</v>
      </c>
      <c r="AK393">
        <f>SMALL('Iter No Test'!$Q$9:$Q$508,391)</f>
        <v>278.71121969840601</v>
      </c>
      <c r="AL393">
        <f>1/(COUNT('Iter No Test'!$Q$9:$Q$508)-1)+$AL$392</f>
        <v>0.78156312625250568</v>
      </c>
      <c r="AN393">
        <f>SMALL('Iter No Test'!$T$9:$T$1008,391)</f>
        <v>187.90214189635762</v>
      </c>
      <c r="AO393">
        <f>1/(COUNT('Iter No Test'!$T$9:$T$1008)-1)+$AO$392</f>
        <v>0.39039039039038809</v>
      </c>
      <c r="AQ393">
        <f>SMALL('Iter No Test'!$W$9:$W$5008,391)</f>
        <v>97.725156787626076</v>
      </c>
      <c r="AR393">
        <f>1/(COUNT('Iter No Test'!$W$9:$W$5008)-1)+$AR$392</f>
        <v>7.8015603120623639E-2</v>
      </c>
    </row>
    <row r="394" spans="16:44">
      <c r="P394">
        <v>386</v>
      </c>
      <c r="Q394">
        <v>360.02632286740379</v>
      </c>
      <c r="S394">
        <v>386</v>
      </c>
      <c r="T394">
        <v>156.29308146934406</v>
      </c>
      <c r="V394">
        <v>386</v>
      </c>
      <c r="W394">
        <v>208.40877284179385</v>
      </c>
      <c r="AK394">
        <f>SMALL('Iter No Test'!$Q$9:$Q$508,392)</f>
        <v>279.47416558377387</v>
      </c>
      <c r="AL394">
        <f>1/(COUNT('Iter No Test'!$Q$9:$Q$508)-1)+$AL$393</f>
        <v>0.78356713426853775</v>
      </c>
      <c r="AN394">
        <f>SMALL('Iter No Test'!$T$9:$T$1008,392)</f>
        <v>187.91061093068993</v>
      </c>
      <c r="AO394">
        <f>1/(COUNT('Iter No Test'!$T$9:$T$1008)-1)+$AO$393</f>
        <v>0.39139139139138907</v>
      </c>
      <c r="AQ394">
        <f>SMALL('Iter No Test'!$W$9:$W$5008,392)</f>
        <v>98.071523321279415</v>
      </c>
      <c r="AR394">
        <f>1/(COUNT('Iter No Test'!$W$9:$W$5008)-1)+$AR$393</f>
        <v>7.8215643128625237E-2</v>
      </c>
    </row>
    <row r="395" spans="16:44">
      <c r="P395">
        <v>387</v>
      </c>
      <c r="Q395">
        <v>200.77025904240463</v>
      </c>
      <c r="S395">
        <v>387</v>
      </c>
      <c r="T395">
        <v>200.25461760868006</v>
      </c>
      <c r="V395">
        <v>387</v>
      </c>
      <c r="W395">
        <v>254.82135316486566</v>
      </c>
      <c r="AK395">
        <f>SMALL('Iter No Test'!$Q$9:$Q$508,393)</f>
        <v>280.62113708708011</v>
      </c>
      <c r="AL395">
        <f>1/(COUNT('Iter No Test'!$Q$9:$Q$508)-1)+$AL$394</f>
        <v>0.78557114228456981</v>
      </c>
      <c r="AN395">
        <f>SMALL('Iter No Test'!$T$9:$T$1008,393)</f>
        <v>187.9486330495302</v>
      </c>
      <c r="AO395">
        <f>1/(COUNT('Iter No Test'!$T$9:$T$1008)-1)+$AO$394</f>
        <v>0.39239239239239004</v>
      </c>
      <c r="AQ395">
        <f>SMALL('Iter No Test'!$W$9:$W$5008,393)</f>
        <v>98.228264247958748</v>
      </c>
      <c r="AR395">
        <f>1/(COUNT('Iter No Test'!$W$9:$W$5008)-1)+$AR$394</f>
        <v>7.8415683136626835E-2</v>
      </c>
    </row>
    <row r="396" spans="16:44">
      <c r="P396">
        <v>388</v>
      </c>
      <c r="Q396">
        <v>291.5810489007863</v>
      </c>
      <c r="S396">
        <v>388</v>
      </c>
      <c r="T396">
        <v>114.58794186513963</v>
      </c>
      <c r="V396">
        <v>388</v>
      </c>
      <c r="W396">
        <v>270.33346042474534</v>
      </c>
      <c r="AK396">
        <f>SMALL('Iter No Test'!$Q$9:$Q$508,394)</f>
        <v>283.30108921661446</v>
      </c>
      <c r="AL396">
        <f>1/(COUNT('Iter No Test'!$Q$9:$Q$508)-1)+$AL$395</f>
        <v>0.78757515030060188</v>
      </c>
      <c r="AN396">
        <f>SMALL('Iter No Test'!$T$9:$T$1008,394)</f>
        <v>187.99916660774852</v>
      </c>
      <c r="AO396">
        <f>1/(COUNT('Iter No Test'!$T$9:$T$1008)-1)+$AO$395</f>
        <v>0.39339339339339102</v>
      </c>
      <c r="AQ396">
        <f>SMALL('Iter No Test'!$W$9:$W$5008,394)</f>
        <v>98.456106493740194</v>
      </c>
      <c r="AR396">
        <f>1/(COUNT('Iter No Test'!$W$9:$W$5008)-1)+$AR$395</f>
        <v>7.8615723144628433E-2</v>
      </c>
    </row>
    <row r="397" spans="16:44">
      <c r="P397">
        <v>389</v>
      </c>
      <c r="Q397">
        <v>211.42793904094549</v>
      </c>
      <c r="S397">
        <v>389</v>
      </c>
      <c r="T397">
        <v>94.318771214748963</v>
      </c>
      <c r="V397">
        <v>389</v>
      </c>
      <c r="W397">
        <v>221.13960706705731</v>
      </c>
      <c r="AK397">
        <f>SMALL('Iter No Test'!$Q$9:$Q$508,395)</f>
        <v>283.89201884496725</v>
      </c>
      <c r="AL397">
        <f>1/(COUNT('Iter No Test'!$Q$9:$Q$508)-1)+$AL$396</f>
        <v>0.78957915831663394</v>
      </c>
      <c r="AN397">
        <f>SMALL('Iter No Test'!$T$9:$T$1008,395)</f>
        <v>188.34972375440324</v>
      </c>
      <c r="AO397">
        <f>1/(COUNT('Iter No Test'!$T$9:$T$1008)-1)+$AO$396</f>
        <v>0.394394394394392</v>
      </c>
      <c r="AQ397">
        <f>SMALL('Iter No Test'!$W$9:$W$5008,395)</f>
        <v>98.589038476127257</v>
      </c>
      <c r="AR397">
        <f>1/(COUNT('Iter No Test'!$W$9:$W$5008)-1)+$AR$396</f>
        <v>7.8815763152630031E-2</v>
      </c>
    </row>
    <row r="398" spans="16:44">
      <c r="P398">
        <v>390</v>
      </c>
      <c r="Q398">
        <v>316.81790041593126</v>
      </c>
      <c r="S398">
        <v>390</v>
      </c>
      <c r="T398">
        <v>184.4284432076162</v>
      </c>
      <c r="V398">
        <v>390</v>
      </c>
      <c r="W398">
        <v>164.72907235712017</v>
      </c>
      <c r="AK398">
        <f>SMALL('Iter No Test'!$Q$9:$Q$508,396)</f>
        <v>284.88554406602645</v>
      </c>
      <c r="AL398">
        <f>1/(COUNT('Iter No Test'!$Q$9:$Q$508)-1)+$AL$397</f>
        <v>0.79158316633266601</v>
      </c>
      <c r="AN398">
        <f>SMALL('Iter No Test'!$T$9:$T$1008,396)</f>
        <v>188.70987927304901</v>
      </c>
      <c r="AO398">
        <f>1/(COUNT('Iter No Test'!$T$9:$T$1008)-1)+$AO$397</f>
        <v>0.39539539539539298</v>
      </c>
      <c r="AQ398">
        <f>SMALL('Iter No Test'!$W$9:$W$5008,396)</f>
        <v>98.705353433577002</v>
      </c>
      <c r="AR398">
        <f>1/(COUNT('Iter No Test'!$W$9:$W$5008)-1)+$AR$397</f>
        <v>7.9015803160631629E-2</v>
      </c>
    </row>
    <row r="399" spans="16:44">
      <c r="P399">
        <v>391</v>
      </c>
      <c r="Q399">
        <v>213.13239324772084</v>
      </c>
      <c r="S399">
        <v>391</v>
      </c>
      <c r="T399">
        <v>310.73325952027005</v>
      </c>
      <c r="V399">
        <v>391</v>
      </c>
      <c r="W399">
        <v>355.0770321445392</v>
      </c>
      <c r="AK399">
        <f>SMALL('Iter No Test'!$Q$9:$Q$508,397)</f>
        <v>285.1996977660977</v>
      </c>
      <c r="AL399">
        <f>1/(COUNT('Iter No Test'!$Q$9:$Q$508)-1)+$AL$398</f>
        <v>0.79358717434869808</v>
      </c>
      <c r="AN399">
        <f>SMALL('Iter No Test'!$T$9:$T$1008,397)</f>
        <v>188.91427014237053</v>
      </c>
      <c r="AO399">
        <f>1/(COUNT('Iter No Test'!$T$9:$T$1008)-1)+$AO$398</f>
        <v>0.39639639639639396</v>
      </c>
      <c r="AQ399">
        <f>SMALL('Iter No Test'!$W$9:$W$5008,397)</f>
        <v>98.728344733150507</v>
      </c>
      <c r="AR399">
        <f>1/(COUNT('Iter No Test'!$W$9:$W$5008)-1)+$AR$398</f>
        <v>7.9215843168633227E-2</v>
      </c>
    </row>
    <row r="400" spans="16:44">
      <c r="P400">
        <v>392</v>
      </c>
      <c r="Q400">
        <v>192.46076902876246</v>
      </c>
      <c r="S400">
        <v>392</v>
      </c>
      <c r="T400">
        <v>101.33510270203678</v>
      </c>
      <c r="V400">
        <v>392</v>
      </c>
      <c r="W400">
        <v>348.60102070644507</v>
      </c>
      <c r="AK400">
        <f>SMALL('Iter No Test'!$Q$9:$Q$508,398)</f>
        <v>285.63477745193757</v>
      </c>
      <c r="AL400">
        <f>1/(COUNT('Iter No Test'!$Q$9:$Q$508)-1)+$AL$399</f>
        <v>0.79559118236473014</v>
      </c>
      <c r="AN400">
        <f>SMALL('Iter No Test'!$T$9:$T$1008,398)</f>
        <v>189.09199680149786</v>
      </c>
      <c r="AO400">
        <f>1/(COUNT('Iter No Test'!$T$9:$T$1008)-1)+$AO$399</f>
        <v>0.39739739739739494</v>
      </c>
      <c r="AQ400">
        <f>SMALL('Iter No Test'!$W$9:$W$5008,398)</f>
        <v>99.147122864675893</v>
      </c>
      <c r="AR400">
        <f>1/(COUNT('Iter No Test'!$W$9:$W$5008)-1)+$AR$399</f>
        <v>7.9415883176634824E-2</v>
      </c>
    </row>
    <row r="401" spans="16:44">
      <c r="P401">
        <v>393</v>
      </c>
      <c r="Q401">
        <v>172.7696395092523</v>
      </c>
      <c r="S401">
        <v>393</v>
      </c>
      <c r="T401">
        <v>192.76819351323761</v>
      </c>
      <c r="V401">
        <v>393</v>
      </c>
      <c r="W401">
        <v>373.52045940035106</v>
      </c>
      <c r="AK401">
        <f>SMALL('Iter No Test'!$Q$9:$Q$508,399)</f>
        <v>285.85156012095592</v>
      </c>
      <c r="AL401">
        <f>1/(COUNT('Iter No Test'!$Q$9:$Q$508)-1)+$AL$400</f>
        <v>0.79759519038076221</v>
      </c>
      <c r="AN401">
        <f>SMALL('Iter No Test'!$T$9:$T$1008,399)</f>
        <v>189.14925325450452</v>
      </c>
      <c r="AO401">
        <f>1/(COUNT('Iter No Test'!$T$9:$T$1008)-1)+$AO$400</f>
        <v>0.39839839839839591</v>
      </c>
      <c r="AQ401">
        <f>SMALL('Iter No Test'!$W$9:$W$5008,399)</f>
        <v>99.177916003048665</v>
      </c>
      <c r="AR401">
        <f>1/(COUNT('Iter No Test'!$W$9:$W$5008)-1)+$AR$400</f>
        <v>7.9615923184636422E-2</v>
      </c>
    </row>
    <row r="402" spans="16:44">
      <c r="P402">
        <v>394</v>
      </c>
      <c r="Q402">
        <v>319.03747871915812</v>
      </c>
      <c r="S402">
        <v>394</v>
      </c>
      <c r="T402">
        <v>46.372094838296192</v>
      </c>
      <c r="V402">
        <v>394</v>
      </c>
      <c r="W402">
        <v>109.30536028747198</v>
      </c>
      <c r="AK402">
        <f>SMALL('Iter No Test'!$Q$9:$Q$508,400)</f>
        <v>286.32765247469968</v>
      </c>
      <c r="AL402">
        <f>1/(COUNT('Iter No Test'!$Q$9:$Q$508)-1)+$AL$401</f>
        <v>0.79959919839679428</v>
      </c>
      <c r="AN402">
        <f>SMALL('Iter No Test'!$T$9:$T$1008,400)</f>
        <v>189.20041446670351</v>
      </c>
      <c r="AO402">
        <f>1/(COUNT('Iter No Test'!$T$9:$T$1008)-1)+$AO$401</f>
        <v>0.39939939939939689</v>
      </c>
      <c r="AQ402">
        <f>SMALL('Iter No Test'!$W$9:$W$5008,400)</f>
        <v>99.310863194668428</v>
      </c>
      <c r="AR402">
        <f>1/(COUNT('Iter No Test'!$W$9:$W$5008)-1)+$AR$401</f>
        <v>7.981596319263802E-2</v>
      </c>
    </row>
    <row r="403" spans="16:44">
      <c r="P403">
        <v>395</v>
      </c>
      <c r="Q403">
        <v>187.4066904647232</v>
      </c>
      <c r="S403">
        <v>395</v>
      </c>
      <c r="T403">
        <v>171.55789878960789</v>
      </c>
      <c r="V403">
        <v>395</v>
      </c>
      <c r="W403">
        <v>237.85762634522496</v>
      </c>
      <c r="AK403">
        <f>SMALL('Iter No Test'!$Q$9:$Q$508,401)</f>
        <v>288.34044282478158</v>
      </c>
      <c r="AL403">
        <f>1/(COUNT('Iter No Test'!$Q$9:$Q$508)-1)+$AL$402</f>
        <v>0.80160320641282634</v>
      </c>
      <c r="AN403">
        <f>SMALL('Iter No Test'!$T$9:$T$1008,401)</f>
        <v>189.23364999267386</v>
      </c>
      <c r="AO403">
        <f>1/(COUNT('Iter No Test'!$T$9:$T$1008)-1)+$AO$402</f>
        <v>0.40040040040039787</v>
      </c>
      <c r="AQ403">
        <f>SMALL('Iter No Test'!$W$9:$W$5008,401)</f>
        <v>99.315974131778361</v>
      </c>
      <c r="AR403">
        <f>1/(COUNT('Iter No Test'!$W$9:$W$5008)-1)+$AR$402</f>
        <v>8.0016003200639618E-2</v>
      </c>
    </row>
    <row r="404" spans="16:44">
      <c r="P404">
        <v>396</v>
      </c>
      <c r="Q404">
        <v>101.12095041240222</v>
      </c>
      <c r="S404">
        <v>396</v>
      </c>
      <c r="T404">
        <v>160.46872329501912</v>
      </c>
      <c r="V404">
        <v>396</v>
      </c>
      <c r="W404">
        <v>147.65949776797135</v>
      </c>
      <c r="AK404">
        <f>SMALL('Iter No Test'!$Q$9:$Q$508,402)</f>
        <v>291.5810489007863</v>
      </c>
      <c r="AL404">
        <f>1/(COUNT('Iter No Test'!$Q$9:$Q$508)-1)+$AL$403</f>
        <v>0.80360721442885841</v>
      </c>
      <c r="AN404">
        <f>SMALL('Iter No Test'!$T$9:$T$1008,402)</f>
        <v>189.72103600808472</v>
      </c>
      <c r="AO404">
        <f>1/(COUNT('Iter No Test'!$T$9:$T$1008)-1)+$AO$403</f>
        <v>0.40140140140139885</v>
      </c>
      <c r="AQ404">
        <f>SMALL('Iter No Test'!$W$9:$W$5008,402)</f>
        <v>99.387355548243193</v>
      </c>
      <c r="AR404">
        <f>1/(COUNT('Iter No Test'!$W$9:$W$5008)-1)+$AR$403</f>
        <v>8.0216043208641216E-2</v>
      </c>
    </row>
    <row r="405" spans="16:44">
      <c r="P405">
        <v>397</v>
      </c>
      <c r="Q405">
        <v>191.70088730057805</v>
      </c>
      <c r="S405">
        <v>397</v>
      </c>
      <c r="T405">
        <v>49.080015239302</v>
      </c>
      <c r="V405">
        <v>397</v>
      </c>
      <c r="W405">
        <v>29.953301959133668</v>
      </c>
      <c r="AK405">
        <f>SMALL('Iter No Test'!$Q$9:$Q$508,403)</f>
        <v>291.76111115492523</v>
      </c>
      <c r="AL405">
        <f>1/(COUNT('Iter No Test'!$Q$9:$Q$508)-1)+$AL$404</f>
        <v>0.80561122244489047</v>
      </c>
      <c r="AN405">
        <f>SMALL('Iter No Test'!$T$9:$T$1008,403)</f>
        <v>189.79203070719598</v>
      </c>
      <c r="AO405">
        <f>1/(COUNT('Iter No Test'!$T$9:$T$1008)-1)+$AO$404</f>
        <v>0.40240240240239983</v>
      </c>
      <c r="AQ405">
        <f>SMALL('Iter No Test'!$W$9:$W$5008,403)</f>
        <v>99.420177961898233</v>
      </c>
      <c r="AR405">
        <f>1/(COUNT('Iter No Test'!$W$9:$W$5008)-1)+$AR$404</f>
        <v>8.0416083216642814E-2</v>
      </c>
    </row>
    <row r="406" spans="16:44">
      <c r="P406">
        <v>398</v>
      </c>
      <c r="Q406">
        <v>235.34213003461892</v>
      </c>
      <c r="S406">
        <v>398</v>
      </c>
      <c r="T406">
        <v>240.50321881221797</v>
      </c>
      <c r="V406">
        <v>398</v>
      </c>
      <c r="W406">
        <v>287.05998430929645</v>
      </c>
      <c r="AK406">
        <f>SMALL('Iter No Test'!$Q$9:$Q$508,404)</f>
        <v>291.85436405649682</v>
      </c>
      <c r="AL406">
        <f>1/(COUNT('Iter No Test'!$Q$9:$Q$508)-1)+$AL$405</f>
        <v>0.80761523046092254</v>
      </c>
      <c r="AN406">
        <f>SMALL('Iter No Test'!$T$9:$T$1008,404)</f>
        <v>190.41449627386265</v>
      </c>
      <c r="AO406">
        <f>1/(COUNT('Iter No Test'!$T$9:$T$1008)-1)+$AO$405</f>
        <v>0.40340340340340081</v>
      </c>
      <c r="AQ406">
        <f>SMALL('Iter No Test'!$W$9:$W$5008,404)</f>
        <v>99.437372982166394</v>
      </c>
      <c r="AR406">
        <f>1/(COUNT('Iter No Test'!$W$9:$W$5008)-1)+$AR$405</f>
        <v>8.0616123224644412E-2</v>
      </c>
    </row>
    <row r="407" spans="16:44">
      <c r="P407">
        <v>399</v>
      </c>
      <c r="Q407">
        <v>147.59982399713491</v>
      </c>
      <c r="S407">
        <v>399</v>
      </c>
      <c r="T407">
        <v>166.95424246570795</v>
      </c>
      <c r="V407">
        <v>399</v>
      </c>
      <c r="W407">
        <v>212.49955407096647</v>
      </c>
      <c r="AK407">
        <f>SMALL('Iter No Test'!$Q$9:$Q$508,405)</f>
        <v>292.49397515193579</v>
      </c>
      <c r="AL407">
        <f>1/(COUNT('Iter No Test'!$Q$9:$Q$508)-1)+$AL$406</f>
        <v>0.80961923847695461</v>
      </c>
      <c r="AN407">
        <f>SMALL('Iter No Test'!$T$9:$T$1008,405)</f>
        <v>190.4641405158838</v>
      </c>
      <c r="AO407">
        <f>1/(COUNT('Iter No Test'!$T$9:$T$1008)-1)+$AO$406</f>
        <v>0.40440440440440178</v>
      </c>
      <c r="AQ407">
        <f>SMALL('Iter No Test'!$W$9:$W$5008,405)</f>
        <v>99.490309545984687</v>
      </c>
      <c r="AR407">
        <f>1/(COUNT('Iter No Test'!$W$9:$W$5008)-1)+$AR$406</f>
        <v>8.081616323264601E-2</v>
      </c>
    </row>
    <row r="408" spans="16:44">
      <c r="P408">
        <v>400</v>
      </c>
      <c r="Q408">
        <v>128.14260048531034</v>
      </c>
      <c r="S408">
        <v>400</v>
      </c>
      <c r="T408">
        <v>199.95178201616741</v>
      </c>
      <c r="V408">
        <v>400</v>
      </c>
      <c r="W408">
        <v>282.50543636606812</v>
      </c>
      <c r="AK408">
        <f>SMALL('Iter No Test'!$Q$9:$Q$508,406)</f>
        <v>292.53494451927395</v>
      </c>
      <c r="AL408">
        <f>1/(COUNT('Iter No Test'!$Q$9:$Q$508)-1)+$AL$407</f>
        <v>0.81162324649298667</v>
      </c>
      <c r="AN408">
        <f>SMALL('Iter No Test'!$T$9:$T$1008,406)</f>
        <v>190.60589449042982</v>
      </c>
      <c r="AO408">
        <f>1/(COUNT('Iter No Test'!$T$9:$T$1008)-1)+$AO$407</f>
        <v>0.40540540540540276</v>
      </c>
      <c r="AQ408">
        <f>SMALL('Iter No Test'!$W$9:$W$5008,406)</f>
        <v>99.540550167442461</v>
      </c>
      <c r="AR408">
        <f>1/(COUNT('Iter No Test'!$W$9:$W$5008)-1)+$AR$407</f>
        <v>8.1016203240647608E-2</v>
      </c>
    </row>
    <row r="409" spans="16:44">
      <c r="P409">
        <v>401</v>
      </c>
      <c r="Q409">
        <v>165.05111117385763</v>
      </c>
      <c r="S409">
        <v>401</v>
      </c>
      <c r="T409">
        <v>435.53879675186334</v>
      </c>
      <c r="V409">
        <v>401</v>
      </c>
      <c r="W409">
        <v>121.14810087895842</v>
      </c>
      <c r="AK409">
        <f>SMALL('Iter No Test'!$Q$9:$Q$508,407)</f>
        <v>293.31853624250289</v>
      </c>
      <c r="AL409">
        <f>1/(COUNT('Iter No Test'!$Q$9:$Q$508)-1)+$AL$408</f>
        <v>0.81362725450901874</v>
      </c>
      <c r="AN409">
        <f>SMALL('Iter No Test'!$T$9:$T$1008,407)</f>
        <v>190.63979666585669</v>
      </c>
      <c r="AO409">
        <f>1/(COUNT('Iter No Test'!$T$9:$T$1008)-1)+$AO$408</f>
        <v>0.40640640640640374</v>
      </c>
      <c r="AQ409">
        <f>SMALL('Iter No Test'!$W$9:$W$5008,407)</f>
        <v>99.787857275674327</v>
      </c>
      <c r="AR409">
        <f>1/(COUNT('Iter No Test'!$W$9:$W$5008)-1)+$AR$408</f>
        <v>8.1216243248649206E-2</v>
      </c>
    </row>
    <row r="410" spans="16:44">
      <c r="P410">
        <v>402</v>
      </c>
      <c r="Q410">
        <v>208.38837366820792</v>
      </c>
      <c r="S410">
        <v>402</v>
      </c>
      <c r="T410">
        <v>232.01225753504232</v>
      </c>
      <c r="V410">
        <v>402</v>
      </c>
      <c r="W410">
        <v>228.57310049780219</v>
      </c>
      <c r="AK410">
        <f>SMALL('Iter No Test'!$Q$9:$Q$508,408)</f>
        <v>293.6211838333719</v>
      </c>
      <c r="AL410">
        <f>1/(COUNT('Iter No Test'!$Q$9:$Q$508)-1)+$AL$409</f>
        <v>0.8156312625250508</v>
      </c>
      <c r="AN410">
        <f>SMALL('Iter No Test'!$T$9:$T$1008,408)</f>
        <v>190.7016964139375</v>
      </c>
      <c r="AO410">
        <f>1/(COUNT('Iter No Test'!$T$9:$T$1008)-1)+$AO$409</f>
        <v>0.40740740740740472</v>
      </c>
      <c r="AQ410">
        <f>SMALL('Iter No Test'!$W$9:$W$5008,408)</f>
        <v>99.840088898076857</v>
      </c>
      <c r="AR410">
        <f>1/(COUNT('Iter No Test'!$W$9:$W$5008)-1)+$AR$409</f>
        <v>8.1416283256650804E-2</v>
      </c>
    </row>
    <row r="411" spans="16:44">
      <c r="P411">
        <v>403</v>
      </c>
      <c r="Q411">
        <v>217.10147537208664</v>
      </c>
      <c r="S411">
        <v>403</v>
      </c>
      <c r="T411">
        <v>245.38480210334421</v>
      </c>
      <c r="V411">
        <v>403</v>
      </c>
      <c r="W411">
        <v>35.344116149723661</v>
      </c>
      <c r="AK411">
        <f>SMALL('Iter No Test'!$Q$9:$Q$508,409)</f>
        <v>294.78611385128875</v>
      </c>
      <c r="AL411">
        <f>1/(COUNT('Iter No Test'!$Q$9:$Q$508)-1)+$AL$410</f>
        <v>0.81763527054108287</v>
      </c>
      <c r="AN411">
        <f>SMALL('Iter No Test'!$T$9:$T$1008,409)</f>
        <v>191.0533591218998</v>
      </c>
      <c r="AO411">
        <f>1/(COUNT('Iter No Test'!$T$9:$T$1008)-1)+$AO$410</f>
        <v>0.4084084084084057</v>
      </c>
      <c r="AQ411">
        <f>SMALL('Iter No Test'!$W$9:$W$5008,409)</f>
        <v>99.841113282789593</v>
      </c>
      <c r="AR411">
        <f>1/(COUNT('Iter No Test'!$W$9:$W$5008)-1)+$AR$410</f>
        <v>8.1616323264652402E-2</v>
      </c>
    </row>
    <row r="412" spans="16:44">
      <c r="P412">
        <v>404</v>
      </c>
      <c r="Q412">
        <v>337.45283977973907</v>
      </c>
      <c r="S412">
        <v>404</v>
      </c>
      <c r="T412">
        <v>151.9007593620658</v>
      </c>
      <c r="V412">
        <v>404</v>
      </c>
      <c r="W412">
        <v>195.94649163332858</v>
      </c>
      <c r="AK412">
        <f>SMALL('Iter No Test'!$Q$9:$Q$508,410)</f>
        <v>294.95978677789498</v>
      </c>
      <c r="AL412">
        <f>1/(COUNT('Iter No Test'!$Q$9:$Q$508)-1)+$AL$411</f>
        <v>0.81963927855711494</v>
      </c>
      <c r="AN412">
        <f>SMALL('Iter No Test'!$T$9:$T$1008,410)</f>
        <v>191.53566914440208</v>
      </c>
      <c r="AO412">
        <f>1/(COUNT('Iter No Test'!$T$9:$T$1008)-1)+$AO$411</f>
        <v>0.40940940940940668</v>
      </c>
      <c r="AQ412">
        <f>SMALL('Iter No Test'!$W$9:$W$5008,410)</f>
        <v>99.935396866270821</v>
      </c>
      <c r="AR412">
        <f>1/(COUNT('Iter No Test'!$W$9:$W$5008)-1)+$AR$411</f>
        <v>8.1816363272654E-2</v>
      </c>
    </row>
    <row r="413" spans="16:44">
      <c r="P413">
        <v>405</v>
      </c>
      <c r="Q413">
        <v>199.68472434823585</v>
      </c>
      <c r="S413">
        <v>405</v>
      </c>
      <c r="T413">
        <v>184.87822843219675</v>
      </c>
      <c r="V413">
        <v>405</v>
      </c>
      <c r="W413">
        <v>169.62098747040224</v>
      </c>
      <c r="AK413">
        <f>SMALL('Iter No Test'!$Q$9:$Q$508,411)</f>
        <v>295.15731362755281</v>
      </c>
      <c r="AL413">
        <f>1/(COUNT('Iter No Test'!$Q$9:$Q$508)-1)+$AL$412</f>
        <v>0.821643286573147</v>
      </c>
      <c r="AN413">
        <f>SMALL('Iter No Test'!$T$9:$T$1008,411)</f>
        <v>191.65386211001254</v>
      </c>
      <c r="AO413">
        <f>1/(COUNT('Iter No Test'!$T$9:$T$1008)-1)+$AO$412</f>
        <v>0.41041041041040766</v>
      </c>
      <c r="AQ413">
        <f>SMALL('Iter No Test'!$W$9:$W$5008,411)</f>
        <v>100.01211486106628</v>
      </c>
      <c r="AR413">
        <f>1/(COUNT('Iter No Test'!$W$9:$W$5008)-1)+$AR$412</f>
        <v>8.2016403280655598E-2</v>
      </c>
    </row>
    <row r="414" spans="16:44">
      <c r="P414">
        <v>406</v>
      </c>
      <c r="Q414">
        <v>140.59309055483143</v>
      </c>
      <c r="S414">
        <v>406</v>
      </c>
      <c r="T414">
        <v>130.29903107477116</v>
      </c>
      <c r="V414">
        <v>406</v>
      </c>
      <c r="W414">
        <v>373.74514667190056</v>
      </c>
      <c r="AK414">
        <f>SMALL('Iter No Test'!$Q$9:$Q$508,412)</f>
        <v>299.92318497262903</v>
      </c>
      <c r="AL414">
        <f>1/(COUNT('Iter No Test'!$Q$9:$Q$508)-1)+$AL$413</f>
        <v>0.82364729458917907</v>
      </c>
      <c r="AN414">
        <f>SMALL('Iter No Test'!$T$9:$T$1008,412)</f>
        <v>191.91663832799327</v>
      </c>
      <c r="AO414">
        <f>1/(COUNT('Iter No Test'!$T$9:$T$1008)-1)+$AO$413</f>
        <v>0.41141141141140863</v>
      </c>
      <c r="AQ414">
        <f>SMALL('Iter No Test'!$W$9:$W$5008,412)</f>
        <v>100.03546698553322</v>
      </c>
      <c r="AR414">
        <f>1/(COUNT('Iter No Test'!$W$9:$W$5008)-1)+$AR$413</f>
        <v>8.2216443288657196E-2</v>
      </c>
    </row>
    <row r="415" spans="16:44">
      <c r="P415">
        <v>407</v>
      </c>
      <c r="Q415">
        <v>108.0447935901299</v>
      </c>
      <c r="S415">
        <v>407</v>
      </c>
      <c r="T415">
        <v>274.86003115954281</v>
      </c>
      <c r="V415">
        <v>407</v>
      </c>
      <c r="W415">
        <v>43.206887615829615</v>
      </c>
      <c r="AK415">
        <f>SMALL('Iter No Test'!$Q$9:$Q$508,413)</f>
        <v>301.34421572730628</v>
      </c>
      <c r="AL415">
        <f>1/(COUNT('Iter No Test'!$Q$9:$Q$508)-1)+$AL$414</f>
        <v>0.82565130260521113</v>
      </c>
      <c r="AN415">
        <f>SMALL('Iter No Test'!$T$9:$T$1008,413)</f>
        <v>191.98245298635106</v>
      </c>
      <c r="AO415">
        <f>1/(COUNT('Iter No Test'!$T$9:$T$1008)-1)+$AO$414</f>
        <v>0.41241241241240961</v>
      </c>
      <c r="AQ415">
        <f>SMALL('Iter No Test'!$W$9:$W$5008,413)</f>
        <v>100.22440206394687</v>
      </c>
      <c r="AR415">
        <f>1/(COUNT('Iter No Test'!$W$9:$W$5008)-1)+$AR$414</f>
        <v>8.2416483296658793E-2</v>
      </c>
    </row>
    <row r="416" spans="16:44">
      <c r="P416">
        <v>408</v>
      </c>
      <c r="Q416">
        <v>236.69073422421161</v>
      </c>
      <c r="S416">
        <v>408</v>
      </c>
      <c r="T416">
        <v>203.17117354764082</v>
      </c>
      <c r="V416">
        <v>408</v>
      </c>
      <c r="W416">
        <v>290.47818467737085</v>
      </c>
      <c r="AK416">
        <f>SMALL('Iter No Test'!$Q$9:$Q$508,414)</f>
        <v>303.05793625994681</v>
      </c>
      <c r="AL416">
        <f>1/(COUNT('Iter No Test'!$Q$9:$Q$508)-1)+$AL$415</f>
        <v>0.8276553106212432</v>
      </c>
      <c r="AN416">
        <f>SMALL('Iter No Test'!$T$9:$T$1008,414)</f>
        <v>192.37437363603397</v>
      </c>
      <c r="AO416">
        <f>1/(COUNT('Iter No Test'!$T$9:$T$1008)-1)+$AO$415</f>
        <v>0.41341341341341059</v>
      </c>
      <c r="AQ416">
        <f>SMALL('Iter No Test'!$W$9:$W$5008,414)</f>
        <v>100.34747726060705</v>
      </c>
      <c r="AR416">
        <f>1/(COUNT('Iter No Test'!$W$9:$W$5008)-1)+$AR$415</f>
        <v>8.2616523304660391E-2</v>
      </c>
    </row>
    <row r="417" spans="16:44">
      <c r="P417">
        <v>409</v>
      </c>
      <c r="Q417">
        <v>218.4578429225129</v>
      </c>
      <c r="S417">
        <v>409</v>
      </c>
      <c r="T417">
        <v>217.84275372574047</v>
      </c>
      <c r="V417">
        <v>409</v>
      </c>
      <c r="W417">
        <v>115.2571976840574</v>
      </c>
      <c r="AK417">
        <f>SMALL('Iter No Test'!$Q$9:$Q$508,415)</f>
        <v>303.16165871727048</v>
      </c>
      <c r="AL417">
        <f>1/(COUNT('Iter No Test'!$Q$9:$Q$508)-1)+$AL$416</f>
        <v>0.82965931863727527</v>
      </c>
      <c r="AN417">
        <f>SMALL('Iter No Test'!$T$9:$T$1008,415)</f>
        <v>192.67152296324599</v>
      </c>
      <c r="AO417">
        <f>1/(COUNT('Iter No Test'!$T$9:$T$1008)-1)+$AO$416</f>
        <v>0.41441441441441157</v>
      </c>
      <c r="AQ417">
        <f>SMALL('Iter No Test'!$W$9:$W$5008,415)</f>
        <v>100.41005796039634</v>
      </c>
      <c r="AR417">
        <f>1/(COUNT('Iter No Test'!$W$9:$W$5008)-1)+$AR$416</f>
        <v>8.2816563312661989E-2</v>
      </c>
    </row>
    <row r="418" spans="16:44">
      <c r="P418">
        <v>410</v>
      </c>
      <c r="Q418">
        <v>147.32124641729308</v>
      </c>
      <c r="S418">
        <v>410</v>
      </c>
      <c r="T418">
        <v>221.87339472381476</v>
      </c>
      <c r="V418">
        <v>410</v>
      </c>
      <c r="W418">
        <v>285.41613149301384</v>
      </c>
      <c r="AK418">
        <f>SMALL('Iter No Test'!$Q$9:$Q$508,416)</f>
        <v>303.25589303683125</v>
      </c>
      <c r="AL418">
        <f>1/(COUNT('Iter No Test'!$Q$9:$Q$508)-1)+$AL$417</f>
        <v>0.83166332665330733</v>
      </c>
      <c r="AN418">
        <f>SMALL('Iter No Test'!$T$9:$T$1008,416)</f>
        <v>192.76819351323761</v>
      </c>
      <c r="AO418">
        <f>1/(COUNT('Iter No Test'!$T$9:$T$1008)-1)+$AO$417</f>
        <v>0.41541541541541255</v>
      </c>
      <c r="AQ418">
        <f>SMALL('Iter No Test'!$W$9:$W$5008,416)</f>
        <v>100.65417627198767</v>
      </c>
      <c r="AR418">
        <f>1/(COUNT('Iter No Test'!$W$9:$W$5008)-1)+$AR$417</f>
        <v>8.3016603320663587E-2</v>
      </c>
    </row>
    <row r="419" spans="16:44">
      <c r="P419">
        <v>411</v>
      </c>
      <c r="Q419">
        <v>166.81431843230789</v>
      </c>
      <c r="S419">
        <v>411</v>
      </c>
      <c r="T419">
        <v>134.93483111933372</v>
      </c>
      <c r="V419">
        <v>411</v>
      </c>
      <c r="W419">
        <v>92.74423494984012</v>
      </c>
      <c r="AK419">
        <f>SMALL('Iter No Test'!$Q$9:$Q$508,417)</f>
        <v>304.16470325238043</v>
      </c>
      <c r="AL419">
        <f>1/(COUNT('Iter No Test'!$Q$9:$Q$508)-1)+$AL$418</f>
        <v>0.8336673346693394</v>
      </c>
      <c r="AN419">
        <f>SMALL('Iter No Test'!$T$9:$T$1008,417)</f>
        <v>192.84616891776275</v>
      </c>
      <c r="AO419">
        <f>1/(COUNT('Iter No Test'!$T$9:$T$1008)-1)+$AO$418</f>
        <v>0.41641641641641353</v>
      </c>
      <c r="AQ419">
        <f>SMALL('Iter No Test'!$W$9:$W$5008,417)</f>
        <v>100.67259203965662</v>
      </c>
      <c r="AR419">
        <f>1/(COUNT('Iter No Test'!$W$9:$W$5008)-1)+$AR$418</f>
        <v>8.3216643328665185E-2</v>
      </c>
    </row>
    <row r="420" spans="16:44">
      <c r="P420">
        <v>412</v>
      </c>
      <c r="Q420">
        <v>283.89201884496725</v>
      </c>
      <c r="S420">
        <v>412</v>
      </c>
      <c r="T420">
        <v>235.84123453569802</v>
      </c>
      <c r="V420">
        <v>412</v>
      </c>
      <c r="W420">
        <v>146.79473463008213</v>
      </c>
      <c r="AK420">
        <f>SMALL('Iter No Test'!$Q$9:$Q$508,418)</f>
        <v>305.41206615031069</v>
      </c>
      <c r="AL420">
        <f>1/(COUNT('Iter No Test'!$Q$9:$Q$508)-1)+$AL$419</f>
        <v>0.83567134268537147</v>
      </c>
      <c r="AN420">
        <f>SMALL('Iter No Test'!$T$9:$T$1008,418)</f>
        <v>193.02796084864792</v>
      </c>
      <c r="AO420">
        <f>1/(COUNT('Iter No Test'!$T$9:$T$1008)-1)+$AO$419</f>
        <v>0.4174174174174145</v>
      </c>
      <c r="AQ420">
        <f>SMALL('Iter No Test'!$W$9:$W$5008,418)</f>
        <v>100.74268721543429</v>
      </c>
      <c r="AR420">
        <f>1/(COUNT('Iter No Test'!$W$9:$W$5008)-1)+$AR$419</f>
        <v>8.3416683336666783E-2</v>
      </c>
    </row>
    <row r="421" spans="16:44">
      <c r="P421">
        <v>413</v>
      </c>
      <c r="Q421">
        <v>199.49709330482702</v>
      </c>
      <c r="S421">
        <v>413</v>
      </c>
      <c r="T421">
        <v>280.20506738886843</v>
      </c>
      <c r="V421">
        <v>413</v>
      </c>
      <c r="W421">
        <v>185.85258986632789</v>
      </c>
      <c r="AK421">
        <f>SMALL('Iter No Test'!$Q$9:$Q$508,419)</f>
        <v>305.60225198672248</v>
      </c>
      <c r="AL421">
        <f>1/(COUNT('Iter No Test'!$Q$9:$Q$508)-1)+$AL$420</f>
        <v>0.83767535070140353</v>
      </c>
      <c r="AN421">
        <f>SMALL('Iter No Test'!$T$9:$T$1008,419)</f>
        <v>193.13175357396833</v>
      </c>
      <c r="AO421">
        <f>1/(COUNT('Iter No Test'!$T$9:$T$1008)-1)+$AO$420</f>
        <v>0.41841841841841548</v>
      </c>
      <c r="AQ421">
        <f>SMALL('Iter No Test'!$W$9:$W$5008,419)</f>
        <v>101.14560816395056</v>
      </c>
      <c r="AR421">
        <f>1/(COUNT('Iter No Test'!$W$9:$W$5008)-1)+$AR$420</f>
        <v>8.3616723344668381E-2</v>
      </c>
    </row>
    <row r="422" spans="16:44">
      <c r="P422">
        <v>414</v>
      </c>
      <c r="Q422">
        <v>191.12612901026148</v>
      </c>
      <c r="S422">
        <v>414</v>
      </c>
      <c r="T422">
        <v>57.465682388844058</v>
      </c>
      <c r="V422">
        <v>414</v>
      </c>
      <c r="W422">
        <v>236.21410807597047</v>
      </c>
      <c r="AK422">
        <f>SMALL('Iter No Test'!$Q$9:$Q$508,420)</f>
        <v>305.74118721919035</v>
      </c>
      <c r="AL422">
        <f>1/(COUNT('Iter No Test'!$Q$9:$Q$508)-1)+$AL$421</f>
        <v>0.8396793587174356</v>
      </c>
      <c r="AN422">
        <f>SMALL('Iter No Test'!$T$9:$T$1008,420)</f>
        <v>193.13989802861099</v>
      </c>
      <c r="AO422">
        <f>1/(COUNT('Iter No Test'!$T$9:$T$1008)-1)+$AO$421</f>
        <v>0.41941941941941646</v>
      </c>
      <c r="AQ422">
        <f>SMALL('Iter No Test'!$W$9:$W$5008,420)</f>
        <v>101.17662469661735</v>
      </c>
      <c r="AR422">
        <f>1/(COUNT('Iter No Test'!$W$9:$W$5008)-1)+$AR$421</f>
        <v>8.3816763352669979E-2</v>
      </c>
    </row>
    <row r="423" spans="16:44">
      <c r="P423">
        <v>415</v>
      </c>
      <c r="Q423">
        <v>219.24317959946418</v>
      </c>
      <c r="S423">
        <v>415</v>
      </c>
      <c r="T423">
        <v>250.96310377130382</v>
      </c>
      <c r="V423">
        <v>415</v>
      </c>
      <c r="W423">
        <v>166.82729138380705</v>
      </c>
      <c r="AK423">
        <f>SMALL('Iter No Test'!$Q$9:$Q$508,421)</f>
        <v>306.84390878603415</v>
      </c>
      <c r="AL423">
        <f>1/(COUNT('Iter No Test'!$Q$9:$Q$508)-1)+$AL$422</f>
        <v>0.84168336673346766</v>
      </c>
      <c r="AN423">
        <f>SMALL('Iter No Test'!$T$9:$T$1008,421)</f>
        <v>193.54772512196945</v>
      </c>
      <c r="AO423">
        <f>1/(COUNT('Iter No Test'!$T$9:$T$1008)-1)+$AO$422</f>
        <v>0.42042042042041744</v>
      </c>
      <c r="AQ423">
        <f>SMALL('Iter No Test'!$W$9:$W$5008,421)</f>
        <v>101.28128042296453</v>
      </c>
      <c r="AR423">
        <f>1/(COUNT('Iter No Test'!$W$9:$W$5008)-1)+$AR$422</f>
        <v>8.4016803360671577E-2</v>
      </c>
    </row>
    <row r="424" spans="16:44">
      <c r="P424">
        <v>416</v>
      </c>
      <c r="Q424">
        <v>285.63477745193757</v>
      </c>
      <c r="S424">
        <v>416</v>
      </c>
      <c r="T424">
        <v>362.4816545985135</v>
      </c>
      <c r="V424">
        <v>416</v>
      </c>
      <c r="W424">
        <v>364.84625967349871</v>
      </c>
      <c r="AK424">
        <f>SMALL('Iter No Test'!$Q$9:$Q$508,422)</f>
        <v>306.95695949720522</v>
      </c>
      <c r="AL424">
        <f>1/(COUNT('Iter No Test'!$Q$9:$Q$508)-1)+$AL$423</f>
        <v>0.84368737474949973</v>
      </c>
      <c r="AN424">
        <f>SMALL('Iter No Test'!$T$9:$T$1008,422)</f>
        <v>193.85019833589303</v>
      </c>
      <c r="AO424">
        <f>1/(COUNT('Iter No Test'!$T$9:$T$1008)-1)+$AO$423</f>
        <v>0.42142142142141842</v>
      </c>
      <c r="AQ424">
        <f>SMALL('Iter No Test'!$W$9:$W$5008,422)</f>
        <v>101.4918289838329</v>
      </c>
      <c r="AR424">
        <f>1/(COUNT('Iter No Test'!$W$9:$W$5008)-1)+$AR$423</f>
        <v>8.4216843368673175E-2</v>
      </c>
    </row>
    <row r="425" spans="16:44">
      <c r="P425">
        <v>417</v>
      </c>
      <c r="Q425">
        <v>102.69467693677129</v>
      </c>
      <c r="S425">
        <v>417</v>
      </c>
      <c r="T425">
        <v>126.15119373138189</v>
      </c>
      <c r="V425">
        <v>417</v>
      </c>
      <c r="W425">
        <v>299.16985795944123</v>
      </c>
      <c r="AK425">
        <f>SMALL('Iter No Test'!$Q$9:$Q$508,423)</f>
        <v>308.40777530635364</v>
      </c>
      <c r="AL425">
        <f>1/(COUNT('Iter No Test'!$Q$9:$Q$508)-1)+$AL$424</f>
        <v>0.8456913827655318</v>
      </c>
      <c r="AN425">
        <f>SMALL('Iter No Test'!$T$9:$T$1008,423)</f>
        <v>194.13229886398997</v>
      </c>
      <c r="AO425">
        <f>1/(COUNT('Iter No Test'!$T$9:$T$1008)-1)+$AO$424</f>
        <v>0.4224224224224194</v>
      </c>
      <c r="AQ425">
        <f>SMALL('Iter No Test'!$W$9:$W$5008,423)</f>
        <v>101.66587207600712</v>
      </c>
      <c r="AR425">
        <f>1/(COUNT('Iter No Test'!$W$9:$W$5008)-1)+$AR$424</f>
        <v>8.4416883376674773E-2</v>
      </c>
    </row>
    <row r="426" spans="16:44">
      <c r="P426">
        <v>418</v>
      </c>
      <c r="Q426">
        <v>191.56362694437843</v>
      </c>
      <c r="S426">
        <v>418</v>
      </c>
      <c r="T426">
        <v>209.66925172186487</v>
      </c>
      <c r="V426">
        <v>418</v>
      </c>
      <c r="W426">
        <v>157.00348956314971</v>
      </c>
      <c r="AK426">
        <f>SMALL('Iter No Test'!$Q$9:$Q$508,424)</f>
        <v>308.80610665248156</v>
      </c>
      <c r="AL426">
        <f>1/(COUNT('Iter No Test'!$Q$9:$Q$508)-1)+$AL$425</f>
        <v>0.84769539078156386</v>
      </c>
      <c r="AN426">
        <f>SMALL('Iter No Test'!$T$9:$T$1008,424)</f>
        <v>194.19547057767625</v>
      </c>
      <c r="AO426">
        <f>1/(COUNT('Iter No Test'!$T$9:$T$1008)-1)+$AO$425</f>
        <v>0.42342342342342038</v>
      </c>
      <c r="AQ426">
        <f>SMALL('Iter No Test'!$W$9:$W$5008,424)</f>
        <v>101.68761613762467</v>
      </c>
      <c r="AR426">
        <f>1/(COUNT('Iter No Test'!$W$9:$W$5008)-1)+$AR$425</f>
        <v>8.4616923384676371E-2</v>
      </c>
    </row>
    <row r="427" spans="16:44">
      <c r="P427">
        <v>419</v>
      </c>
      <c r="Q427">
        <v>247.02776747454246</v>
      </c>
      <c r="S427">
        <v>419</v>
      </c>
      <c r="T427">
        <v>197.43254896901448</v>
      </c>
      <c r="V427">
        <v>419</v>
      </c>
      <c r="W427">
        <v>105.55581840258746</v>
      </c>
      <c r="AK427">
        <f>SMALL('Iter No Test'!$Q$9:$Q$508,425)</f>
        <v>310.34052135240347</v>
      </c>
      <c r="AL427">
        <f>1/(COUNT('Iter No Test'!$Q$9:$Q$508)-1)+$AL$426</f>
        <v>0.84969939879759593</v>
      </c>
      <c r="AN427">
        <f>SMALL('Iter No Test'!$T$9:$T$1008,425)</f>
        <v>194.21210545772166</v>
      </c>
      <c r="AO427">
        <f>1/(COUNT('Iter No Test'!$T$9:$T$1008)-1)+$AO$426</f>
        <v>0.42442442442442135</v>
      </c>
      <c r="AQ427">
        <f>SMALL('Iter No Test'!$W$9:$W$5008,425)</f>
        <v>101.82763723400541</v>
      </c>
      <c r="AR427">
        <f>1/(COUNT('Iter No Test'!$W$9:$W$5008)-1)+$AR$426</f>
        <v>8.4816963392677969E-2</v>
      </c>
    </row>
    <row r="428" spans="16:44">
      <c r="P428">
        <v>420</v>
      </c>
      <c r="Q428">
        <v>376.71256168734146</v>
      </c>
      <c r="S428">
        <v>420</v>
      </c>
      <c r="T428">
        <v>400.81844907323824</v>
      </c>
      <c r="V428">
        <v>420</v>
      </c>
      <c r="W428">
        <v>367.1063385738729</v>
      </c>
      <c r="AK428">
        <f>SMALL('Iter No Test'!$Q$9:$Q$508,426)</f>
        <v>310.56785320142046</v>
      </c>
      <c r="AL428">
        <f>1/(COUNT('Iter No Test'!$Q$9:$Q$508)-1)+$AL$427</f>
        <v>0.85170340681362799</v>
      </c>
      <c r="AN428">
        <f>SMALL('Iter No Test'!$T$9:$T$1008,426)</f>
        <v>194.30532871634571</v>
      </c>
      <c r="AO428">
        <f>1/(COUNT('Iter No Test'!$T$9:$T$1008)-1)+$AO$427</f>
        <v>0.42542542542542233</v>
      </c>
      <c r="AQ428">
        <f>SMALL('Iter No Test'!$W$9:$W$5008,426)</f>
        <v>101.99379376321374</v>
      </c>
      <c r="AR428">
        <f>1/(COUNT('Iter No Test'!$W$9:$W$5008)-1)+$AR$427</f>
        <v>8.5017003400679567E-2</v>
      </c>
    </row>
    <row r="429" spans="16:44">
      <c r="P429">
        <v>421</v>
      </c>
      <c r="Q429">
        <v>179.99041250278276</v>
      </c>
      <c r="S429">
        <v>421</v>
      </c>
      <c r="T429">
        <v>71.358761776374166</v>
      </c>
      <c r="V429">
        <v>421</v>
      </c>
      <c r="W429">
        <v>309.0988745728356</v>
      </c>
      <c r="AK429">
        <f>SMALL('Iter No Test'!$Q$9:$Q$508,427)</f>
        <v>311.26045745943679</v>
      </c>
      <c r="AL429">
        <f>1/(COUNT('Iter No Test'!$Q$9:$Q$508)-1)+$AL$428</f>
        <v>0.85370741482966006</v>
      </c>
      <c r="AN429">
        <f>SMALL('Iter No Test'!$T$9:$T$1008,427)</f>
        <v>194.62515599464555</v>
      </c>
      <c r="AO429">
        <f>1/(COUNT('Iter No Test'!$T$9:$T$1008)-1)+$AO$428</f>
        <v>0.42642642642642331</v>
      </c>
      <c r="AQ429">
        <f>SMALL('Iter No Test'!$W$9:$W$5008,427)</f>
        <v>102.07661207336658</v>
      </c>
      <c r="AR429">
        <f>1/(COUNT('Iter No Test'!$W$9:$W$5008)-1)+$AR$428</f>
        <v>8.5217043408681165E-2</v>
      </c>
    </row>
    <row r="430" spans="16:44">
      <c r="P430">
        <v>422</v>
      </c>
      <c r="Q430">
        <v>87.114023912780993</v>
      </c>
      <c r="S430">
        <v>422</v>
      </c>
      <c r="T430">
        <v>161.25824866179497</v>
      </c>
      <c r="V430">
        <v>422</v>
      </c>
      <c r="W430">
        <v>275.99291361399912</v>
      </c>
      <c r="AK430">
        <f>SMALL('Iter No Test'!$Q$9:$Q$508,428)</f>
        <v>312.65367437356304</v>
      </c>
      <c r="AL430">
        <f>1/(COUNT('Iter No Test'!$Q$9:$Q$508)-1)+$AL$429</f>
        <v>0.85571142284569213</v>
      </c>
      <c r="AN430">
        <f>SMALL('Iter No Test'!$T$9:$T$1008,428)</f>
        <v>194.83762240100958</v>
      </c>
      <c r="AO430">
        <f>1/(COUNT('Iter No Test'!$T$9:$T$1008)-1)+$AO$429</f>
        <v>0.42742742742742429</v>
      </c>
      <c r="AQ430">
        <f>SMALL('Iter No Test'!$W$9:$W$5008,428)</f>
        <v>102.14931845818336</v>
      </c>
      <c r="AR430">
        <f>1/(COUNT('Iter No Test'!$W$9:$W$5008)-1)+$AR$429</f>
        <v>8.5417083416682762E-2</v>
      </c>
    </row>
    <row r="431" spans="16:44">
      <c r="P431">
        <v>423</v>
      </c>
      <c r="Q431">
        <v>196.61428248431241</v>
      </c>
      <c r="S431">
        <v>423</v>
      </c>
      <c r="T431">
        <v>273.74263603878683</v>
      </c>
      <c r="V431">
        <v>423</v>
      </c>
      <c r="W431">
        <v>228.81238907014142</v>
      </c>
      <c r="AK431">
        <f>SMALL('Iter No Test'!$Q$9:$Q$508,429)</f>
        <v>313.82324125050661</v>
      </c>
      <c r="AL431">
        <f>1/(COUNT('Iter No Test'!$Q$9:$Q$508)-1)+$AL$430</f>
        <v>0.85771543086172419</v>
      </c>
      <c r="AN431">
        <f>SMALL('Iter No Test'!$T$9:$T$1008,429)</f>
        <v>194.84176090936822</v>
      </c>
      <c r="AO431">
        <f>1/(COUNT('Iter No Test'!$T$9:$T$1008)-1)+$AO$430</f>
        <v>0.42842842842842527</v>
      </c>
      <c r="AQ431">
        <f>SMALL('Iter No Test'!$W$9:$W$5008,429)</f>
        <v>102.48494556258021</v>
      </c>
      <c r="AR431">
        <f>1/(COUNT('Iter No Test'!$W$9:$W$5008)-1)+$AR$430</f>
        <v>8.561712342468436E-2</v>
      </c>
    </row>
    <row r="432" spans="16:44">
      <c r="P432">
        <v>424</v>
      </c>
      <c r="Q432">
        <v>157.97547684725123</v>
      </c>
      <c r="S432">
        <v>424</v>
      </c>
      <c r="T432">
        <v>214.96488685017619</v>
      </c>
      <c r="V432">
        <v>424</v>
      </c>
      <c r="W432">
        <v>191.44568284873324</v>
      </c>
      <c r="AK432">
        <f>SMALL('Iter No Test'!$Q$9:$Q$508,430)</f>
        <v>314.450273866955</v>
      </c>
      <c r="AL432">
        <f>1/(COUNT('Iter No Test'!$Q$9:$Q$508)-1)+$AL$431</f>
        <v>0.85971943887775626</v>
      </c>
      <c r="AN432">
        <f>SMALL('Iter No Test'!$T$9:$T$1008,430)</f>
        <v>194.94337791715242</v>
      </c>
      <c r="AO432">
        <f>1/(COUNT('Iter No Test'!$T$9:$T$1008)-1)+$AO$431</f>
        <v>0.42942942942942625</v>
      </c>
      <c r="AQ432">
        <f>SMALL('Iter No Test'!$W$9:$W$5008,430)</f>
        <v>102.59057157056129</v>
      </c>
      <c r="AR432">
        <f>1/(COUNT('Iter No Test'!$W$9:$W$5008)-1)+$AR$431</f>
        <v>8.5817163432685958E-2</v>
      </c>
    </row>
    <row r="433" spans="16:44">
      <c r="P433">
        <v>425</v>
      </c>
      <c r="Q433">
        <v>236.01239499430523</v>
      </c>
      <c r="S433">
        <v>425</v>
      </c>
      <c r="T433">
        <v>101.88961805286625</v>
      </c>
      <c r="V433">
        <v>425</v>
      </c>
      <c r="W433">
        <v>210.71438750607675</v>
      </c>
      <c r="AK433">
        <f>SMALL('Iter No Test'!$Q$9:$Q$508,431)</f>
        <v>315.74855252909703</v>
      </c>
      <c r="AL433">
        <f>1/(COUNT('Iter No Test'!$Q$9:$Q$508)-1)+$AL$432</f>
        <v>0.86172344689378833</v>
      </c>
      <c r="AN433">
        <f>SMALL('Iter No Test'!$T$9:$T$1008,431)</f>
        <v>195.14122454808299</v>
      </c>
      <c r="AO433">
        <f>1/(COUNT('Iter No Test'!$T$9:$T$1008)-1)+$AO$432</f>
        <v>0.43043043043042722</v>
      </c>
      <c r="AQ433">
        <f>SMALL('Iter No Test'!$W$9:$W$5008,431)</f>
        <v>102.60636394973329</v>
      </c>
      <c r="AR433">
        <f>1/(COUNT('Iter No Test'!$W$9:$W$5008)-1)+$AR$432</f>
        <v>8.6017203440687556E-2</v>
      </c>
    </row>
    <row r="434" spans="16:44">
      <c r="P434">
        <v>426</v>
      </c>
      <c r="Q434">
        <v>56.735542008189881</v>
      </c>
      <c r="S434">
        <v>426</v>
      </c>
      <c r="T434">
        <v>264.88758540830963</v>
      </c>
      <c r="V434">
        <v>426</v>
      </c>
      <c r="W434">
        <v>128.69258828983854</v>
      </c>
      <c r="AK434">
        <f>SMALL('Iter No Test'!$Q$9:$Q$508,432)</f>
        <v>315.92383210140457</v>
      </c>
      <c r="AL434">
        <f>1/(COUNT('Iter No Test'!$Q$9:$Q$508)-1)+$AL$433</f>
        <v>0.86372745490982039</v>
      </c>
      <c r="AN434">
        <f>SMALL('Iter No Test'!$T$9:$T$1008,432)</f>
        <v>195.14872390625766</v>
      </c>
      <c r="AO434">
        <f>1/(COUNT('Iter No Test'!$T$9:$T$1008)-1)+$AO$433</f>
        <v>0.4314314314314282</v>
      </c>
      <c r="AQ434">
        <f>SMALL('Iter No Test'!$W$9:$W$5008,432)</f>
        <v>102.67151294312237</v>
      </c>
      <c r="AR434">
        <f>1/(COUNT('Iter No Test'!$W$9:$W$5008)-1)+$AR$433</f>
        <v>8.6217243448689154E-2</v>
      </c>
    </row>
    <row r="435" spans="16:44">
      <c r="P435">
        <v>427</v>
      </c>
      <c r="Q435">
        <v>277.19717147125255</v>
      </c>
      <c r="S435">
        <v>427</v>
      </c>
      <c r="T435">
        <v>324.73305857186449</v>
      </c>
      <c r="V435">
        <v>427</v>
      </c>
      <c r="W435">
        <v>282.06604596920238</v>
      </c>
      <c r="AK435">
        <f>SMALL('Iter No Test'!$Q$9:$Q$508,433)</f>
        <v>316.81790041593126</v>
      </c>
      <c r="AL435">
        <f>1/(COUNT('Iter No Test'!$Q$9:$Q$508)-1)+$AL$434</f>
        <v>0.86573146292585246</v>
      </c>
      <c r="AN435">
        <f>SMALL('Iter No Test'!$T$9:$T$1008,433)</f>
        <v>195.2332207300951</v>
      </c>
      <c r="AO435">
        <f>1/(COUNT('Iter No Test'!$T$9:$T$1008)-1)+$AO$434</f>
        <v>0.43243243243242918</v>
      </c>
      <c r="AQ435">
        <f>SMALL('Iter No Test'!$W$9:$W$5008,433)</f>
        <v>102.70889949245635</v>
      </c>
      <c r="AR435">
        <f>1/(COUNT('Iter No Test'!$W$9:$W$5008)-1)+$AR$434</f>
        <v>8.6417283456690752E-2</v>
      </c>
    </row>
    <row r="436" spans="16:44">
      <c r="P436">
        <v>428</v>
      </c>
      <c r="Q436">
        <v>101.20350832901616</v>
      </c>
      <c r="S436">
        <v>428</v>
      </c>
      <c r="T436">
        <v>117.06308451412264</v>
      </c>
      <c r="V436">
        <v>428</v>
      </c>
      <c r="W436">
        <v>343.41605084003334</v>
      </c>
      <c r="AK436">
        <f>SMALL('Iter No Test'!$Q$9:$Q$508,434)</f>
        <v>317.498681991176</v>
      </c>
      <c r="AL436">
        <f>1/(COUNT('Iter No Test'!$Q$9:$Q$508)-1)+$AL$435</f>
        <v>0.86773547094188452</v>
      </c>
      <c r="AN436">
        <f>SMALL('Iter No Test'!$T$9:$T$1008,434)</f>
        <v>195.34932263074546</v>
      </c>
      <c r="AO436">
        <f>1/(COUNT('Iter No Test'!$T$9:$T$1008)-1)+$AO$435</f>
        <v>0.43343343343343016</v>
      </c>
      <c r="AQ436">
        <f>SMALL('Iter No Test'!$W$9:$W$5008,434)</f>
        <v>102.76038930744913</v>
      </c>
      <c r="AR436">
        <f>1/(COUNT('Iter No Test'!$W$9:$W$5008)-1)+$AR$435</f>
        <v>8.661732346469235E-2</v>
      </c>
    </row>
    <row r="437" spans="16:44">
      <c r="P437">
        <v>429</v>
      </c>
      <c r="Q437">
        <v>274.64341306328686</v>
      </c>
      <c r="S437">
        <v>429</v>
      </c>
      <c r="T437">
        <v>159.77618836790447</v>
      </c>
      <c r="V437">
        <v>429</v>
      </c>
      <c r="W437">
        <v>120.42312470616137</v>
      </c>
      <c r="AK437">
        <f>SMALL('Iter No Test'!$Q$9:$Q$508,435)</f>
        <v>319.03747871915812</v>
      </c>
      <c r="AL437">
        <f>1/(COUNT('Iter No Test'!$Q$9:$Q$508)-1)+$AL$436</f>
        <v>0.86973947895791659</v>
      </c>
      <c r="AN437">
        <f>SMALL('Iter No Test'!$T$9:$T$1008,435)</f>
        <v>195.4894881214496</v>
      </c>
      <c r="AO437">
        <f>1/(COUNT('Iter No Test'!$T$9:$T$1008)-1)+$AO$436</f>
        <v>0.43443443443443114</v>
      </c>
      <c r="AQ437">
        <f>SMALL('Iter No Test'!$W$9:$W$5008,435)</f>
        <v>102.78593991282472</v>
      </c>
      <c r="AR437">
        <f>1/(COUNT('Iter No Test'!$W$9:$W$5008)-1)+$AR$436</f>
        <v>8.6817363472693948E-2</v>
      </c>
    </row>
    <row r="438" spans="16:44">
      <c r="P438">
        <v>430</v>
      </c>
      <c r="Q438">
        <v>197.91738320259446</v>
      </c>
      <c r="S438">
        <v>430</v>
      </c>
      <c r="T438">
        <v>193.13989802861099</v>
      </c>
      <c r="V438">
        <v>430</v>
      </c>
      <c r="W438">
        <v>160.60294350795385</v>
      </c>
      <c r="AK438">
        <f>SMALL('Iter No Test'!$Q$9:$Q$508,436)</f>
        <v>319.17557424728307</v>
      </c>
      <c r="AL438">
        <f>1/(COUNT('Iter No Test'!$Q$9:$Q$508)-1)+$AL$437</f>
        <v>0.87174348697394866</v>
      </c>
      <c r="AN438">
        <f>SMALL('Iter No Test'!$T$9:$T$1008,436)</f>
        <v>195.68917650663226</v>
      </c>
      <c r="AO438">
        <f>1/(COUNT('Iter No Test'!$T$9:$T$1008)-1)+$AO$437</f>
        <v>0.43543543543543212</v>
      </c>
      <c r="AQ438">
        <f>SMALL('Iter No Test'!$W$9:$W$5008,436)</f>
        <v>102.95117020016791</v>
      </c>
      <c r="AR438">
        <f>1/(COUNT('Iter No Test'!$W$9:$W$5008)-1)+$AR$437</f>
        <v>8.7017403480695546E-2</v>
      </c>
    </row>
    <row r="439" spans="16:44">
      <c r="P439">
        <v>431</v>
      </c>
      <c r="Q439">
        <v>208.81448643245005</v>
      </c>
      <c r="S439">
        <v>431</v>
      </c>
      <c r="T439">
        <v>145.5483044461597</v>
      </c>
      <c r="V439">
        <v>431</v>
      </c>
      <c r="W439">
        <v>187.88679826232607</v>
      </c>
      <c r="AK439">
        <f>SMALL('Iter No Test'!$Q$9:$Q$508,437)</f>
        <v>320.06336613500736</v>
      </c>
      <c r="AL439">
        <f>1/(COUNT('Iter No Test'!$Q$9:$Q$508)-1)+$AL$438</f>
        <v>0.87374749498998072</v>
      </c>
      <c r="AN439">
        <f>SMALL('Iter No Test'!$T$9:$T$1008,437)</f>
        <v>195.80392568604927</v>
      </c>
      <c r="AO439">
        <f>1/(COUNT('Iter No Test'!$T$9:$T$1008)-1)+$AO$438</f>
        <v>0.4364364364364331</v>
      </c>
      <c r="AQ439">
        <f>SMALL('Iter No Test'!$W$9:$W$5008,437)</f>
        <v>103.01499605854937</v>
      </c>
      <c r="AR439">
        <f>1/(COUNT('Iter No Test'!$W$9:$W$5008)-1)+$AR$438</f>
        <v>8.7217443488697144E-2</v>
      </c>
    </row>
    <row r="440" spans="16:44">
      <c r="P440">
        <v>432</v>
      </c>
      <c r="Q440">
        <v>143.04885088036167</v>
      </c>
      <c r="S440">
        <v>432</v>
      </c>
      <c r="T440">
        <v>319.91703468513276</v>
      </c>
      <c r="V440">
        <v>432</v>
      </c>
      <c r="W440">
        <v>134.51209151053675</v>
      </c>
      <c r="AK440">
        <f>SMALL('Iter No Test'!$Q$9:$Q$508,438)</f>
        <v>320.43386946860164</v>
      </c>
      <c r="AL440">
        <f>1/(COUNT('Iter No Test'!$Q$9:$Q$508)-1)+$AL$439</f>
        <v>0.87575150300601279</v>
      </c>
      <c r="AN440">
        <f>SMALL('Iter No Test'!$T$9:$T$1008,438)</f>
        <v>195.9203969944331</v>
      </c>
      <c r="AO440">
        <f>1/(COUNT('Iter No Test'!$T$9:$T$1008)-1)+$AO$439</f>
        <v>0.43743743743743407</v>
      </c>
      <c r="AQ440">
        <f>SMALL('Iter No Test'!$W$9:$W$5008,438)</f>
        <v>103.05332113523033</v>
      </c>
      <c r="AR440">
        <f>1/(COUNT('Iter No Test'!$W$9:$W$5008)-1)+$AR$439</f>
        <v>8.7417483496698742E-2</v>
      </c>
    </row>
    <row r="441" spans="16:44">
      <c r="P441">
        <v>433</v>
      </c>
      <c r="Q441">
        <v>217.9804677093953</v>
      </c>
      <c r="S441">
        <v>433</v>
      </c>
      <c r="T441">
        <v>282.35147138223095</v>
      </c>
      <c r="V441">
        <v>433</v>
      </c>
      <c r="W441">
        <v>244.27460773758946</v>
      </c>
      <c r="AK441">
        <f>SMALL('Iter No Test'!$Q$9:$Q$508,439)</f>
        <v>320.59320523734084</v>
      </c>
      <c r="AL441">
        <f>1/(COUNT('Iter No Test'!$Q$9:$Q$508)-1)+$AL$440</f>
        <v>0.87775551102204485</v>
      </c>
      <c r="AN441">
        <f>SMALL('Iter No Test'!$T$9:$T$1008,439)</f>
        <v>196.7278185453838</v>
      </c>
      <c r="AO441">
        <f>1/(COUNT('Iter No Test'!$T$9:$T$1008)-1)+$AO$440</f>
        <v>0.43843843843843505</v>
      </c>
      <c r="AQ441">
        <f>SMALL('Iter No Test'!$W$9:$W$5008,439)</f>
        <v>103.12234851988994</v>
      </c>
      <c r="AR441">
        <f>1/(COUNT('Iter No Test'!$W$9:$W$5008)-1)+$AR$440</f>
        <v>8.761752350470034E-2</v>
      </c>
    </row>
    <row r="442" spans="16:44">
      <c r="P442">
        <v>434</v>
      </c>
      <c r="Q442">
        <v>153.25589492448626</v>
      </c>
      <c r="S442">
        <v>434</v>
      </c>
      <c r="T442">
        <v>169.67522543781982</v>
      </c>
      <c r="V442">
        <v>434</v>
      </c>
      <c r="W442">
        <v>119.8586397131927</v>
      </c>
      <c r="AK442">
        <f>SMALL('Iter No Test'!$Q$9:$Q$508,440)</f>
        <v>321.6601510354472</v>
      </c>
      <c r="AL442">
        <f>1/(COUNT('Iter No Test'!$Q$9:$Q$508)-1)+$AL$441</f>
        <v>0.87975951903807692</v>
      </c>
      <c r="AN442">
        <f>SMALL('Iter No Test'!$T$9:$T$1008,440)</f>
        <v>196.83536326679661</v>
      </c>
      <c r="AO442">
        <f>1/(COUNT('Iter No Test'!$T$9:$T$1008)-1)+$AO$441</f>
        <v>0.43943943943943603</v>
      </c>
      <c r="AQ442">
        <f>SMALL('Iter No Test'!$W$9:$W$5008,440)</f>
        <v>103.22655051512882</v>
      </c>
      <c r="AR442">
        <f>1/(COUNT('Iter No Test'!$W$9:$W$5008)-1)+$AR$441</f>
        <v>8.7817563512701938E-2</v>
      </c>
    </row>
    <row r="443" spans="16:44">
      <c r="P443">
        <v>435</v>
      </c>
      <c r="Q443">
        <v>158.55379454252579</v>
      </c>
      <c r="S443">
        <v>435</v>
      </c>
      <c r="T443">
        <v>237.67675714049486</v>
      </c>
      <c r="V443">
        <v>435</v>
      </c>
      <c r="W443">
        <v>286.07327497286281</v>
      </c>
      <c r="AK443">
        <f>SMALL('Iter No Test'!$Q$9:$Q$508,441)</f>
        <v>322.07855360467238</v>
      </c>
      <c r="AL443">
        <f>1/(COUNT('Iter No Test'!$Q$9:$Q$508)-1)+$AL$442</f>
        <v>0.88176352705410899</v>
      </c>
      <c r="AN443">
        <f>SMALL('Iter No Test'!$T$9:$T$1008,441)</f>
        <v>196.94067016017206</v>
      </c>
      <c r="AO443">
        <f>1/(COUNT('Iter No Test'!$T$9:$T$1008)-1)+$AO$442</f>
        <v>0.44044044044043701</v>
      </c>
      <c r="AQ443">
        <f>SMALL('Iter No Test'!$W$9:$W$5008,441)</f>
        <v>103.32604559686885</v>
      </c>
      <c r="AR443">
        <f>1/(COUNT('Iter No Test'!$W$9:$W$5008)-1)+$AR$442</f>
        <v>8.8017603520703536E-2</v>
      </c>
    </row>
    <row r="444" spans="16:44">
      <c r="P444">
        <v>436</v>
      </c>
      <c r="Q444">
        <v>129.25153731141188</v>
      </c>
      <c r="S444">
        <v>436</v>
      </c>
      <c r="T444">
        <v>171.86381146173136</v>
      </c>
      <c r="V444">
        <v>436</v>
      </c>
      <c r="W444">
        <v>187.36808795889763</v>
      </c>
      <c r="AK444">
        <f>SMALL('Iter No Test'!$Q$9:$Q$508,442)</f>
        <v>322.40769043427343</v>
      </c>
      <c r="AL444">
        <f>1/(COUNT('Iter No Test'!$Q$9:$Q$508)-1)+$AL$443</f>
        <v>0.88376753507014105</v>
      </c>
      <c r="AN444">
        <f>SMALL('Iter No Test'!$T$9:$T$1008,442)</f>
        <v>197.0170589878374</v>
      </c>
      <c r="AO444">
        <f>1/(COUNT('Iter No Test'!$T$9:$T$1008)-1)+$AO$443</f>
        <v>0.44144144144143799</v>
      </c>
      <c r="AQ444">
        <f>SMALL('Iter No Test'!$W$9:$W$5008,442)</f>
        <v>103.4396729805118</v>
      </c>
      <c r="AR444">
        <f>1/(COUNT('Iter No Test'!$W$9:$W$5008)-1)+$AR$443</f>
        <v>8.8217643528705134E-2</v>
      </c>
    </row>
    <row r="445" spans="16:44">
      <c r="P445">
        <v>437</v>
      </c>
      <c r="Q445">
        <v>278.01527811958772</v>
      </c>
      <c r="S445">
        <v>437</v>
      </c>
      <c r="T445">
        <v>158.23912696942264</v>
      </c>
      <c r="V445">
        <v>437</v>
      </c>
      <c r="W445">
        <v>-8.2400170628322087</v>
      </c>
      <c r="AK445">
        <f>SMALL('Iter No Test'!$Q$9:$Q$508,443)</f>
        <v>324.08856762126402</v>
      </c>
      <c r="AL445">
        <f>1/(COUNT('Iter No Test'!$Q$9:$Q$508)-1)+$AL$444</f>
        <v>0.88577154308617312</v>
      </c>
      <c r="AN445">
        <f>SMALL('Iter No Test'!$T$9:$T$1008,443)</f>
        <v>197.17274794874925</v>
      </c>
      <c r="AO445">
        <f>1/(COUNT('Iter No Test'!$T$9:$T$1008)-1)+$AO$444</f>
        <v>0.44244244244243897</v>
      </c>
      <c r="AQ445">
        <f>SMALL('Iter No Test'!$W$9:$W$5008,443)</f>
        <v>103.50383730250203</v>
      </c>
      <c r="AR445">
        <f>1/(COUNT('Iter No Test'!$W$9:$W$5008)-1)+$AR$444</f>
        <v>8.8417683536706732E-2</v>
      </c>
    </row>
    <row r="446" spans="16:44">
      <c r="P446">
        <v>438</v>
      </c>
      <c r="Q446">
        <v>196.20112025073922</v>
      </c>
      <c r="S446">
        <v>438</v>
      </c>
      <c r="T446">
        <v>361.41790065725331</v>
      </c>
      <c r="V446">
        <v>438</v>
      </c>
      <c r="W446">
        <v>332.29513247487046</v>
      </c>
      <c r="AK446">
        <f>SMALL('Iter No Test'!$Q$9:$Q$508,444)</f>
        <v>327.49655789774283</v>
      </c>
      <c r="AL446">
        <f>1/(COUNT('Iter No Test'!$Q$9:$Q$508)-1)+$AL$445</f>
        <v>0.88777555110220518</v>
      </c>
      <c r="AN446">
        <f>SMALL('Iter No Test'!$T$9:$T$1008,444)</f>
        <v>197.18061664793373</v>
      </c>
      <c r="AO446">
        <f>1/(COUNT('Iter No Test'!$T$9:$T$1008)-1)+$AO$445</f>
        <v>0.44344344344343994</v>
      </c>
      <c r="AQ446">
        <f>SMALL('Iter No Test'!$W$9:$W$5008,444)</f>
        <v>103.5275832857163</v>
      </c>
      <c r="AR446">
        <f>1/(COUNT('Iter No Test'!$W$9:$W$5008)-1)+$AR$445</f>
        <v>8.8617723544708329E-2</v>
      </c>
    </row>
    <row r="447" spans="16:44">
      <c r="P447">
        <v>439</v>
      </c>
      <c r="Q447">
        <v>115.54873860876941</v>
      </c>
      <c r="S447">
        <v>439</v>
      </c>
      <c r="T447">
        <v>274.72247798799299</v>
      </c>
      <c r="V447">
        <v>439</v>
      </c>
      <c r="W447">
        <v>232.7600805289093</v>
      </c>
      <c r="AK447">
        <f>SMALL('Iter No Test'!$Q$9:$Q$508,445)</f>
        <v>327.80345828003902</v>
      </c>
      <c r="AL447">
        <f>1/(COUNT('Iter No Test'!$Q$9:$Q$508)-1)+$AL$446</f>
        <v>0.88977955911823725</v>
      </c>
      <c r="AN447">
        <f>SMALL('Iter No Test'!$T$9:$T$1008,445)</f>
        <v>197.43254896901448</v>
      </c>
      <c r="AO447">
        <f>1/(COUNT('Iter No Test'!$T$9:$T$1008)-1)+$AO$446</f>
        <v>0.44444444444444092</v>
      </c>
      <c r="AQ447">
        <f>SMALL('Iter No Test'!$W$9:$W$5008,445)</f>
        <v>103.66736712385109</v>
      </c>
      <c r="AR447">
        <f>1/(COUNT('Iter No Test'!$W$9:$W$5008)-1)+$AR$446</f>
        <v>8.8817763552709927E-2</v>
      </c>
    </row>
    <row r="448" spans="16:44">
      <c r="P448">
        <v>440</v>
      </c>
      <c r="Q448">
        <v>283.30108921661446</v>
      </c>
      <c r="S448">
        <v>440</v>
      </c>
      <c r="T448">
        <v>272.16638755643856</v>
      </c>
      <c r="V448">
        <v>440</v>
      </c>
      <c r="W448">
        <v>288.98481169688233</v>
      </c>
      <c r="AK448">
        <f>SMALL('Iter No Test'!$Q$9:$Q$508,446)</f>
        <v>328.16903092106429</v>
      </c>
      <c r="AL448">
        <f>1/(COUNT('Iter No Test'!$Q$9:$Q$508)-1)+$AL$447</f>
        <v>0.89178356713426932</v>
      </c>
      <c r="AN448">
        <f>SMALL('Iter No Test'!$T$9:$T$1008,446)</f>
        <v>197.57823999436653</v>
      </c>
      <c r="AO448">
        <f>1/(COUNT('Iter No Test'!$T$9:$T$1008)-1)+$AO$447</f>
        <v>0.4454454454454419</v>
      </c>
      <c r="AQ448">
        <f>SMALL('Iter No Test'!$W$9:$W$5008,446)</f>
        <v>103.84995126927821</v>
      </c>
      <c r="AR448">
        <f>1/(COUNT('Iter No Test'!$W$9:$W$5008)-1)+$AR$447</f>
        <v>8.9017803560711525E-2</v>
      </c>
    </row>
    <row r="449" spans="16:44">
      <c r="P449">
        <v>441</v>
      </c>
      <c r="Q449">
        <v>161.91310842517981</v>
      </c>
      <c r="S449">
        <v>441</v>
      </c>
      <c r="T449">
        <v>285.30896778487386</v>
      </c>
      <c r="V449">
        <v>441</v>
      </c>
      <c r="W449">
        <v>231.72344848843468</v>
      </c>
      <c r="AK449">
        <f>SMALL('Iter No Test'!$Q$9:$Q$508,447)</f>
        <v>330.11217923358333</v>
      </c>
      <c r="AL449">
        <f>1/(COUNT('Iter No Test'!$Q$9:$Q$508)-1)+$AL$448</f>
        <v>0.89378757515030138</v>
      </c>
      <c r="AN449">
        <f>SMALL('Iter No Test'!$T$9:$T$1008,447)</f>
        <v>197.86199011402849</v>
      </c>
      <c r="AO449">
        <f>1/(COUNT('Iter No Test'!$T$9:$T$1008)-1)+$AO$448</f>
        <v>0.44644644644644288</v>
      </c>
      <c r="AQ449">
        <f>SMALL('Iter No Test'!$W$9:$W$5008,447)</f>
        <v>103.91605781243769</v>
      </c>
      <c r="AR449">
        <f>1/(COUNT('Iter No Test'!$W$9:$W$5008)-1)+$AR$448</f>
        <v>8.9217843568713123E-2</v>
      </c>
    </row>
    <row r="450" spans="16:44">
      <c r="P450">
        <v>442</v>
      </c>
      <c r="Q450">
        <v>251.34671616475194</v>
      </c>
      <c r="S450">
        <v>442</v>
      </c>
      <c r="T450">
        <v>272.29534222042264</v>
      </c>
      <c r="V450">
        <v>442</v>
      </c>
      <c r="W450">
        <v>256.22893893771982</v>
      </c>
      <c r="AK450">
        <f>SMALL('Iter No Test'!$Q$9:$Q$508,448)</f>
        <v>330.75859743861622</v>
      </c>
      <c r="AL450">
        <f>1/(COUNT('Iter No Test'!$Q$9:$Q$508)-1)+$AL$449</f>
        <v>0.89579158316633345</v>
      </c>
      <c r="AN450">
        <f>SMALL('Iter No Test'!$T$9:$T$1008,448)</f>
        <v>198.36261748368761</v>
      </c>
      <c r="AO450">
        <f>1/(COUNT('Iter No Test'!$T$9:$T$1008)-1)+$AO$449</f>
        <v>0.44744744744744386</v>
      </c>
      <c r="AQ450">
        <f>SMALL('Iter No Test'!$W$9:$W$5008,448)</f>
        <v>104.10854623470667</v>
      </c>
      <c r="AR450">
        <f>1/(COUNT('Iter No Test'!$W$9:$W$5008)-1)+$AR$449</f>
        <v>8.9417883576714721E-2</v>
      </c>
    </row>
    <row r="451" spans="16:44">
      <c r="P451">
        <v>443</v>
      </c>
      <c r="Q451">
        <v>234.15221201175194</v>
      </c>
      <c r="S451">
        <v>443</v>
      </c>
      <c r="T451">
        <v>124.82765636054182</v>
      </c>
      <c r="V451">
        <v>443</v>
      </c>
      <c r="W451">
        <v>120.49459084544694</v>
      </c>
      <c r="AK451">
        <f>SMALL('Iter No Test'!$Q$9:$Q$508,449)</f>
        <v>331.53371588570377</v>
      </c>
      <c r="AL451">
        <f>1/(COUNT('Iter No Test'!$Q$9:$Q$508)-1)+$AL$450</f>
        <v>0.89779559118236552</v>
      </c>
      <c r="AN451">
        <f>SMALL('Iter No Test'!$T$9:$T$1008,449)</f>
        <v>198.50855946818561</v>
      </c>
      <c r="AO451">
        <f>1/(COUNT('Iter No Test'!$T$9:$T$1008)-1)+$AO$450</f>
        <v>0.44844844844844484</v>
      </c>
      <c r="AQ451">
        <f>SMALL('Iter No Test'!$W$9:$W$5008,449)</f>
        <v>104.23402204972801</v>
      </c>
      <c r="AR451">
        <f>1/(COUNT('Iter No Test'!$W$9:$W$5008)-1)+$AR$450</f>
        <v>8.9617923584716319E-2</v>
      </c>
    </row>
    <row r="452" spans="16:44">
      <c r="P452">
        <v>444</v>
      </c>
      <c r="Q452">
        <v>350.42457240786621</v>
      </c>
      <c r="S452">
        <v>444</v>
      </c>
      <c r="T452">
        <v>207.31545981955981</v>
      </c>
      <c r="V452">
        <v>444</v>
      </c>
      <c r="W452">
        <v>172.96330581719846</v>
      </c>
      <c r="AK452">
        <f>SMALL('Iter No Test'!$Q$9:$Q$508,450)</f>
        <v>333.97367677438547</v>
      </c>
      <c r="AL452">
        <f>1/(COUNT('Iter No Test'!$Q$9:$Q$508)-1)+$AL$451</f>
        <v>0.89979959919839758</v>
      </c>
      <c r="AN452">
        <f>SMALL('Iter No Test'!$T$9:$T$1008,450)</f>
        <v>198.52883473197551</v>
      </c>
      <c r="AO452">
        <f>1/(COUNT('Iter No Test'!$T$9:$T$1008)-1)+$AO$451</f>
        <v>0.44944944944944581</v>
      </c>
      <c r="AQ452">
        <f>SMALL('Iter No Test'!$W$9:$W$5008,450)</f>
        <v>104.25692977429941</v>
      </c>
      <c r="AR452">
        <f>1/(COUNT('Iter No Test'!$W$9:$W$5008)-1)+$AR$451</f>
        <v>8.9817963592717917E-2</v>
      </c>
    </row>
    <row r="453" spans="16:44">
      <c r="P453">
        <v>445</v>
      </c>
      <c r="Q453">
        <v>101.56445517289239</v>
      </c>
      <c r="S453">
        <v>445</v>
      </c>
      <c r="T453">
        <v>264.54898470237219</v>
      </c>
      <c r="V453">
        <v>445</v>
      </c>
      <c r="W453">
        <v>198.87941640157248</v>
      </c>
      <c r="AK453">
        <f>SMALL('Iter No Test'!$Q$9:$Q$508,451)</f>
        <v>337.45283977973907</v>
      </c>
      <c r="AL453">
        <f>1/(COUNT('Iter No Test'!$Q$9:$Q$508)-1)+$AL$452</f>
        <v>0.90180360721442965</v>
      </c>
      <c r="AN453">
        <f>SMALL('Iter No Test'!$T$9:$T$1008,451)</f>
        <v>198.66795613344217</v>
      </c>
      <c r="AO453">
        <f>1/(COUNT('Iter No Test'!$T$9:$T$1008)-1)+$AO$452</f>
        <v>0.45045045045044679</v>
      </c>
      <c r="AQ453">
        <f>SMALL('Iter No Test'!$W$9:$W$5008,451)</f>
        <v>104.2576153860708</v>
      </c>
      <c r="AR453">
        <f>1/(COUNT('Iter No Test'!$W$9:$W$5008)-1)+$AR$452</f>
        <v>9.0018003600719515E-2</v>
      </c>
    </row>
    <row r="454" spans="16:44">
      <c r="P454">
        <v>446</v>
      </c>
      <c r="Q454">
        <v>186.46406444624614</v>
      </c>
      <c r="S454">
        <v>446</v>
      </c>
      <c r="T454">
        <v>171.10550595311145</v>
      </c>
      <c r="V454">
        <v>446</v>
      </c>
      <c r="W454">
        <v>368.91458160604031</v>
      </c>
      <c r="AK454">
        <f>SMALL('Iter No Test'!$Q$9:$Q$508,452)</f>
        <v>338.58162205873919</v>
      </c>
      <c r="AL454">
        <f>1/(COUNT('Iter No Test'!$Q$9:$Q$508)-1)+$AL$453</f>
        <v>0.90380761523046171</v>
      </c>
      <c r="AN454">
        <f>SMALL('Iter No Test'!$T$9:$T$1008,452)</f>
        <v>198.75936423623116</v>
      </c>
      <c r="AO454">
        <f>1/(COUNT('Iter No Test'!$T$9:$T$1008)-1)+$AO$453</f>
        <v>0.45145145145144777</v>
      </c>
      <c r="AQ454">
        <f>SMALL('Iter No Test'!$W$9:$W$5008,452)</f>
        <v>104.36782358906983</v>
      </c>
      <c r="AR454">
        <f>1/(COUNT('Iter No Test'!$W$9:$W$5008)-1)+$AR$453</f>
        <v>9.0218043608721113E-2</v>
      </c>
    </row>
    <row r="455" spans="16:44">
      <c r="P455">
        <v>447</v>
      </c>
      <c r="Q455">
        <v>392.32324201092058</v>
      </c>
      <c r="S455">
        <v>447</v>
      </c>
      <c r="T455">
        <v>226.45199247508023</v>
      </c>
      <c r="V455">
        <v>447</v>
      </c>
      <c r="W455">
        <v>286.87788389755349</v>
      </c>
      <c r="AK455">
        <f>SMALL('Iter No Test'!$Q$9:$Q$508,453)</f>
        <v>339.07800069633316</v>
      </c>
      <c r="AL455">
        <f>1/(COUNT('Iter No Test'!$Q$9:$Q$508)-1)+$AL$454</f>
        <v>0.90581162324649378</v>
      </c>
      <c r="AN455">
        <f>SMALL('Iter No Test'!$T$9:$T$1008,453)</f>
        <v>199.04889701452421</v>
      </c>
      <c r="AO455">
        <f>1/(COUNT('Iter No Test'!$T$9:$T$1008)-1)+$AO$454</f>
        <v>0.45245245245244875</v>
      </c>
      <c r="AQ455">
        <f>SMALL('Iter No Test'!$W$9:$W$5008,453)</f>
        <v>104.42873652020249</v>
      </c>
      <c r="AR455">
        <f>1/(COUNT('Iter No Test'!$W$9:$W$5008)-1)+$AR$454</f>
        <v>9.0418083616722711E-2</v>
      </c>
    </row>
    <row r="456" spans="16:44">
      <c r="P456">
        <v>448</v>
      </c>
      <c r="Q456">
        <v>6.0029979735061971</v>
      </c>
      <c r="S456">
        <v>448</v>
      </c>
      <c r="T456">
        <v>207.61169961594288</v>
      </c>
      <c r="V456">
        <v>448</v>
      </c>
      <c r="W456">
        <v>264.91300719895003</v>
      </c>
      <c r="AK456">
        <f>SMALL('Iter No Test'!$Q$9:$Q$508,454)</f>
        <v>341.34809432550753</v>
      </c>
      <c r="AL456">
        <f>1/(COUNT('Iter No Test'!$Q$9:$Q$508)-1)+$AL$455</f>
        <v>0.90781563126252585</v>
      </c>
      <c r="AN456">
        <f>SMALL('Iter No Test'!$T$9:$T$1008,454)</f>
        <v>199.19147754849104</v>
      </c>
      <c r="AO456">
        <f>1/(COUNT('Iter No Test'!$T$9:$T$1008)-1)+$AO$455</f>
        <v>0.45345345345344973</v>
      </c>
      <c r="AQ456">
        <f>SMALL('Iter No Test'!$W$9:$W$5008,454)</f>
        <v>104.44212191120378</v>
      </c>
      <c r="AR456">
        <f>1/(COUNT('Iter No Test'!$W$9:$W$5008)-1)+$AR$455</f>
        <v>9.0618123624724309E-2</v>
      </c>
    </row>
    <row r="457" spans="16:44">
      <c r="P457">
        <v>449</v>
      </c>
      <c r="Q457">
        <v>233.64813587384285</v>
      </c>
      <c r="S457">
        <v>449</v>
      </c>
      <c r="T457">
        <v>223.46493163902073</v>
      </c>
      <c r="V457">
        <v>449</v>
      </c>
      <c r="W457">
        <v>173.27592180878261</v>
      </c>
      <c r="AK457">
        <f>SMALL('Iter No Test'!$Q$9:$Q$508,455)</f>
        <v>342.4553446592214</v>
      </c>
      <c r="AL457">
        <f>1/(COUNT('Iter No Test'!$Q$9:$Q$508)-1)+$AL$456</f>
        <v>0.90981963927855791</v>
      </c>
      <c r="AN457">
        <f>SMALL('Iter No Test'!$T$9:$T$1008,455)</f>
        <v>199.23851969692282</v>
      </c>
      <c r="AO457">
        <f>1/(COUNT('Iter No Test'!$T$9:$T$1008)-1)+$AO$456</f>
        <v>0.45445445445445071</v>
      </c>
      <c r="AQ457">
        <f>SMALL('Iter No Test'!$W$9:$W$5008,455)</f>
        <v>104.5144433513569</v>
      </c>
      <c r="AR457">
        <f>1/(COUNT('Iter No Test'!$W$9:$W$5008)-1)+$AR$456</f>
        <v>9.0818163632725907E-2</v>
      </c>
    </row>
    <row r="458" spans="16:44">
      <c r="P458">
        <v>450</v>
      </c>
      <c r="Q458">
        <v>192.33457109530281</v>
      </c>
      <c r="S458">
        <v>450</v>
      </c>
      <c r="T458">
        <v>147.06162612972233</v>
      </c>
      <c r="V458">
        <v>450</v>
      </c>
      <c r="W458">
        <v>280.46554830121016</v>
      </c>
      <c r="AK458">
        <f>SMALL('Iter No Test'!$Q$9:$Q$508,456)</f>
        <v>343.3106425097352</v>
      </c>
      <c r="AL458">
        <f>1/(COUNT('Iter No Test'!$Q$9:$Q$508)-1)+$AL$457</f>
        <v>0.91182364729458998</v>
      </c>
      <c r="AN458">
        <f>SMALL('Iter No Test'!$T$9:$T$1008,456)</f>
        <v>199.33330014043946</v>
      </c>
      <c r="AO458">
        <f>1/(COUNT('Iter No Test'!$T$9:$T$1008)-1)+$AO$457</f>
        <v>0.45545545545545169</v>
      </c>
      <c r="AQ458">
        <f>SMALL('Iter No Test'!$W$9:$W$5008,456)</f>
        <v>104.60664291528862</v>
      </c>
      <c r="AR458">
        <f>1/(COUNT('Iter No Test'!$W$9:$W$5008)-1)+$AR$457</f>
        <v>9.1018203640727505E-2</v>
      </c>
    </row>
    <row r="459" spans="16:44">
      <c r="P459">
        <v>451</v>
      </c>
      <c r="Q459">
        <v>236.39712733160073</v>
      </c>
      <c r="S459">
        <v>451</v>
      </c>
      <c r="T459">
        <v>302.00110771112463</v>
      </c>
      <c r="V459">
        <v>451</v>
      </c>
      <c r="W459">
        <v>272.40799538279555</v>
      </c>
      <c r="AK459">
        <f>SMALL('Iter No Test'!$Q$9:$Q$508,457)</f>
        <v>343.45026506092142</v>
      </c>
      <c r="AL459">
        <f>1/(COUNT('Iter No Test'!$Q$9:$Q$508)-1)+$AL$458</f>
        <v>0.91382765531062204</v>
      </c>
      <c r="AN459">
        <f>SMALL('Iter No Test'!$T$9:$T$1008,457)</f>
        <v>199.36227555514998</v>
      </c>
      <c r="AO459">
        <f>1/(COUNT('Iter No Test'!$T$9:$T$1008)-1)+$AO$458</f>
        <v>0.45645645645645266</v>
      </c>
      <c r="AQ459">
        <f>SMALL('Iter No Test'!$W$9:$W$5008,457)</f>
        <v>104.73794268793006</v>
      </c>
      <c r="AR459">
        <f>1/(COUNT('Iter No Test'!$W$9:$W$5008)-1)+$AR$458</f>
        <v>9.1218243648729103E-2</v>
      </c>
    </row>
    <row r="460" spans="16:44">
      <c r="P460">
        <v>452</v>
      </c>
      <c r="Q460">
        <v>174.31807450375356</v>
      </c>
      <c r="S460">
        <v>452</v>
      </c>
      <c r="T460">
        <v>401.90304193017994</v>
      </c>
      <c r="V460">
        <v>452</v>
      </c>
      <c r="W460">
        <v>389.49022800841232</v>
      </c>
      <c r="AK460">
        <f>SMALL('Iter No Test'!$Q$9:$Q$508,458)</f>
        <v>344.33368612455439</v>
      </c>
      <c r="AL460">
        <f>1/(COUNT('Iter No Test'!$Q$9:$Q$508)-1)+$AL$459</f>
        <v>0.91583166332665411</v>
      </c>
      <c r="AN460">
        <f>SMALL('Iter No Test'!$T$9:$T$1008,458)</f>
        <v>199.55627596918714</v>
      </c>
      <c r="AO460">
        <f>1/(COUNT('Iter No Test'!$T$9:$T$1008)-1)+$AO$459</f>
        <v>0.45745745745745364</v>
      </c>
      <c r="AQ460">
        <f>SMALL('Iter No Test'!$W$9:$W$5008,458)</f>
        <v>104.92492163826337</v>
      </c>
      <c r="AR460">
        <f>1/(COUNT('Iter No Test'!$W$9:$W$5008)-1)+$AR$459</f>
        <v>9.1418283656730701E-2</v>
      </c>
    </row>
    <row r="461" spans="16:44">
      <c r="P461">
        <v>453</v>
      </c>
      <c r="Q461">
        <v>136.56525678050659</v>
      </c>
      <c r="S461">
        <v>453</v>
      </c>
      <c r="T461">
        <v>89.791669518038432</v>
      </c>
      <c r="V461">
        <v>453</v>
      </c>
      <c r="W461">
        <v>200.53919415010967</v>
      </c>
      <c r="AK461">
        <f>SMALL('Iter No Test'!$Q$9:$Q$508,459)</f>
        <v>346.59683706143653</v>
      </c>
      <c r="AL461">
        <f>1/(COUNT('Iter No Test'!$Q$9:$Q$508)-1)+$AL$460</f>
        <v>0.91783567134268618</v>
      </c>
      <c r="AN461">
        <f>SMALL('Iter No Test'!$T$9:$T$1008,459)</f>
        <v>199.62502985508584</v>
      </c>
      <c r="AO461">
        <f>1/(COUNT('Iter No Test'!$T$9:$T$1008)-1)+$AO$460</f>
        <v>0.45845845845845462</v>
      </c>
      <c r="AQ461">
        <f>SMALL('Iter No Test'!$W$9:$W$5008,459)</f>
        <v>104.94781652512975</v>
      </c>
      <c r="AR461">
        <f>1/(COUNT('Iter No Test'!$W$9:$W$5008)-1)+$AR$460</f>
        <v>9.1618323664732298E-2</v>
      </c>
    </row>
    <row r="462" spans="16:44">
      <c r="P462">
        <v>454</v>
      </c>
      <c r="Q462">
        <v>93.47633161771671</v>
      </c>
      <c r="S462">
        <v>454</v>
      </c>
      <c r="T462">
        <v>65.123018935655324</v>
      </c>
      <c r="V462">
        <v>454</v>
      </c>
      <c r="W462">
        <v>348.50711724946939</v>
      </c>
      <c r="AK462">
        <f>SMALL('Iter No Test'!$Q$9:$Q$508,460)</f>
        <v>347.03424302152945</v>
      </c>
      <c r="AL462">
        <f>1/(COUNT('Iter No Test'!$Q$9:$Q$508)-1)+$AL$461</f>
        <v>0.91983967935871824</v>
      </c>
      <c r="AN462">
        <f>SMALL('Iter No Test'!$T$9:$T$1008,460)</f>
        <v>199.6466482383679</v>
      </c>
      <c r="AO462">
        <f>1/(COUNT('Iter No Test'!$T$9:$T$1008)-1)+$AO$461</f>
        <v>0.4594594594594556</v>
      </c>
      <c r="AQ462">
        <f>SMALL('Iter No Test'!$W$9:$W$5008,460)</f>
        <v>105.363581270902</v>
      </c>
      <c r="AR462">
        <f>1/(COUNT('Iter No Test'!$W$9:$W$5008)-1)+$AR$461</f>
        <v>9.1818363672733896E-2</v>
      </c>
    </row>
    <row r="463" spans="16:44">
      <c r="P463">
        <v>455</v>
      </c>
      <c r="Q463">
        <v>247.81292334967847</v>
      </c>
      <c r="S463">
        <v>455</v>
      </c>
      <c r="T463">
        <v>251.46639496253934</v>
      </c>
      <c r="V463">
        <v>455</v>
      </c>
      <c r="W463">
        <v>284.07427030555164</v>
      </c>
      <c r="AK463">
        <f>SMALL('Iter No Test'!$Q$9:$Q$508,461)</f>
        <v>347.15839002056805</v>
      </c>
      <c r="AL463">
        <f>1/(COUNT('Iter No Test'!$Q$9:$Q$508)-1)+$AL$462</f>
        <v>0.92184368737475031</v>
      </c>
      <c r="AN463">
        <f>SMALL('Iter No Test'!$T$9:$T$1008,461)</f>
        <v>199.6958101058334</v>
      </c>
      <c r="AO463">
        <f>1/(COUNT('Iter No Test'!$T$9:$T$1008)-1)+$AO$462</f>
        <v>0.46046046046045658</v>
      </c>
      <c r="AQ463">
        <f>SMALL('Iter No Test'!$W$9:$W$5008,461)</f>
        <v>105.46332134658115</v>
      </c>
      <c r="AR463">
        <f>1/(COUNT('Iter No Test'!$W$9:$W$5008)-1)+$AR$462</f>
        <v>9.2018403680735494E-2</v>
      </c>
    </row>
    <row r="464" spans="16:44">
      <c r="P464">
        <v>456</v>
      </c>
      <c r="Q464">
        <v>234.64564020850315</v>
      </c>
      <c r="S464">
        <v>456</v>
      </c>
      <c r="T464">
        <v>291.83720906807241</v>
      </c>
      <c r="V464">
        <v>456</v>
      </c>
      <c r="W464">
        <v>224.0260771472542</v>
      </c>
      <c r="AK464">
        <f>SMALL('Iter No Test'!$Q$9:$Q$508,462)</f>
        <v>347.76168263832233</v>
      </c>
      <c r="AL464">
        <f>1/(COUNT('Iter No Test'!$Q$9:$Q$508)-1)+$AL$463</f>
        <v>0.92384769539078238</v>
      </c>
      <c r="AN464">
        <f>SMALL('Iter No Test'!$T$9:$T$1008,462)</f>
        <v>199.8527036536276</v>
      </c>
      <c r="AO464">
        <f>1/(COUNT('Iter No Test'!$T$9:$T$1008)-1)+$AO$463</f>
        <v>0.46146146146145756</v>
      </c>
      <c r="AQ464">
        <f>SMALL('Iter No Test'!$W$9:$W$5008,462)</f>
        <v>105.55581840258746</v>
      </c>
      <c r="AR464">
        <f>1/(COUNT('Iter No Test'!$W$9:$W$5008)-1)+$AR$463</f>
        <v>9.2218443688737092E-2</v>
      </c>
    </row>
    <row r="465" spans="16:44">
      <c r="P465">
        <v>457</v>
      </c>
      <c r="Q465">
        <v>233.28758855919284</v>
      </c>
      <c r="S465">
        <v>457</v>
      </c>
      <c r="T465">
        <v>99.441647115822576</v>
      </c>
      <c r="V465">
        <v>457</v>
      </c>
      <c r="W465">
        <v>78.116813448867234</v>
      </c>
      <c r="AK465">
        <f>SMALL('Iter No Test'!$Q$9:$Q$508,463)</f>
        <v>348.46089201483238</v>
      </c>
      <c r="AL465">
        <f>1/(COUNT('Iter No Test'!$Q$9:$Q$508)-1)+$AL$464</f>
        <v>0.92585170340681444</v>
      </c>
      <c r="AN465">
        <f>SMALL('Iter No Test'!$T$9:$T$1008,463)</f>
        <v>199.86401508802317</v>
      </c>
      <c r="AO465">
        <f>1/(COUNT('Iter No Test'!$T$9:$T$1008)-1)+$AO$464</f>
        <v>0.46246246246245853</v>
      </c>
      <c r="AQ465">
        <f>SMALL('Iter No Test'!$W$9:$W$5008,463)</f>
        <v>105.64683958622032</v>
      </c>
      <c r="AR465">
        <f>1/(COUNT('Iter No Test'!$W$9:$W$5008)-1)+$AR$464</f>
        <v>9.241848369673869E-2</v>
      </c>
    </row>
    <row r="466" spans="16:44">
      <c r="P466">
        <v>458</v>
      </c>
      <c r="Q466">
        <v>247.83164548424648</v>
      </c>
      <c r="S466">
        <v>458</v>
      </c>
      <c r="T466">
        <v>170.11898054050013</v>
      </c>
      <c r="V466">
        <v>458</v>
      </c>
      <c r="W466">
        <v>334.01938301979283</v>
      </c>
      <c r="AK466">
        <f>SMALL('Iter No Test'!$Q$9:$Q$508,464)</f>
        <v>348.98852453813703</v>
      </c>
      <c r="AL466">
        <f>1/(COUNT('Iter No Test'!$Q$9:$Q$508)-1)+$AL$465</f>
        <v>0.92785571142284651</v>
      </c>
      <c r="AN466">
        <f>SMALL('Iter No Test'!$T$9:$T$1008,464)</f>
        <v>199.91872441962283</v>
      </c>
      <c r="AO466">
        <f>1/(COUNT('Iter No Test'!$T$9:$T$1008)-1)+$AO$465</f>
        <v>0.46346346346345951</v>
      </c>
      <c r="AQ466">
        <f>SMALL('Iter No Test'!$W$9:$W$5008,464)</f>
        <v>105.65390571205987</v>
      </c>
      <c r="AR466">
        <f>1/(COUNT('Iter No Test'!$W$9:$W$5008)-1)+$AR$465</f>
        <v>9.2618523704740288E-2</v>
      </c>
    </row>
    <row r="467" spans="16:44">
      <c r="P467">
        <v>459</v>
      </c>
      <c r="Q467">
        <v>248.62548131375644</v>
      </c>
      <c r="S467">
        <v>459</v>
      </c>
      <c r="T467">
        <v>243.0067014263829</v>
      </c>
      <c r="V467">
        <v>459</v>
      </c>
      <c r="W467">
        <v>219.66084761530016</v>
      </c>
      <c r="AK467">
        <f>SMALL('Iter No Test'!$Q$9:$Q$508,465)</f>
        <v>350.16232171625757</v>
      </c>
      <c r="AL467">
        <f>1/(COUNT('Iter No Test'!$Q$9:$Q$508)-1)+$AL$466</f>
        <v>0.92985971943887857</v>
      </c>
      <c r="AN467">
        <f>SMALL('Iter No Test'!$T$9:$T$1008,465)</f>
        <v>199.95178201616741</v>
      </c>
      <c r="AO467">
        <f>1/(COUNT('Iter No Test'!$T$9:$T$1008)-1)+$AO$466</f>
        <v>0.46446446446446049</v>
      </c>
      <c r="AQ467">
        <f>SMALL('Iter No Test'!$W$9:$W$5008,465)</f>
        <v>105.71380532408838</v>
      </c>
      <c r="AR467">
        <f>1/(COUNT('Iter No Test'!$W$9:$W$5008)-1)+$AR$466</f>
        <v>9.2818563712741886E-2</v>
      </c>
    </row>
    <row r="468" spans="16:44">
      <c r="P468">
        <v>460</v>
      </c>
      <c r="Q468">
        <v>245.79034094245239</v>
      </c>
      <c r="S468">
        <v>460</v>
      </c>
      <c r="T468">
        <v>293.36327010563139</v>
      </c>
      <c r="V468">
        <v>460</v>
      </c>
      <c r="W468">
        <v>395.78434480367832</v>
      </c>
      <c r="AK468">
        <f>SMALL('Iter No Test'!$Q$9:$Q$508,466)</f>
        <v>350.42457240786621</v>
      </c>
      <c r="AL468">
        <f>1/(COUNT('Iter No Test'!$Q$9:$Q$508)-1)+$AL$467</f>
        <v>0.93186372745491064</v>
      </c>
      <c r="AN468">
        <f>SMALL('Iter No Test'!$T$9:$T$1008,466)</f>
        <v>200.09589609181754</v>
      </c>
      <c r="AO468">
        <f>1/(COUNT('Iter No Test'!$T$9:$T$1008)-1)+$AO$467</f>
        <v>0.46546546546546147</v>
      </c>
      <c r="AQ468">
        <f>SMALL('Iter No Test'!$W$9:$W$5008,466)</f>
        <v>105.99023761263255</v>
      </c>
      <c r="AR468">
        <f>1/(COUNT('Iter No Test'!$W$9:$W$5008)-1)+$AR$467</f>
        <v>9.3018603720743484E-2</v>
      </c>
    </row>
    <row r="469" spans="16:44">
      <c r="P469">
        <v>461</v>
      </c>
      <c r="Q469">
        <v>461.85830226542083</v>
      </c>
      <c r="S469">
        <v>461</v>
      </c>
      <c r="T469">
        <v>100.02707904171906</v>
      </c>
      <c r="V469">
        <v>461</v>
      </c>
      <c r="W469">
        <v>273.3952243332804</v>
      </c>
      <c r="AK469">
        <f>SMALL('Iter No Test'!$Q$9:$Q$508,467)</f>
        <v>350.65835703031689</v>
      </c>
      <c r="AL469">
        <f>1/(COUNT('Iter No Test'!$Q$9:$Q$508)-1)+$AL$468</f>
        <v>0.93386773547094271</v>
      </c>
      <c r="AN469">
        <f>SMALL('Iter No Test'!$T$9:$T$1008,467)</f>
        <v>200.25461760868006</v>
      </c>
      <c r="AO469">
        <f>1/(COUNT('Iter No Test'!$T$9:$T$1008)-1)+$AO$468</f>
        <v>0.46646646646646245</v>
      </c>
      <c r="AQ469">
        <f>SMALL('Iter No Test'!$W$9:$W$5008,467)</f>
        <v>106.21316689258168</v>
      </c>
      <c r="AR469">
        <f>1/(COUNT('Iter No Test'!$W$9:$W$5008)-1)+$AR$468</f>
        <v>9.3218643728745082E-2</v>
      </c>
    </row>
    <row r="470" spans="16:44">
      <c r="P470">
        <v>462</v>
      </c>
      <c r="Q470">
        <v>239.92151401731172</v>
      </c>
      <c r="S470">
        <v>462</v>
      </c>
      <c r="T470">
        <v>214.63866493543694</v>
      </c>
      <c r="V470">
        <v>462</v>
      </c>
      <c r="W470">
        <v>109.38666685048661</v>
      </c>
      <c r="AK470">
        <f>SMALL('Iter No Test'!$Q$9:$Q$508,468)</f>
        <v>350.91039763251166</v>
      </c>
      <c r="AL470">
        <f>1/(COUNT('Iter No Test'!$Q$9:$Q$508)-1)+$AL$469</f>
        <v>0.93587174348697477</v>
      </c>
      <c r="AN470">
        <f>SMALL('Iter No Test'!$T$9:$T$1008,468)</f>
        <v>201.24939085740127</v>
      </c>
      <c r="AO470">
        <f>1/(COUNT('Iter No Test'!$T$9:$T$1008)-1)+$AO$469</f>
        <v>0.46746746746746343</v>
      </c>
      <c r="AQ470">
        <f>SMALL('Iter No Test'!$W$9:$W$5008,468)</f>
        <v>106.32862591716489</v>
      </c>
      <c r="AR470">
        <f>1/(COUNT('Iter No Test'!$W$9:$W$5008)-1)+$AR$469</f>
        <v>9.341868373674668E-2</v>
      </c>
    </row>
    <row r="471" spans="16:44">
      <c r="P471">
        <v>463</v>
      </c>
      <c r="Q471">
        <v>179.01082497053369</v>
      </c>
      <c r="S471">
        <v>463</v>
      </c>
      <c r="T471">
        <v>258.08550799083372</v>
      </c>
      <c r="V471">
        <v>463</v>
      </c>
      <c r="W471">
        <v>178.0778575526943</v>
      </c>
      <c r="AK471">
        <f>SMALL('Iter No Test'!$Q$9:$Q$508,469)</f>
        <v>352.08474265402515</v>
      </c>
      <c r="AL471">
        <f>1/(COUNT('Iter No Test'!$Q$9:$Q$508)-1)+$AL$470</f>
        <v>0.93787575150300684</v>
      </c>
      <c r="AN471">
        <f>SMALL('Iter No Test'!$T$9:$T$1008,469)</f>
        <v>201.26394586419354</v>
      </c>
      <c r="AO471">
        <f>1/(COUNT('Iter No Test'!$T$9:$T$1008)-1)+$AO$470</f>
        <v>0.46846846846846441</v>
      </c>
      <c r="AQ471">
        <f>SMALL('Iter No Test'!$W$9:$W$5008,469)</f>
        <v>106.34683749751029</v>
      </c>
      <c r="AR471">
        <f>1/(COUNT('Iter No Test'!$W$9:$W$5008)-1)+$AR$470</f>
        <v>9.3618723744748278E-2</v>
      </c>
    </row>
    <row r="472" spans="16:44">
      <c r="P472">
        <v>464</v>
      </c>
      <c r="Q472">
        <v>170.93185422632499</v>
      </c>
      <c r="S472">
        <v>464</v>
      </c>
      <c r="T472">
        <v>259.80806037444586</v>
      </c>
      <c r="V472">
        <v>464</v>
      </c>
      <c r="W472">
        <v>210.71857944401268</v>
      </c>
      <c r="AK472">
        <f>SMALL('Iter No Test'!$Q$9:$Q$508,470)</f>
        <v>354.27787796697021</v>
      </c>
      <c r="AL472">
        <f>1/(COUNT('Iter No Test'!$Q$9:$Q$508)-1)+$AL$471</f>
        <v>0.9398797595190389</v>
      </c>
      <c r="AN472">
        <f>SMALL('Iter No Test'!$T$9:$T$1008,470)</f>
        <v>201.42970108833052</v>
      </c>
      <c r="AO472">
        <f>1/(COUNT('Iter No Test'!$T$9:$T$1008)-1)+$AO$471</f>
        <v>0.46946946946946538</v>
      </c>
      <c r="AQ472">
        <f>SMALL('Iter No Test'!$W$9:$W$5008,470)</f>
        <v>106.5247142594711</v>
      </c>
      <c r="AR472">
        <f>1/(COUNT('Iter No Test'!$W$9:$W$5008)-1)+$AR$471</f>
        <v>9.3818763752749876E-2</v>
      </c>
    </row>
    <row r="473" spans="16:44">
      <c r="P473">
        <v>465</v>
      </c>
      <c r="Q473">
        <v>34.209582992420877</v>
      </c>
      <c r="S473">
        <v>465</v>
      </c>
      <c r="T473">
        <v>328.70035916696577</v>
      </c>
      <c r="V473">
        <v>465</v>
      </c>
      <c r="W473">
        <v>175.38472073882122</v>
      </c>
      <c r="AK473">
        <f>SMALL('Iter No Test'!$Q$9:$Q$508,471)</f>
        <v>355.84815201126526</v>
      </c>
      <c r="AL473">
        <f>1/(COUNT('Iter No Test'!$Q$9:$Q$508)-1)+$AL$472</f>
        <v>0.94188376753507097</v>
      </c>
      <c r="AN473">
        <f>SMALL('Iter No Test'!$T$9:$T$1008,471)</f>
        <v>201.73651422025458</v>
      </c>
      <c r="AO473">
        <f>1/(COUNT('Iter No Test'!$T$9:$T$1008)-1)+$AO$472</f>
        <v>0.47047047047046636</v>
      </c>
      <c r="AQ473">
        <f>SMALL('Iter No Test'!$W$9:$W$5008,471)</f>
        <v>106.63724792330895</v>
      </c>
      <c r="AR473">
        <f>1/(COUNT('Iter No Test'!$W$9:$W$5008)-1)+$AR$472</f>
        <v>9.4018803760751474E-2</v>
      </c>
    </row>
    <row r="474" spans="16:44">
      <c r="P474">
        <v>466</v>
      </c>
      <c r="Q474">
        <v>344.33368612455439</v>
      </c>
      <c r="S474">
        <v>466</v>
      </c>
      <c r="T474">
        <v>341.59680080815127</v>
      </c>
      <c r="V474">
        <v>466</v>
      </c>
      <c r="W474">
        <v>316.28408856189691</v>
      </c>
      <c r="AK474">
        <f>SMALL('Iter No Test'!$Q$9:$Q$508,472)</f>
        <v>358.98161998466946</v>
      </c>
      <c r="AL474">
        <f>1/(COUNT('Iter No Test'!$Q$9:$Q$508)-1)+$AL$473</f>
        <v>0.94388777555110304</v>
      </c>
      <c r="AN474">
        <f>SMALL('Iter No Test'!$T$9:$T$1008,472)</f>
        <v>201.75136955973636</v>
      </c>
      <c r="AO474">
        <f>1/(COUNT('Iter No Test'!$T$9:$T$1008)-1)+$AO$473</f>
        <v>0.47147147147146734</v>
      </c>
      <c r="AQ474">
        <f>SMALL('Iter No Test'!$W$9:$W$5008,472)</f>
        <v>106.71668518870302</v>
      </c>
      <c r="AR474">
        <f>1/(COUNT('Iter No Test'!$W$9:$W$5008)-1)+$AR$473</f>
        <v>9.4218843768753072E-2</v>
      </c>
    </row>
    <row r="475" spans="16:44">
      <c r="P475">
        <v>467</v>
      </c>
      <c r="Q475">
        <v>359.14850677812285</v>
      </c>
      <c r="S475">
        <v>467</v>
      </c>
      <c r="T475">
        <v>322.10790510002471</v>
      </c>
      <c r="V475">
        <v>467</v>
      </c>
      <c r="W475">
        <v>280.95123062107393</v>
      </c>
      <c r="AK475">
        <f>SMALL('Iter No Test'!$Q$9:$Q$508,473)</f>
        <v>359.14850677812285</v>
      </c>
      <c r="AL475">
        <f>1/(COUNT('Iter No Test'!$Q$9:$Q$508)-1)+$AL$474</f>
        <v>0.9458917835671351</v>
      </c>
      <c r="AN475">
        <f>SMALL('Iter No Test'!$T$9:$T$1008,473)</f>
        <v>201.80695446189213</v>
      </c>
      <c r="AO475">
        <f>1/(COUNT('Iter No Test'!$T$9:$T$1008)-1)+$AO$474</f>
        <v>0.47247247247246832</v>
      </c>
      <c r="AQ475">
        <f>SMALL('Iter No Test'!$W$9:$W$5008,473)</f>
        <v>106.74087060566342</v>
      </c>
      <c r="AR475">
        <f>1/(COUNT('Iter No Test'!$W$9:$W$5008)-1)+$AR$474</f>
        <v>9.441888377675467E-2</v>
      </c>
    </row>
    <row r="476" spans="16:44">
      <c r="P476">
        <v>468</v>
      </c>
      <c r="Q476">
        <v>202.61130338941089</v>
      </c>
      <c r="S476">
        <v>468</v>
      </c>
      <c r="T476">
        <v>97.209748541196376</v>
      </c>
      <c r="V476">
        <v>468</v>
      </c>
      <c r="W476">
        <v>110.29617124911786</v>
      </c>
      <c r="AK476">
        <f>SMALL('Iter No Test'!$Q$9:$Q$508,474)</f>
        <v>360.02632286740379</v>
      </c>
      <c r="AL476">
        <f>1/(COUNT('Iter No Test'!$Q$9:$Q$508)-1)+$AL$475</f>
        <v>0.94789579158316717</v>
      </c>
      <c r="AN476">
        <f>SMALL('Iter No Test'!$T$9:$T$1008,474)</f>
        <v>201.90391160282257</v>
      </c>
      <c r="AO476">
        <f>1/(COUNT('Iter No Test'!$T$9:$T$1008)-1)+$AO$475</f>
        <v>0.4734734734734693</v>
      </c>
      <c r="AQ476">
        <f>SMALL('Iter No Test'!$W$9:$W$5008,474)</f>
        <v>106.81722021240428</v>
      </c>
      <c r="AR476">
        <f>1/(COUNT('Iter No Test'!$W$9:$W$5008)-1)+$AR$475</f>
        <v>9.4618923784756268E-2</v>
      </c>
    </row>
    <row r="477" spans="16:44">
      <c r="P477">
        <v>469</v>
      </c>
      <c r="Q477">
        <v>292.49397515193579</v>
      </c>
      <c r="S477">
        <v>469</v>
      </c>
      <c r="T477">
        <v>96.652118182999047</v>
      </c>
      <c r="V477">
        <v>469</v>
      </c>
      <c r="W477">
        <v>301.24287938437476</v>
      </c>
      <c r="AK477">
        <f>SMALL('Iter No Test'!$Q$9:$Q$508,475)</f>
        <v>364.54896249580884</v>
      </c>
      <c r="AL477">
        <f>1/(COUNT('Iter No Test'!$Q$9:$Q$508)-1)+$AL$476</f>
        <v>0.94989979959919923</v>
      </c>
      <c r="AN477">
        <f>SMALL('Iter No Test'!$T$9:$T$1008,475)</f>
        <v>202.56959779706744</v>
      </c>
      <c r="AO477">
        <f>1/(COUNT('Iter No Test'!$T$9:$T$1008)-1)+$AO$476</f>
        <v>0.47447447447447028</v>
      </c>
      <c r="AQ477">
        <f>SMALL('Iter No Test'!$W$9:$W$5008,475)</f>
        <v>106.8973162551336</v>
      </c>
      <c r="AR477">
        <f>1/(COUNT('Iter No Test'!$W$9:$W$5008)-1)+$AR$476</f>
        <v>9.4818963792757865E-2</v>
      </c>
    </row>
    <row r="478" spans="16:44">
      <c r="P478">
        <v>470</v>
      </c>
      <c r="Q478">
        <v>143.67710291014737</v>
      </c>
      <c r="S478">
        <v>470</v>
      </c>
      <c r="T478">
        <v>236.19653430727041</v>
      </c>
      <c r="V478">
        <v>470</v>
      </c>
      <c r="W478">
        <v>133.37442078468644</v>
      </c>
      <c r="AK478">
        <f>SMALL('Iter No Test'!$Q$9:$Q$508,476)</f>
        <v>367.39248015389649</v>
      </c>
      <c r="AL478">
        <f>1/(COUNT('Iter No Test'!$Q$9:$Q$508)-1)+$AL$477</f>
        <v>0.9519038076152313</v>
      </c>
      <c r="AN478">
        <f>SMALL('Iter No Test'!$T$9:$T$1008,476)</f>
        <v>202.70513305686413</v>
      </c>
      <c r="AO478">
        <f>1/(COUNT('Iter No Test'!$T$9:$T$1008)-1)+$AO$477</f>
        <v>0.47547547547547125</v>
      </c>
      <c r="AQ478">
        <f>SMALL('Iter No Test'!$W$9:$W$5008,476)</f>
        <v>106.90449429101406</v>
      </c>
      <c r="AR478">
        <f>1/(COUNT('Iter No Test'!$W$9:$W$5008)-1)+$AR$477</f>
        <v>9.5019003800759463E-2</v>
      </c>
    </row>
    <row r="479" spans="16:44">
      <c r="P479">
        <v>471</v>
      </c>
      <c r="Q479">
        <v>159.31073945656499</v>
      </c>
      <c r="S479">
        <v>471</v>
      </c>
      <c r="T479">
        <v>176.35500150251596</v>
      </c>
      <c r="V479">
        <v>471</v>
      </c>
      <c r="W479">
        <v>268.8040547365556</v>
      </c>
      <c r="AK479">
        <f>SMALL('Iter No Test'!$Q$9:$Q$508,477)</f>
        <v>368.43045062487988</v>
      </c>
      <c r="AL479">
        <f>1/(COUNT('Iter No Test'!$Q$9:$Q$508)-1)+$AL$478</f>
        <v>0.95390781563126337</v>
      </c>
      <c r="AN479">
        <f>SMALL('Iter No Test'!$T$9:$T$1008,477)</f>
        <v>202.85973282313938</v>
      </c>
      <c r="AO479">
        <f>1/(COUNT('Iter No Test'!$T$9:$T$1008)-1)+$AO$478</f>
        <v>0.47647647647647223</v>
      </c>
      <c r="AQ479">
        <f>SMALL('Iter No Test'!$W$9:$W$5008,477)</f>
        <v>107.04931441934005</v>
      </c>
      <c r="AR479">
        <f>1/(COUNT('Iter No Test'!$W$9:$W$5008)-1)+$AR$478</f>
        <v>9.5219043808761061E-2</v>
      </c>
    </row>
    <row r="480" spans="16:44">
      <c r="P480">
        <v>472</v>
      </c>
      <c r="Q480">
        <v>39.857381450115014</v>
      </c>
      <c r="S480">
        <v>472</v>
      </c>
      <c r="T480">
        <v>149.65882542010775</v>
      </c>
      <c r="V480">
        <v>472</v>
      </c>
      <c r="W480">
        <v>163.86638180500722</v>
      </c>
      <c r="AK480">
        <f>SMALL('Iter No Test'!$Q$9:$Q$508,478)</f>
        <v>371.86901429961938</v>
      </c>
      <c r="AL480">
        <f>1/(COUNT('Iter No Test'!$Q$9:$Q$508)-1)+$AL$479</f>
        <v>0.95591182364729543</v>
      </c>
      <c r="AN480">
        <f>SMALL('Iter No Test'!$T$9:$T$1008,478)</f>
        <v>203.17117354764082</v>
      </c>
      <c r="AO480">
        <f>1/(COUNT('Iter No Test'!$T$9:$T$1008)-1)+$AO$479</f>
        <v>0.47747747747747321</v>
      </c>
      <c r="AQ480">
        <f>SMALL('Iter No Test'!$W$9:$W$5008,478)</f>
        <v>107.06511797154035</v>
      </c>
      <c r="AR480">
        <f>1/(COUNT('Iter No Test'!$W$9:$W$5008)-1)+$AR$479</f>
        <v>9.5419083816762659E-2</v>
      </c>
    </row>
    <row r="481" spans="16:44">
      <c r="P481">
        <v>473</v>
      </c>
      <c r="Q481">
        <v>262.00729608056434</v>
      </c>
      <c r="S481">
        <v>473</v>
      </c>
      <c r="T481">
        <v>203.3757340049662</v>
      </c>
      <c r="V481">
        <v>473</v>
      </c>
      <c r="W481">
        <v>190.66570380990083</v>
      </c>
      <c r="AK481">
        <f>SMALL('Iter No Test'!$Q$9:$Q$508,479)</f>
        <v>371.96813390051352</v>
      </c>
      <c r="AL481">
        <f>1/(COUNT('Iter No Test'!$Q$9:$Q$508)-1)+$AL$480</f>
        <v>0.9579158316633275</v>
      </c>
      <c r="AN481">
        <f>SMALL('Iter No Test'!$T$9:$T$1008,479)</f>
        <v>203.25624535063645</v>
      </c>
      <c r="AO481">
        <f>1/(COUNT('Iter No Test'!$T$9:$T$1008)-1)+$AO$480</f>
        <v>0.47847847847847419</v>
      </c>
      <c r="AQ481">
        <f>SMALL('Iter No Test'!$W$9:$W$5008,479)</f>
        <v>107.12318376441236</v>
      </c>
      <c r="AR481">
        <f>1/(COUNT('Iter No Test'!$W$9:$W$5008)-1)+$AR$480</f>
        <v>9.5619123824764257E-2</v>
      </c>
    </row>
    <row r="482" spans="16:44">
      <c r="P482">
        <v>474</v>
      </c>
      <c r="Q482">
        <v>403.73985145798542</v>
      </c>
      <c r="S482">
        <v>474</v>
      </c>
      <c r="T482">
        <v>165.91704805413696</v>
      </c>
      <c r="V482">
        <v>474</v>
      </c>
      <c r="W482">
        <v>118.36240014206106</v>
      </c>
      <c r="AK482">
        <f>SMALL('Iter No Test'!$Q$9:$Q$508,480)</f>
        <v>376.71256168734146</v>
      </c>
      <c r="AL482">
        <f>1/(COUNT('Iter No Test'!$Q$9:$Q$508)-1)+$AL$481</f>
        <v>0.95991983967935957</v>
      </c>
      <c r="AN482">
        <f>SMALL('Iter No Test'!$T$9:$T$1008,480)</f>
        <v>203.3757340049662</v>
      </c>
      <c r="AO482">
        <f>1/(COUNT('Iter No Test'!$T$9:$T$1008)-1)+$AO$481</f>
        <v>0.47947947947947517</v>
      </c>
      <c r="AQ482">
        <f>SMALL('Iter No Test'!$W$9:$W$5008,480)</f>
        <v>107.17022491723439</v>
      </c>
      <c r="AR482">
        <f>1/(COUNT('Iter No Test'!$W$9:$W$5008)-1)+$AR$481</f>
        <v>9.5819163832765855E-2</v>
      </c>
    </row>
    <row r="483" spans="16:44">
      <c r="P483">
        <v>475</v>
      </c>
      <c r="Q483">
        <v>173.21261619801774</v>
      </c>
      <c r="S483">
        <v>475</v>
      </c>
      <c r="T483">
        <v>36.973364647509939</v>
      </c>
      <c r="V483">
        <v>475</v>
      </c>
      <c r="W483">
        <v>184.11569220219579</v>
      </c>
      <c r="AK483">
        <f>SMALL('Iter No Test'!$Q$9:$Q$508,481)</f>
        <v>377.15510074736227</v>
      </c>
      <c r="AL483">
        <f>1/(COUNT('Iter No Test'!$Q$9:$Q$508)-1)+$AL$482</f>
        <v>0.96192384769539163</v>
      </c>
      <c r="AN483">
        <f>SMALL('Iter No Test'!$T$9:$T$1008,481)</f>
        <v>203.60820330762334</v>
      </c>
      <c r="AO483">
        <f>1/(COUNT('Iter No Test'!$T$9:$T$1008)-1)+$AO$482</f>
        <v>0.48048048048047615</v>
      </c>
      <c r="AQ483">
        <f>SMALL('Iter No Test'!$W$9:$W$5008,481)</f>
        <v>107.22017375447589</v>
      </c>
      <c r="AR483">
        <f>1/(COUNT('Iter No Test'!$W$9:$W$5008)-1)+$AR$482</f>
        <v>9.6019203840767453E-2</v>
      </c>
    </row>
    <row r="484" spans="16:44">
      <c r="P484">
        <v>476</v>
      </c>
      <c r="Q484">
        <v>207.35125332237294</v>
      </c>
      <c r="S484">
        <v>476</v>
      </c>
      <c r="T484">
        <v>382.5092550585556</v>
      </c>
      <c r="V484">
        <v>476</v>
      </c>
      <c r="W484">
        <v>173.41759875203283</v>
      </c>
      <c r="AK484">
        <f>SMALL('Iter No Test'!$Q$9:$Q$508,482)</f>
        <v>378.5514479268856</v>
      </c>
      <c r="AL484">
        <f>1/(COUNT('Iter No Test'!$Q$9:$Q$508)-1)+$AL$483</f>
        <v>0.9639278557114237</v>
      </c>
      <c r="AN484">
        <f>SMALL('Iter No Test'!$T$9:$T$1008,482)</f>
        <v>203.75364101965954</v>
      </c>
      <c r="AO484">
        <f>1/(COUNT('Iter No Test'!$T$9:$T$1008)-1)+$AO$483</f>
        <v>0.48148148148147712</v>
      </c>
      <c r="AQ484">
        <f>SMALL('Iter No Test'!$W$9:$W$5008,482)</f>
        <v>107.55585716421251</v>
      </c>
      <c r="AR484">
        <f>1/(COUNT('Iter No Test'!$W$9:$W$5008)-1)+$AR$483</f>
        <v>9.6219243848769051E-2</v>
      </c>
    </row>
    <row r="485" spans="16:44">
      <c r="P485">
        <v>477</v>
      </c>
      <c r="Q485">
        <v>178.37629042410038</v>
      </c>
      <c r="S485">
        <v>477</v>
      </c>
      <c r="T485">
        <v>168.92334167942602</v>
      </c>
      <c r="V485">
        <v>477</v>
      </c>
      <c r="W485">
        <v>68.02109964696244</v>
      </c>
      <c r="AK485">
        <f>SMALL('Iter No Test'!$Q$9:$Q$508,483)</f>
        <v>383.8305198727154</v>
      </c>
      <c r="AL485">
        <f>1/(COUNT('Iter No Test'!$Q$9:$Q$508)-1)+$AL$484</f>
        <v>0.96593186372745576</v>
      </c>
      <c r="AN485">
        <f>SMALL('Iter No Test'!$T$9:$T$1008,483)</f>
        <v>203.93885625752432</v>
      </c>
      <c r="AO485">
        <f>1/(COUNT('Iter No Test'!$T$9:$T$1008)-1)+$AO$484</f>
        <v>0.4824824824824781</v>
      </c>
      <c r="AQ485">
        <f>SMALL('Iter No Test'!$W$9:$W$5008,483)</f>
        <v>107.59730647760416</v>
      </c>
      <c r="AR485">
        <f>1/(COUNT('Iter No Test'!$W$9:$W$5008)-1)+$AR$484</f>
        <v>9.6419283856770649E-2</v>
      </c>
    </row>
    <row r="486" spans="16:44">
      <c r="P486">
        <v>478</v>
      </c>
      <c r="Q486">
        <v>322.07855360467238</v>
      </c>
      <c r="S486">
        <v>478</v>
      </c>
      <c r="T486">
        <v>171.54015549810836</v>
      </c>
      <c r="V486">
        <v>478</v>
      </c>
      <c r="W486">
        <v>81.771714407895445</v>
      </c>
      <c r="AK486">
        <f>SMALL('Iter No Test'!$Q$9:$Q$508,484)</f>
        <v>385.12234208345126</v>
      </c>
      <c r="AL486">
        <f>1/(COUNT('Iter No Test'!$Q$9:$Q$508)-1)+$AL$485</f>
        <v>0.96793587174348783</v>
      </c>
      <c r="AN486">
        <f>SMALL('Iter No Test'!$T$9:$T$1008,484)</f>
        <v>204.45908406774819</v>
      </c>
      <c r="AO486">
        <f>1/(COUNT('Iter No Test'!$T$9:$T$1008)-1)+$AO$485</f>
        <v>0.48348348348347908</v>
      </c>
      <c r="AQ486">
        <f>SMALL('Iter No Test'!$W$9:$W$5008,484)</f>
        <v>107.6261061470495</v>
      </c>
      <c r="AR486">
        <f>1/(COUNT('Iter No Test'!$W$9:$W$5008)-1)+$AR$485</f>
        <v>9.6619323864772247E-2</v>
      </c>
    </row>
    <row r="487" spans="16:44">
      <c r="P487">
        <v>479</v>
      </c>
      <c r="Q487">
        <v>186.33760009714604</v>
      </c>
      <c r="S487">
        <v>479</v>
      </c>
      <c r="T487">
        <v>277.10596332168973</v>
      </c>
      <c r="V487">
        <v>479</v>
      </c>
      <c r="W487">
        <v>259.82753539471435</v>
      </c>
      <c r="AK487">
        <f>SMALL('Iter No Test'!$Q$9:$Q$508,485)</f>
        <v>385.43773698433517</v>
      </c>
      <c r="AL487">
        <f>1/(COUNT('Iter No Test'!$Q$9:$Q$508)-1)+$AL$486</f>
        <v>0.9699398797595199</v>
      </c>
      <c r="AN487">
        <f>SMALL('Iter No Test'!$T$9:$T$1008,485)</f>
        <v>205.40373631839788</v>
      </c>
      <c r="AO487">
        <f>1/(COUNT('Iter No Test'!$T$9:$T$1008)-1)+$AO$486</f>
        <v>0.48448448448448006</v>
      </c>
      <c r="AQ487">
        <f>SMALL('Iter No Test'!$W$9:$W$5008,485)</f>
        <v>107.70607159780599</v>
      </c>
      <c r="AR487">
        <f>1/(COUNT('Iter No Test'!$W$9:$W$5008)-1)+$AR$486</f>
        <v>9.6819363872773845E-2</v>
      </c>
    </row>
    <row r="488" spans="16:44">
      <c r="P488">
        <v>480</v>
      </c>
      <c r="Q488">
        <v>165.67283673048223</v>
      </c>
      <c r="S488">
        <v>480</v>
      </c>
      <c r="T488">
        <v>241.55249767995042</v>
      </c>
      <c r="V488">
        <v>480</v>
      </c>
      <c r="W488">
        <v>429.85865640521638</v>
      </c>
      <c r="AK488">
        <f>SMALL('Iter No Test'!$Q$9:$Q$508,486)</f>
        <v>387.895496214888</v>
      </c>
      <c r="AL488">
        <f>1/(COUNT('Iter No Test'!$Q$9:$Q$508)-1)+$AL$487</f>
        <v>0.97194388777555196</v>
      </c>
      <c r="AN488">
        <f>SMALL('Iter No Test'!$T$9:$T$1008,486)</f>
        <v>205.44687299174771</v>
      </c>
      <c r="AO488">
        <f>1/(COUNT('Iter No Test'!$T$9:$T$1008)-1)+$AO$487</f>
        <v>0.48548548548548104</v>
      </c>
      <c r="AQ488">
        <f>SMALL('Iter No Test'!$W$9:$W$5008,486)</f>
        <v>108.00404506101781</v>
      </c>
      <c r="AR488">
        <f>1/(COUNT('Iter No Test'!$W$9:$W$5008)-1)+$AR$487</f>
        <v>9.7019403880775443E-2</v>
      </c>
    </row>
    <row r="489" spans="16:44">
      <c r="P489">
        <v>481</v>
      </c>
      <c r="Q489">
        <v>152.92625930657474</v>
      </c>
      <c r="S489">
        <v>481</v>
      </c>
      <c r="T489">
        <v>112.84185549722237</v>
      </c>
      <c r="V489">
        <v>481</v>
      </c>
      <c r="W489">
        <v>293.07882376391711</v>
      </c>
      <c r="AK489">
        <f>SMALL('Iter No Test'!$Q$9:$Q$508,487)</f>
        <v>388.21084884460441</v>
      </c>
      <c r="AL489">
        <f>1/(COUNT('Iter No Test'!$Q$9:$Q$508)-1)+$AL$488</f>
        <v>0.97394789579158403</v>
      </c>
      <c r="AN489">
        <f>SMALL('Iter No Test'!$T$9:$T$1008,487)</f>
        <v>205.93121011997306</v>
      </c>
      <c r="AO489">
        <f>1/(COUNT('Iter No Test'!$T$9:$T$1008)-1)+$AO$488</f>
        <v>0.48648648648648202</v>
      </c>
      <c r="AQ489">
        <f>SMALL('Iter No Test'!$W$9:$W$5008,487)</f>
        <v>108.24341952040911</v>
      </c>
      <c r="AR489">
        <f>1/(COUNT('Iter No Test'!$W$9:$W$5008)-1)+$AR$488</f>
        <v>9.7219443888777041E-2</v>
      </c>
    </row>
    <row r="490" spans="16:44">
      <c r="P490">
        <v>482</v>
      </c>
      <c r="Q490">
        <v>256.30922054137284</v>
      </c>
      <c r="S490">
        <v>482</v>
      </c>
      <c r="T490">
        <v>123.52417872087497</v>
      </c>
      <c r="V490">
        <v>482</v>
      </c>
      <c r="W490">
        <v>164.45654653370406</v>
      </c>
      <c r="AK490">
        <f>SMALL('Iter No Test'!$Q$9:$Q$508,488)</f>
        <v>388.65111015273135</v>
      </c>
      <c r="AL490">
        <f>1/(COUNT('Iter No Test'!$Q$9:$Q$508)-1)+$AL$489</f>
        <v>0.97595190380761609</v>
      </c>
      <c r="AN490">
        <f>SMALL('Iter No Test'!$T$9:$T$1008,488)</f>
        <v>206.20063638546</v>
      </c>
      <c r="AO490">
        <f>1/(COUNT('Iter No Test'!$T$9:$T$1008)-1)+$AO$489</f>
        <v>0.487487487487483</v>
      </c>
      <c r="AQ490">
        <f>SMALL('Iter No Test'!$W$9:$W$5008,488)</f>
        <v>108.27020224035383</v>
      </c>
      <c r="AR490">
        <f>1/(COUNT('Iter No Test'!$W$9:$W$5008)-1)+$AR$489</f>
        <v>9.7419483896778639E-2</v>
      </c>
    </row>
    <row r="491" spans="16:44">
      <c r="P491">
        <v>483</v>
      </c>
      <c r="Q491">
        <v>482.1235596442217</v>
      </c>
      <c r="S491">
        <v>483</v>
      </c>
      <c r="T491">
        <v>209.90054708598407</v>
      </c>
      <c r="V491">
        <v>483</v>
      </c>
      <c r="W491">
        <v>160.90805678242947</v>
      </c>
      <c r="AK491">
        <f>SMALL('Iter No Test'!$Q$9:$Q$508,489)</f>
        <v>392.32324201092058</v>
      </c>
      <c r="AL491">
        <f>1/(COUNT('Iter No Test'!$Q$9:$Q$508)-1)+$AL$490</f>
        <v>0.97795591182364816</v>
      </c>
      <c r="AN491">
        <f>SMALL('Iter No Test'!$T$9:$T$1008,489)</f>
        <v>206.20097696586944</v>
      </c>
      <c r="AO491">
        <f>1/(COUNT('Iter No Test'!$T$9:$T$1008)-1)+$AO$490</f>
        <v>0.48848848848848397</v>
      </c>
      <c r="AQ491">
        <f>SMALL('Iter No Test'!$W$9:$W$5008,489)</f>
        <v>108.3082817720526</v>
      </c>
      <c r="AR491">
        <f>1/(COUNT('Iter No Test'!$W$9:$W$5008)-1)+$AR$490</f>
        <v>9.7619523904780237E-2</v>
      </c>
    </row>
    <row r="492" spans="16:44">
      <c r="P492">
        <v>484</v>
      </c>
      <c r="Q492">
        <v>183.50678931825848</v>
      </c>
      <c r="S492">
        <v>484</v>
      </c>
      <c r="T492">
        <v>247.58734118912221</v>
      </c>
      <c r="V492">
        <v>484</v>
      </c>
      <c r="W492">
        <v>279.23858418167237</v>
      </c>
      <c r="AK492">
        <f>SMALL('Iter No Test'!$Q$9:$Q$508,490)</f>
        <v>395.9369518751846</v>
      </c>
      <c r="AL492">
        <f>1/(COUNT('Iter No Test'!$Q$9:$Q$508)-1)+$AL$491</f>
        <v>0.97995991983968023</v>
      </c>
      <c r="AN492">
        <f>SMALL('Iter No Test'!$T$9:$T$1008,490)</f>
        <v>206.57349899873716</v>
      </c>
      <c r="AO492">
        <f>1/(COUNT('Iter No Test'!$T$9:$T$1008)-1)+$AO$491</f>
        <v>0.48948948948948495</v>
      </c>
      <c r="AQ492">
        <f>SMALL('Iter No Test'!$W$9:$W$5008,490)</f>
        <v>108.7227432046877</v>
      </c>
      <c r="AR492">
        <f>1/(COUNT('Iter No Test'!$W$9:$W$5008)-1)+$AR$491</f>
        <v>9.7819563912781834E-2</v>
      </c>
    </row>
    <row r="493" spans="16:44">
      <c r="P493">
        <v>485</v>
      </c>
      <c r="Q493">
        <v>346.59683706143653</v>
      </c>
      <c r="S493">
        <v>485</v>
      </c>
      <c r="T493">
        <v>193.54772512196945</v>
      </c>
      <c r="V493">
        <v>485</v>
      </c>
      <c r="W493">
        <v>234.56171014544833</v>
      </c>
      <c r="AK493">
        <f>SMALL('Iter No Test'!$Q$9:$Q$508,491)</f>
        <v>403.56646698093539</v>
      </c>
      <c r="AL493">
        <f>1/(COUNT('Iter No Test'!$Q$9:$Q$508)-1)+$AL$492</f>
        <v>0.98196392785571229</v>
      </c>
      <c r="AN493">
        <f>SMALL('Iter No Test'!$T$9:$T$1008,491)</f>
        <v>206.91559263981668</v>
      </c>
      <c r="AO493">
        <f>1/(COUNT('Iter No Test'!$T$9:$T$1008)-1)+$AO$492</f>
        <v>0.49049049049048593</v>
      </c>
      <c r="AQ493">
        <f>SMALL('Iter No Test'!$W$9:$W$5008,491)</f>
        <v>108.74684354734038</v>
      </c>
      <c r="AR493">
        <f>1/(COUNT('Iter No Test'!$W$9:$W$5008)-1)+$AR$492</f>
        <v>9.8019603920783432E-2</v>
      </c>
    </row>
    <row r="494" spans="16:44">
      <c r="P494">
        <v>486</v>
      </c>
      <c r="Q494">
        <v>343.3106425097352</v>
      </c>
      <c r="S494">
        <v>486</v>
      </c>
      <c r="T494">
        <v>79.099319988756804</v>
      </c>
      <c r="V494">
        <v>486</v>
      </c>
      <c r="W494">
        <v>324.61987427979028</v>
      </c>
      <c r="AK494">
        <f>SMALL('Iter No Test'!$Q$9:$Q$508,492)</f>
        <v>403.6501956912627</v>
      </c>
      <c r="AL494">
        <f>1/(COUNT('Iter No Test'!$Q$9:$Q$508)-1)+$AL$493</f>
        <v>0.98396793587174436</v>
      </c>
      <c r="AN494">
        <f>SMALL('Iter No Test'!$T$9:$T$1008,492)</f>
        <v>207.31545981955981</v>
      </c>
      <c r="AO494">
        <f>1/(COUNT('Iter No Test'!$T$9:$T$1008)-1)+$AO$493</f>
        <v>0.49149149149148691</v>
      </c>
      <c r="AQ494">
        <f>SMALL('Iter No Test'!$W$9:$W$5008,492)</f>
        <v>108.81634580733288</v>
      </c>
      <c r="AR494">
        <f>1/(COUNT('Iter No Test'!$W$9:$W$5008)-1)+$AR$493</f>
        <v>9.821964392878503E-2</v>
      </c>
    </row>
    <row r="495" spans="16:44">
      <c r="P495">
        <v>487</v>
      </c>
      <c r="Q495">
        <v>216.16089839257867</v>
      </c>
      <c r="S495">
        <v>487</v>
      </c>
      <c r="T495">
        <v>162.50985246990109</v>
      </c>
      <c r="V495">
        <v>487</v>
      </c>
      <c r="W495">
        <v>220.37262276872792</v>
      </c>
      <c r="AK495">
        <f>SMALL('Iter No Test'!$Q$9:$Q$508,493)</f>
        <v>403.73985145798542</v>
      </c>
      <c r="AL495">
        <f>1/(COUNT('Iter No Test'!$Q$9:$Q$508)-1)+$AL$494</f>
        <v>0.98597194388777643</v>
      </c>
      <c r="AN495">
        <f>SMALL('Iter No Test'!$T$9:$T$1008,493)</f>
        <v>207.55512016197662</v>
      </c>
      <c r="AO495">
        <f>1/(COUNT('Iter No Test'!$T$9:$T$1008)-1)+$AO$494</f>
        <v>0.49249249249248789</v>
      </c>
      <c r="AQ495">
        <f>SMALL('Iter No Test'!$W$9:$W$5008,493)</f>
        <v>108.84364656283941</v>
      </c>
      <c r="AR495">
        <f>1/(COUNT('Iter No Test'!$W$9:$W$5008)-1)+$AR$494</f>
        <v>9.8419683936786628E-2</v>
      </c>
    </row>
    <row r="496" spans="16:44">
      <c r="P496">
        <v>488</v>
      </c>
      <c r="Q496">
        <v>211.16665813502055</v>
      </c>
      <c r="S496">
        <v>488</v>
      </c>
      <c r="T496">
        <v>159.12540259831493</v>
      </c>
      <c r="V496">
        <v>488</v>
      </c>
      <c r="W496">
        <v>56.483556772849823</v>
      </c>
      <c r="AK496">
        <f>SMALL('Iter No Test'!$Q$9:$Q$508,494)</f>
        <v>404.30266180190949</v>
      </c>
      <c r="AL496">
        <f>1/(COUNT('Iter No Test'!$Q$9:$Q$508)-1)+$AL$495</f>
        <v>0.98797595190380849</v>
      </c>
      <c r="AN496">
        <f>SMALL('Iter No Test'!$T$9:$T$1008,494)</f>
        <v>207.61169961594288</v>
      </c>
      <c r="AO496">
        <f>1/(COUNT('Iter No Test'!$T$9:$T$1008)-1)+$AO$495</f>
        <v>0.49349349349348887</v>
      </c>
      <c r="AQ496">
        <f>SMALL('Iter No Test'!$W$9:$W$5008,494)</f>
        <v>108.89764024069237</v>
      </c>
      <c r="AR496">
        <f>1/(COUNT('Iter No Test'!$W$9:$W$5008)-1)+$AR$495</f>
        <v>9.8619723944788226E-2</v>
      </c>
    </row>
    <row r="497" spans="16:44">
      <c r="P497">
        <v>489</v>
      </c>
      <c r="Q497">
        <v>125.17396160857524</v>
      </c>
      <c r="S497">
        <v>489</v>
      </c>
      <c r="T497">
        <v>-14.470678075758528</v>
      </c>
      <c r="V497">
        <v>489</v>
      </c>
      <c r="W497">
        <v>334.46051805902766</v>
      </c>
      <c r="AK497">
        <f>SMALL('Iter No Test'!$Q$9:$Q$508,495)</f>
        <v>409.59720203999603</v>
      </c>
      <c r="AL497">
        <f>1/(COUNT('Iter No Test'!$Q$9:$Q$508)-1)+$AL$496</f>
        <v>0.98997995991984056</v>
      </c>
      <c r="AN497">
        <f>SMALL('Iter No Test'!$T$9:$T$1008,495)</f>
        <v>207.63310365626791</v>
      </c>
      <c r="AO497">
        <f>1/(COUNT('Iter No Test'!$T$9:$T$1008)-1)+$AO$496</f>
        <v>0.49449449449448984</v>
      </c>
      <c r="AQ497">
        <f>SMALL('Iter No Test'!$W$9:$W$5008,495)</f>
        <v>108.91714674995038</v>
      </c>
      <c r="AR497">
        <f>1/(COUNT('Iter No Test'!$W$9:$W$5008)-1)+$AR$496</f>
        <v>9.8819763952789824E-2</v>
      </c>
    </row>
    <row r="498" spans="16:44">
      <c r="P498">
        <v>490</v>
      </c>
      <c r="Q498">
        <v>224.75781840409297</v>
      </c>
      <c r="S498">
        <v>490</v>
      </c>
      <c r="T498">
        <v>246.7830180024248</v>
      </c>
      <c r="V498">
        <v>490</v>
      </c>
      <c r="W498">
        <v>268.24853772801737</v>
      </c>
      <c r="AK498">
        <f>SMALL('Iter No Test'!$Q$9:$Q$508,496)</f>
        <v>414.63588578563144</v>
      </c>
      <c r="AL498">
        <f>1/(COUNT('Iter No Test'!$Q$9:$Q$508)-1)+$AL$497</f>
        <v>0.99198396793587262</v>
      </c>
      <c r="AN498">
        <f>SMALL('Iter No Test'!$T$9:$T$1008,496)</f>
        <v>207.64285187885295</v>
      </c>
      <c r="AO498">
        <f>1/(COUNT('Iter No Test'!$T$9:$T$1008)-1)+$AO$497</f>
        <v>0.49549549549549082</v>
      </c>
      <c r="AQ498">
        <f>SMALL('Iter No Test'!$W$9:$W$5008,496)</f>
        <v>108.98332327877439</v>
      </c>
      <c r="AR498">
        <f>1/(COUNT('Iter No Test'!$W$9:$W$5008)-1)+$AR$497</f>
        <v>9.9019803960791422E-2</v>
      </c>
    </row>
    <row r="499" spans="16:44">
      <c r="P499">
        <v>491</v>
      </c>
      <c r="Q499">
        <v>234.21411784983556</v>
      </c>
      <c r="S499">
        <v>491</v>
      </c>
      <c r="T499">
        <v>120.83616314277413</v>
      </c>
      <c r="V499">
        <v>491</v>
      </c>
      <c r="W499">
        <v>259.71731726757019</v>
      </c>
      <c r="AK499">
        <f>SMALL('Iter No Test'!$Q$9:$Q$508,497)</f>
        <v>423.7442000374196</v>
      </c>
      <c r="AL499">
        <f>1/(COUNT('Iter No Test'!$Q$9:$Q$508)-1)+$AL$498</f>
        <v>0.99398797595190469</v>
      </c>
      <c r="AN499">
        <f>SMALL('Iter No Test'!$T$9:$T$1008,497)</f>
        <v>207.95593873495136</v>
      </c>
      <c r="AO499">
        <f>1/(COUNT('Iter No Test'!$T$9:$T$1008)-1)+$AO$498</f>
        <v>0.4964964964964918</v>
      </c>
      <c r="AQ499">
        <f>SMALL('Iter No Test'!$W$9:$W$5008,497)</f>
        <v>109.30536028747198</v>
      </c>
      <c r="AR499">
        <f>1/(COUNT('Iter No Test'!$W$9:$W$5008)-1)+$AR$498</f>
        <v>9.921984396879302E-2</v>
      </c>
    </row>
    <row r="500" spans="16:44">
      <c r="P500">
        <v>492</v>
      </c>
      <c r="Q500">
        <v>235.75797310216447</v>
      </c>
      <c r="S500">
        <v>492</v>
      </c>
      <c r="T500">
        <v>248.4876572897162</v>
      </c>
      <c r="V500">
        <v>492</v>
      </c>
      <c r="W500">
        <v>103.12234851988994</v>
      </c>
      <c r="AK500">
        <f>SMALL('Iter No Test'!$Q$9:$Q$508,498)</f>
        <v>442.56417767139203</v>
      </c>
      <c r="AL500">
        <f>1/(COUNT('Iter No Test'!$Q$9:$Q$508)-1)+$AL$499</f>
        <v>0.99599198396793676</v>
      </c>
      <c r="AN500">
        <f>SMALL('Iter No Test'!$T$9:$T$1008,498)</f>
        <v>208.19703052667592</v>
      </c>
      <c r="AO500">
        <f>1/(COUNT('Iter No Test'!$T$9:$T$1008)-1)+$AO$499</f>
        <v>0.49749749749749278</v>
      </c>
      <c r="AQ500">
        <f>SMALL('Iter No Test'!$W$9:$W$5008,498)</f>
        <v>109.38666685048661</v>
      </c>
      <c r="AR500">
        <f>1/(COUNT('Iter No Test'!$W$9:$W$5008)-1)+$AR$499</f>
        <v>9.9419883976794618E-2</v>
      </c>
    </row>
    <row r="501" spans="16:44">
      <c r="P501">
        <v>493</v>
      </c>
      <c r="Q501">
        <v>228.61113175665537</v>
      </c>
      <c r="S501">
        <v>493</v>
      </c>
      <c r="T501">
        <v>308.99150345091186</v>
      </c>
      <c r="V501">
        <v>493</v>
      </c>
      <c r="W501">
        <v>277.60869729413588</v>
      </c>
      <c r="AK501">
        <f>SMALL('Iter No Test'!$Q$9:$Q$508,499)</f>
        <v>461.85830226542083</v>
      </c>
      <c r="AL501">
        <f>1/(COUNT('Iter No Test'!$Q$9:$Q$508)-1)+$AL$500</f>
        <v>0.99799599198396882</v>
      </c>
      <c r="AN501">
        <f>SMALL('Iter No Test'!$T$9:$T$1008,499)</f>
        <v>208.51035810025041</v>
      </c>
      <c r="AO501">
        <f>1/(COUNT('Iter No Test'!$T$9:$T$1008)-1)+$AO$500</f>
        <v>0.49849849849849376</v>
      </c>
      <c r="AQ501">
        <f>SMALL('Iter No Test'!$W$9:$W$5008,499)</f>
        <v>109.43507371554131</v>
      </c>
      <c r="AR501">
        <f>1/(COUNT('Iter No Test'!$W$9:$W$5008)-1)+$AR$500</f>
        <v>9.9619923984796216E-2</v>
      </c>
    </row>
    <row r="502" spans="16:44">
      <c r="P502">
        <v>494</v>
      </c>
      <c r="Q502">
        <v>145.77482186707675</v>
      </c>
      <c r="S502">
        <v>494</v>
      </c>
      <c r="T502">
        <v>288.23188975452786</v>
      </c>
      <c r="V502">
        <v>494</v>
      </c>
      <c r="W502">
        <v>278.51988953451973</v>
      </c>
      <c r="AK502">
        <f>SMALL('Iter No Test'!$Q$9:$Q$508,500)</f>
        <v>482.1235596442217</v>
      </c>
      <c r="AL502">
        <f>1/(COUNT('Iter No Test'!$Q$9:$Q$508)-1)+$AL$501</f>
        <v>1.0000000000000009</v>
      </c>
      <c r="AN502">
        <f>SMALL('Iter No Test'!$T$9:$T$1008,500)</f>
        <v>208.59047385940957</v>
      </c>
      <c r="AO502">
        <f>1/(COUNT('Iter No Test'!$T$9:$T$1008)-1)+$AO$501</f>
        <v>0.49949949949949474</v>
      </c>
      <c r="AQ502">
        <f>SMALL('Iter No Test'!$W$9:$W$5008,500)</f>
        <v>109.450570160822</v>
      </c>
      <c r="AR502">
        <f>1/(COUNT('Iter No Test'!$W$9:$W$5008)-1)+$AR$501</f>
        <v>9.9819963992797814E-2</v>
      </c>
    </row>
    <row r="503" spans="16:44">
      <c r="P503">
        <v>495</v>
      </c>
      <c r="Q503">
        <v>253.47596282977776</v>
      </c>
      <c r="S503">
        <v>495</v>
      </c>
      <c r="T503">
        <v>223.44169318885244</v>
      </c>
      <c r="V503">
        <v>495</v>
      </c>
      <c r="W503">
        <v>284.05143183350083</v>
      </c>
      <c r="AN503">
        <f>SMALL('Iter No Test'!$T$9:$T$1008,501)</f>
        <v>208.82034667041205</v>
      </c>
      <c r="AO503">
        <f>1/(COUNT('Iter No Test'!$T$9:$T$1008)-1)+$AO$502</f>
        <v>0.50050050050049577</v>
      </c>
      <c r="AQ503">
        <f>SMALL('Iter No Test'!$W$9:$W$5008,501)</f>
        <v>109.65985696327562</v>
      </c>
      <c r="AR503">
        <f>1/(COUNT('Iter No Test'!$W$9:$W$5008)-1)+$AR$502</f>
        <v>0.10002000400079941</v>
      </c>
    </row>
    <row r="504" spans="16:44">
      <c r="P504">
        <v>496</v>
      </c>
      <c r="Q504">
        <v>210.10660840430913</v>
      </c>
      <c r="S504">
        <v>496</v>
      </c>
      <c r="T504">
        <v>264.34842625715839</v>
      </c>
      <c r="V504">
        <v>496</v>
      </c>
      <c r="W504">
        <v>199.28642962689653</v>
      </c>
      <c r="AN504">
        <f>SMALL('Iter No Test'!$T$9:$T$1008,502)</f>
        <v>209.14883024355947</v>
      </c>
      <c r="AO504">
        <f>1/(COUNT('Iter No Test'!$T$9:$T$1008)-1)+$AO$503</f>
        <v>0.50150150150149675</v>
      </c>
      <c r="AQ504">
        <f>SMALL('Iter No Test'!$W$9:$W$5008,502)</f>
        <v>109.68418504771977</v>
      </c>
      <c r="AR504">
        <f>1/(COUNT('Iter No Test'!$W$9:$W$5008)-1)+$AR$503</f>
        <v>0.10022004400880101</v>
      </c>
    </row>
    <row r="505" spans="16:44">
      <c r="P505">
        <v>497</v>
      </c>
      <c r="Q505">
        <v>91.246997752918261</v>
      </c>
      <c r="S505">
        <v>497</v>
      </c>
      <c r="T505">
        <v>170.56754466016463</v>
      </c>
      <c r="V505">
        <v>497</v>
      </c>
      <c r="W505">
        <v>133.58498422033185</v>
      </c>
      <c r="AN505">
        <f>SMALL('Iter No Test'!$T$9:$T$1008,503)</f>
        <v>209.5433433677108</v>
      </c>
      <c r="AO505">
        <f>1/(COUNT('Iter No Test'!$T$9:$T$1008)-1)+$AO$504</f>
        <v>0.50250250250249773</v>
      </c>
      <c r="AQ505">
        <f>SMALL('Iter No Test'!$W$9:$W$5008,503)</f>
        <v>109.75639042409902</v>
      </c>
      <c r="AR505">
        <f>1/(COUNT('Iter No Test'!$W$9:$W$5008)-1)+$AR$504</f>
        <v>0.10042008401680261</v>
      </c>
    </row>
    <row r="506" spans="16:44">
      <c r="P506">
        <v>498</v>
      </c>
      <c r="Q506">
        <v>239.75868064266518</v>
      </c>
      <c r="S506">
        <v>498</v>
      </c>
      <c r="T506">
        <v>164.4112065151204</v>
      </c>
      <c r="V506">
        <v>498</v>
      </c>
      <c r="W506">
        <v>188.63882802432693</v>
      </c>
      <c r="AN506">
        <f>SMALL('Iter No Test'!$T$9:$T$1008,504)</f>
        <v>209.66925172186487</v>
      </c>
      <c r="AO506">
        <f>1/(COUNT('Iter No Test'!$T$9:$T$1008)-1)+$AO$505</f>
        <v>0.50350350350349871</v>
      </c>
      <c r="AQ506">
        <f>SMALL('Iter No Test'!$W$9:$W$5008,504)</f>
        <v>109.78106121829533</v>
      </c>
      <c r="AR506">
        <f>1/(COUNT('Iter No Test'!$W$9:$W$5008)-1)+$AR$505</f>
        <v>0.10062012402480421</v>
      </c>
    </row>
    <row r="507" spans="16:44">
      <c r="P507">
        <v>499</v>
      </c>
      <c r="Q507">
        <v>395.9369518751846</v>
      </c>
      <c r="S507">
        <v>499</v>
      </c>
      <c r="T507">
        <v>88.909535897470903</v>
      </c>
      <c r="V507">
        <v>499</v>
      </c>
      <c r="W507">
        <v>353.07532466690054</v>
      </c>
      <c r="AN507">
        <f>SMALL('Iter No Test'!$T$9:$T$1008,505)</f>
        <v>209.77993457551074</v>
      </c>
      <c r="AO507">
        <f>1/(COUNT('Iter No Test'!$T$9:$T$1008)-1)+$AO$506</f>
        <v>0.50450450450449968</v>
      </c>
      <c r="AQ507">
        <f>SMALL('Iter No Test'!$W$9:$W$5008,505)</f>
        <v>110.01139638453031</v>
      </c>
      <c r="AR507">
        <f>1/(COUNT('Iter No Test'!$W$9:$W$5008)-1)+$AR$506</f>
        <v>0.1008201640328058</v>
      </c>
    </row>
    <row r="508" spans="16:44">
      <c r="P508">
        <v>500</v>
      </c>
      <c r="Q508">
        <v>109.63505514181253</v>
      </c>
      <c r="S508">
        <v>500</v>
      </c>
      <c r="T508">
        <v>189.20041446670351</v>
      </c>
      <c r="V508">
        <v>500</v>
      </c>
      <c r="W508">
        <v>82.651468095227784</v>
      </c>
      <c r="AN508">
        <f>SMALL('Iter No Test'!$T$9:$T$1008,506)</f>
        <v>209.8394130720701</v>
      </c>
      <c r="AO508">
        <f>1/(COUNT('Iter No Test'!$T$9:$T$1008)-1)+$AO$507</f>
        <v>0.50550550550550066</v>
      </c>
      <c r="AQ508">
        <f>SMALL('Iter No Test'!$W$9:$W$5008,506)</f>
        <v>110.05085590725869</v>
      </c>
      <c r="AR508">
        <f>1/(COUNT('Iter No Test'!$W$9:$W$5008)-1)+$AR$507</f>
        <v>0.1010202040408074</v>
      </c>
    </row>
    <row r="509" spans="16:44">
      <c r="S509">
        <v>501</v>
      </c>
      <c r="T509">
        <v>354.30274610110558</v>
      </c>
      <c r="V509">
        <v>501</v>
      </c>
      <c r="W509">
        <v>213.39926405071787</v>
      </c>
      <c r="AN509">
        <f>SMALL('Iter No Test'!$T$9:$T$1008,507)</f>
        <v>209.90054708598407</v>
      </c>
      <c r="AO509">
        <f>1/(COUNT('Iter No Test'!$T$9:$T$1008)-1)+$AO$508</f>
        <v>0.50650650650650164</v>
      </c>
      <c r="AQ509">
        <f>SMALL('Iter No Test'!$W$9:$W$5008,507)</f>
        <v>110.11356908174184</v>
      </c>
      <c r="AR509">
        <f>1/(COUNT('Iter No Test'!$W$9:$W$5008)-1)+$AR$508</f>
        <v>0.101220244048809</v>
      </c>
    </row>
    <row r="510" spans="16:44">
      <c r="P510" t="s">
        <v>40</v>
      </c>
      <c r="S510">
        <v>502</v>
      </c>
      <c r="T510">
        <v>250.17491834016272</v>
      </c>
      <c r="V510">
        <v>502</v>
      </c>
      <c r="W510">
        <v>172.2643298437896</v>
      </c>
      <c r="AN510">
        <f>SMALL('Iter No Test'!$T$9:$T$1008,508)</f>
        <v>210.66446821999449</v>
      </c>
      <c r="AO510">
        <f>1/(COUNT('Iter No Test'!$T$9:$T$1008)-1)+$AO$509</f>
        <v>0.50750750750750262</v>
      </c>
      <c r="AQ510">
        <f>SMALL('Iter No Test'!$W$9:$W$5008,508)</f>
        <v>110.13114853221873</v>
      </c>
      <c r="AR510">
        <f>1/(COUNT('Iter No Test'!$W$9:$W$5008)-1)+$AR$509</f>
        <v>0.1014202840568106</v>
      </c>
    </row>
    <row r="511" spans="16:44">
      <c r="P511" t="s">
        <v>41</v>
      </c>
      <c r="Q511" t="str">
        <f>IF(ISBLANK($B510)=TRUE,"",_xll.EDF(Q9:Q508,$B510))</f>
        <v/>
      </c>
      <c r="S511">
        <v>503</v>
      </c>
      <c r="T511">
        <v>367.94699780055919</v>
      </c>
      <c r="V511">
        <v>503</v>
      </c>
      <c r="W511">
        <v>263.06323451920707</v>
      </c>
      <c r="AN511">
        <f>SMALL('Iter No Test'!$T$9:$T$1008,509)</f>
        <v>210.75653982028794</v>
      </c>
      <c r="AO511">
        <f>1/(COUNT('Iter No Test'!$T$9:$T$1008)-1)+$AO$510</f>
        <v>0.5085085085085036</v>
      </c>
      <c r="AQ511">
        <f>SMALL('Iter No Test'!$W$9:$W$5008,509)</f>
        <v>110.18042972010723</v>
      </c>
      <c r="AR511">
        <f>1/(COUNT('Iter No Test'!$W$9:$W$5008)-1)+$AR$510</f>
        <v>0.1016203240648122</v>
      </c>
    </row>
    <row r="512" spans="16:44">
      <c r="P512" t="s">
        <v>42</v>
      </c>
      <c r="S512">
        <v>504</v>
      </c>
      <c r="T512">
        <v>121.3811831907787</v>
      </c>
      <c r="V512">
        <v>504</v>
      </c>
      <c r="W512">
        <v>200.01182765005052</v>
      </c>
      <c r="AN512">
        <f>SMALL('Iter No Test'!$T$9:$T$1008,510)</f>
        <v>210.83760713992271</v>
      </c>
      <c r="AO512">
        <f>1/(COUNT('Iter No Test'!$T$9:$T$1008)-1)+$AO$511</f>
        <v>0.50950950950950458</v>
      </c>
      <c r="AQ512">
        <f>SMALL('Iter No Test'!$W$9:$W$5008,510)</f>
        <v>110.29617124911786</v>
      </c>
      <c r="AR512">
        <f>1/(COUNT('Iter No Test'!$W$9:$W$5008)-1)+$AR$511</f>
        <v>0.10182036407281379</v>
      </c>
    </row>
    <row r="513" spans="16:44">
      <c r="P513" t="s">
        <v>43</v>
      </c>
      <c r="Q513" t="str">
        <f>IF(ISBLANK($B512)=TRUE,"",_xll.EDF(Q9:Q508,$B512))</f>
        <v/>
      </c>
      <c r="S513">
        <v>505</v>
      </c>
      <c r="T513">
        <v>492.66280927895718</v>
      </c>
      <c r="V513">
        <v>505</v>
      </c>
      <c r="W513">
        <v>299.46848597805575</v>
      </c>
      <c r="AN513">
        <f>SMALL('Iter No Test'!$T$9:$T$1008,511)</f>
        <v>211.04980994436789</v>
      </c>
      <c r="AO513">
        <f>1/(COUNT('Iter No Test'!$T$9:$T$1008)-1)+$AO$512</f>
        <v>0.51051051051050556</v>
      </c>
      <c r="AQ513">
        <f>SMALL('Iter No Test'!$W$9:$W$5008,511)</f>
        <v>110.38593706271521</v>
      </c>
      <c r="AR513">
        <f>1/(COUNT('Iter No Test'!$W$9:$W$5008)-1)+$AR$512</f>
        <v>0.10202040408081539</v>
      </c>
    </row>
    <row r="514" spans="16:44">
      <c r="P514" t="s">
        <v>44</v>
      </c>
      <c r="S514">
        <v>506</v>
      </c>
      <c r="T514">
        <v>160.00120561236713</v>
      </c>
      <c r="V514">
        <v>506</v>
      </c>
      <c r="W514">
        <v>237.32469099991192</v>
      </c>
      <c r="AN514">
        <f>SMALL('Iter No Test'!$T$9:$T$1008,512)</f>
        <v>211.49475282736444</v>
      </c>
      <c r="AO514">
        <f>1/(COUNT('Iter No Test'!$T$9:$T$1008)-1)+$AO$513</f>
        <v>0.51151151151150653</v>
      </c>
      <c r="AQ514">
        <f>SMALL('Iter No Test'!$W$9:$W$5008,512)</f>
        <v>110.41258644106041</v>
      </c>
      <c r="AR514">
        <f>1/(COUNT('Iter No Test'!$W$9:$W$5008)-1)+$AR$513</f>
        <v>0.10222044408881699</v>
      </c>
    </row>
    <row r="515" spans="16:44">
      <c r="P515" t="s">
        <v>45</v>
      </c>
      <c r="Q515" t="str">
        <f>IF(ISBLANK($B514)=TRUE,"",_xll.EDF(Q9:Q508,$B514))</f>
        <v/>
      </c>
      <c r="S515">
        <v>507</v>
      </c>
      <c r="T515">
        <v>342.83894769982015</v>
      </c>
      <c r="V515">
        <v>507</v>
      </c>
      <c r="W515">
        <v>266.79311497147575</v>
      </c>
      <c r="AN515">
        <f>SMALL('Iter No Test'!$T$9:$T$1008,513)</f>
        <v>211.5720359359841</v>
      </c>
      <c r="AO515">
        <f>1/(COUNT('Iter No Test'!$T$9:$T$1008)-1)+$AO$514</f>
        <v>0.51251251251250751</v>
      </c>
      <c r="AQ515">
        <f>SMALL('Iter No Test'!$W$9:$W$5008,513)</f>
        <v>110.4280456609817</v>
      </c>
      <c r="AR515">
        <f>1/(COUNT('Iter No Test'!$W$9:$W$5008)-1)+$AR$514</f>
        <v>0.10242048409681859</v>
      </c>
    </row>
    <row r="516" spans="16:44">
      <c r="P516" t="s">
        <v>46</v>
      </c>
      <c r="S516">
        <v>508</v>
      </c>
      <c r="T516">
        <v>66.241737410876297</v>
      </c>
      <c r="V516">
        <v>508</v>
      </c>
      <c r="W516">
        <v>195.57752251119524</v>
      </c>
      <c r="AN516">
        <f>SMALL('Iter No Test'!$T$9:$T$1008,514)</f>
        <v>211.80735223360313</v>
      </c>
      <c r="AO516">
        <f>1/(COUNT('Iter No Test'!$T$9:$T$1008)-1)+$AO$515</f>
        <v>0.51351351351350849</v>
      </c>
      <c r="AQ516">
        <f>SMALL('Iter No Test'!$W$9:$W$5008,514)</f>
        <v>110.47600185675184</v>
      </c>
      <c r="AR516">
        <f>1/(COUNT('Iter No Test'!$W$9:$W$5008)-1)+$AR$515</f>
        <v>0.10262052410482018</v>
      </c>
    </row>
    <row r="517" spans="16:44">
      <c r="P517" t="s">
        <v>47</v>
      </c>
      <c r="Q517" t="str">
        <f>IF(ISBLANK($B516)=TRUE,"",_xll.EDF(Q9:Q508,$B516))</f>
        <v/>
      </c>
      <c r="S517">
        <v>509</v>
      </c>
      <c r="T517">
        <v>111.55833992551983</v>
      </c>
      <c r="V517">
        <v>509</v>
      </c>
      <c r="W517">
        <v>200.61897869269836</v>
      </c>
      <c r="AN517">
        <f>SMALL('Iter No Test'!$T$9:$T$1008,515)</f>
        <v>212.97760095383512</v>
      </c>
      <c r="AO517">
        <f>1/(COUNT('Iter No Test'!$T$9:$T$1008)-1)+$AO$516</f>
        <v>0.51451451451450947</v>
      </c>
      <c r="AQ517">
        <f>SMALL('Iter No Test'!$W$9:$W$5008,515)</f>
        <v>110.7387572502512</v>
      </c>
      <c r="AR517">
        <f>1/(COUNT('Iter No Test'!$W$9:$W$5008)-1)+$AR$516</f>
        <v>0.10282056411282178</v>
      </c>
    </row>
    <row r="518" spans="16:44">
      <c r="P518" t="s">
        <v>48</v>
      </c>
      <c r="S518">
        <v>510</v>
      </c>
      <c r="T518">
        <v>220.56781623580375</v>
      </c>
      <c r="V518">
        <v>510</v>
      </c>
      <c r="W518">
        <v>145.72952489158064</v>
      </c>
      <c r="AN518">
        <f>SMALL('Iter No Test'!$T$9:$T$1008,516)</f>
        <v>213.07922769527357</v>
      </c>
      <c r="AO518">
        <f>1/(COUNT('Iter No Test'!$T$9:$T$1008)-1)+$AO$517</f>
        <v>0.51551551551551045</v>
      </c>
      <c r="AQ518">
        <f>SMALL('Iter No Test'!$W$9:$W$5008,516)</f>
        <v>110.76713436363316</v>
      </c>
      <c r="AR518">
        <f>1/(COUNT('Iter No Test'!$W$9:$W$5008)-1)+$AR$517</f>
        <v>0.10302060412082338</v>
      </c>
    </row>
    <row r="519" spans="16:44">
      <c r="P519" t="s">
        <v>49</v>
      </c>
      <c r="Q519" t="str">
        <f>IF(ISBLANK($B518)=TRUE,"",_xll.EDF(Q9:Q508,$B518))</f>
        <v/>
      </c>
      <c r="S519">
        <v>511</v>
      </c>
      <c r="T519">
        <v>143.63946739831474</v>
      </c>
      <c r="V519">
        <v>511</v>
      </c>
      <c r="W519">
        <v>236.48592152579329</v>
      </c>
      <c r="AN519">
        <f>SMALL('Iter No Test'!$T$9:$T$1008,517)</f>
        <v>213.39291656764129</v>
      </c>
      <c r="AO519">
        <f>1/(COUNT('Iter No Test'!$T$9:$T$1008)-1)+$AO$518</f>
        <v>0.51651651651651143</v>
      </c>
      <c r="AQ519">
        <f>SMALL('Iter No Test'!$W$9:$W$5008,517)</f>
        <v>110.78707386425988</v>
      </c>
      <c r="AR519">
        <f>1/(COUNT('Iter No Test'!$W$9:$W$5008)-1)+$AR$518</f>
        <v>0.10322064412882498</v>
      </c>
    </row>
    <row r="520" spans="16:44">
      <c r="S520">
        <v>512</v>
      </c>
      <c r="T520">
        <v>191.98245298635106</v>
      </c>
      <c r="V520">
        <v>512</v>
      </c>
      <c r="W520">
        <v>202.78788811198677</v>
      </c>
      <c r="AN520">
        <f>SMALL('Iter No Test'!$T$9:$T$1008,518)</f>
        <v>213.55943878558108</v>
      </c>
      <c r="AO520">
        <f>1/(COUNT('Iter No Test'!$T$9:$T$1008)-1)+$AO$519</f>
        <v>0.5175175175175124</v>
      </c>
      <c r="AQ520">
        <f>SMALL('Iter No Test'!$W$9:$W$5008,518)</f>
        <v>110.8908215930245</v>
      </c>
      <c r="AR520">
        <f>1/(COUNT('Iter No Test'!$W$9:$W$5008)-1)+$AR$519</f>
        <v>0.10342068413682658</v>
      </c>
    </row>
    <row r="521" spans="16:44">
      <c r="S521">
        <v>513</v>
      </c>
      <c r="T521">
        <v>222.68211596652472</v>
      </c>
      <c r="V521">
        <v>513</v>
      </c>
      <c r="W521">
        <v>108.3082817720526</v>
      </c>
      <c r="AN521">
        <f>SMALL('Iter No Test'!$T$9:$T$1008,519)</f>
        <v>213.75887023309636</v>
      </c>
      <c r="AO521">
        <f>1/(COUNT('Iter No Test'!$T$9:$T$1008)-1)+$AO$520</f>
        <v>0.51851851851851338</v>
      </c>
      <c r="AQ521">
        <f>SMALL('Iter No Test'!$W$9:$W$5008,519)</f>
        <v>110.89491477044847</v>
      </c>
      <c r="AR521">
        <f>1/(COUNT('Iter No Test'!$W$9:$W$5008)-1)+$AR$520</f>
        <v>0.10362072414482817</v>
      </c>
    </row>
    <row r="522" spans="16:44">
      <c r="S522">
        <v>514</v>
      </c>
      <c r="T522">
        <v>38.961291567860101</v>
      </c>
      <c r="V522">
        <v>514</v>
      </c>
      <c r="W522">
        <v>193.50659071077052</v>
      </c>
      <c r="AN522">
        <f>SMALL('Iter No Test'!$T$9:$T$1008,520)</f>
        <v>213.82076822451438</v>
      </c>
      <c r="AO522">
        <f>1/(COUNT('Iter No Test'!$T$9:$T$1008)-1)+$AO$521</f>
        <v>0.51951951951951436</v>
      </c>
      <c r="AQ522">
        <f>SMALL('Iter No Test'!$W$9:$W$5008,520)</f>
        <v>110.91783801211533</v>
      </c>
      <c r="AR522">
        <f>1/(COUNT('Iter No Test'!$W$9:$W$5008)-1)+$AR$521</f>
        <v>0.10382076415282977</v>
      </c>
    </row>
    <row r="523" spans="16:44">
      <c r="S523">
        <v>515</v>
      </c>
      <c r="T523">
        <v>91.635745545171062</v>
      </c>
      <c r="V523">
        <v>515</v>
      </c>
      <c r="W523">
        <v>335.14472310059875</v>
      </c>
      <c r="AN523">
        <f>SMALL('Iter No Test'!$T$9:$T$1008,521)</f>
        <v>214.53267397207699</v>
      </c>
      <c r="AO523">
        <f>1/(COUNT('Iter No Test'!$T$9:$T$1008)-1)+$AO$522</f>
        <v>0.52052052052051534</v>
      </c>
      <c r="AQ523">
        <f>SMALL('Iter No Test'!$W$9:$W$5008,521)</f>
        <v>111.13438694564158</v>
      </c>
      <c r="AR523">
        <f>1/(COUNT('Iter No Test'!$W$9:$W$5008)-1)+$AR$522</f>
        <v>0.10402080416083137</v>
      </c>
    </row>
    <row r="524" spans="16:44">
      <c r="S524">
        <v>516</v>
      </c>
      <c r="T524">
        <v>101.27393340848579</v>
      </c>
      <c r="V524">
        <v>516</v>
      </c>
      <c r="W524">
        <v>60.266183121924485</v>
      </c>
      <c r="AN524">
        <f>SMALL('Iter No Test'!$T$9:$T$1008,522)</f>
        <v>214.63866493543694</v>
      </c>
      <c r="AO524">
        <f>1/(COUNT('Iter No Test'!$T$9:$T$1008)-1)+$AO$523</f>
        <v>0.52152152152151632</v>
      </c>
      <c r="AQ524">
        <f>SMALL('Iter No Test'!$W$9:$W$5008,522)</f>
        <v>111.14423090311465</v>
      </c>
      <c r="AR524">
        <f>1/(COUNT('Iter No Test'!$W$9:$W$5008)-1)+$AR$523</f>
        <v>0.10422084416883297</v>
      </c>
    </row>
    <row r="525" spans="16:44">
      <c r="S525">
        <v>517</v>
      </c>
      <c r="T525">
        <v>161.85120899519274</v>
      </c>
      <c r="V525">
        <v>517</v>
      </c>
      <c r="W525">
        <v>168.57876887464812</v>
      </c>
      <c r="AN525">
        <f>SMALL('Iter No Test'!$T$9:$T$1008,523)</f>
        <v>214.96488685017619</v>
      </c>
      <c r="AO525">
        <f>1/(COUNT('Iter No Test'!$T$9:$T$1008)-1)+$AO$524</f>
        <v>0.5225225225225173</v>
      </c>
      <c r="AQ525">
        <f>SMALL('Iter No Test'!$W$9:$W$5008,523)</f>
        <v>111.15494946317773</v>
      </c>
      <c r="AR525">
        <f>1/(COUNT('Iter No Test'!$W$9:$W$5008)-1)+$AR$524</f>
        <v>0.10442088417683457</v>
      </c>
    </row>
    <row r="526" spans="16:44">
      <c r="S526">
        <v>518</v>
      </c>
      <c r="T526">
        <v>166.00551004857121</v>
      </c>
      <c r="V526">
        <v>518</v>
      </c>
      <c r="W526">
        <v>107.59730647760416</v>
      </c>
      <c r="AN526">
        <f>SMALL('Iter No Test'!$T$9:$T$1008,524)</f>
        <v>215.64126875843115</v>
      </c>
      <c r="AO526">
        <f>1/(COUNT('Iter No Test'!$T$9:$T$1008)-1)+$AO$525</f>
        <v>0.52352352352351827</v>
      </c>
      <c r="AQ526">
        <f>SMALL('Iter No Test'!$W$9:$W$5008,524)</f>
        <v>111.264880264493</v>
      </c>
      <c r="AR526">
        <f>1/(COUNT('Iter No Test'!$W$9:$W$5008)-1)+$AR$525</f>
        <v>0.10462092418483616</v>
      </c>
    </row>
    <row r="527" spans="16:44">
      <c r="S527">
        <v>519</v>
      </c>
      <c r="T527">
        <v>156.20688531324853</v>
      </c>
      <c r="V527">
        <v>519</v>
      </c>
      <c r="W527">
        <v>177.74330731819578</v>
      </c>
      <c r="AN527">
        <f>SMALL('Iter No Test'!$T$9:$T$1008,525)</f>
        <v>215.78756701728068</v>
      </c>
      <c r="AO527">
        <f>1/(COUNT('Iter No Test'!$T$9:$T$1008)-1)+$AO$526</f>
        <v>0.52452452452451925</v>
      </c>
      <c r="AQ527">
        <f>SMALL('Iter No Test'!$W$9:$W$5008,525)</f>
        <v>111.36492004797232</v>
      </c>
      <c r="AR527">
        <f>1/(COUNT('Iter No Test'!$W$9:$W$5008)-1)+$AR$526</f>
        <v>0.10482096419283776</v>
      </c>
    </row>
    <row r="528" spans="16:44">
      <c r="S528">
        <v>520</v>
      </c>
      <c r="T528">
        <v>197.57823999436653</v>
      </c>
      <c r="V528">
        <v>520</v>
      </c>
      <c r="W528">
        <v>201.38438386348301</v>
      </c>
      <c r="AN528">
        <f>SMALL('Iter No Test'!$T$9:$T$1008,526)</f>
        <v>216.63943925568518</v>
      </c>
      <c r="AO528">
        <f>1/(COUNT('Iter No Test'!$T$9:$T$1008)-1)+$AO$527</f>
        <v>0.52552552552552023</v>
      </c>
      <c r="AQ528">
        <f>SMALL('Iter No Test'!$W$9:$W$5008,526)</f>
        <v>111.395332693505</v>
      </c>
      <c r="AR528">
        <f>1/(COUNT('Iter No Test'!$W$9:$W$5008)-1)+$AR$527</f>
        <v>0.10502100420083936</v>
      </c>
    </row>
    <row r="529" spans="19:44">
      <c r="S529">
        <v>521</v>
      </c>
      <c r="T529">
        <v>413.36605862969577</v>
      </c>
      <c r="V529">
        <v>521</v>
      </c>
      <c r="W529">
        <v>63.944377847923676</v>
      </c>
      <c r="AN529">
        <f>SMALL('Iter No Test'!$T$9:$T$1008,527)</f>
        <v>216.67084053068606</v>
      </c>
      <c r="AO529">
        <f>1/(COUNT('Iter No Test'!$T$9:$T$1008)-1)+$AO$528</f>
        <v>0.52652652652652121</v>
      </c>
      <c r="AQ529">
        <f>SMALL('Iter No Test'!$W$9:$W$5008,527)</f>
        <v>111.48201107482055</v>
      </c>
      <c r="AR529">
        <f>1/(COUNT('Iter No Test'!$W$9:$W$5008)-1)+$AR$528</f>
        <v>0.10522104420884096</v>
      </c>
    </row>
    <row r="530" spans="19:44">
      <c r="S530">
        <v>522</v>
      </c>
      <c r="T530">
        <v>220.8142984082105</v>
      </c>
      <c r="V530">
        <v>522</v>
      </c>
      <c r="W530">
        <v>190.9081953711796</v>
      </c>
      <c r="AN530">
        <f>SMALL('Iter No Test'!$T$9:$T$1008,528)</f>
        <v>216.7801599567407</v>
      </c>
      <c r="AO530">
        <f>1/(COUNT('Iter No Test'!$T$9:$T$1008)-1)+$AO$529</f>
        <v>0.52752752752752219</v>
      </c>
      <c r="AQ530">
        <f>SMALL('Iter No Test'!$W$9:$W$5008,528)</f>
        <v>111.48837472862863</v>
      </c>
      <c r="AR530">
        <f>1/(COUNT('Iter No Test'!$W$9:$W$5008)-1)+$AR$529</f>
        <v>0.10542108421684256</v>
      </c>
    </row>
    <row r="531" spans="19:44">
      <c r="S531">
        <v>523</v>
      </c>
      <c r="T531">
        <v>147.51038668421788</v>
      </c>
      <c r="V531">
        <v>523</v>
      </c>
      <c r="W531">
        <v>142.98683343156088</v>
      </c>
      <c r="AN531">
        <f>SMALL('Iter No Test'!$T$9:$T$1008,529)</f>
        <v>217.01301632215086</v>
      </c>
      <c r="AO531">
        <f>1/(COUNT('Iter No Test'!$T$9:$T$1008)-1)+$AO$530</f>
        <v>0.52852852852852317</v>
      </c>
      <c r="AQ531">
        <f>SMALL('Iter No Test'!$W$9:$W$5008,529)</f>
        <v>111.50516521584032</v>
      </c>
      <c r="AR531">
        <f>1/(COUNT('Iter No Test'!$W$9:$W$5008)-1)+$AR$530</f>
        <v>0.10562112422484415</v>
      </c>
    </row>
    <row r="532" spans="19:44">
      <c r="S532">
        <v>524</v>
      </c>
      <c r="T532">
        <v>264.13654500518055</v>
      </c>
      <c r="V532">
        <v>524</v>
      </c>
      <c r="W532">
        <v>129.26837710694494</v>
      </c>
      <c r="AN532">
        <f>SMALL('Iter No Test'!$T$9:$T$1008,530)</f>
        <v>217.24412808105336</v>
      </c>
      <c r="AO532">
        <f>1/(COUNT('Iter No Test'!$T$9:$T$1008)-1)+$AO$531</f>
        <v>0.52952952952952415</v>
      </c>
      <c r="AQ532">
        <f>SMALL('Iter No Test'!$W$9:$W$5008,530)</f>
        <v>111.56178544021296</v>
      </c>
      <c r="AR532">
        <f>1/(COUNT('Iter No Test'!$W$9:$W$5008)-1)+$AR$531</f>
        <v>0.10582116423284575</v>
      </c>
    </row>
    <row r="533" spans="19:44">
      <c r="S533">
        <v>525</v>
      </c>
      <c r="T533">
        <v>271.34208581173743</v>
      </c>
      <c r="V533">
        <v>525</v>
      </c>
      <c r="W533">
        <v>204.21163990852213</v>
      </c>
      <c r="AN533">
        <f>SMALL('Iter No Test'!$T$9:$T$1008,531)</f>
        <v>217.35481329653697</v>
      </c>
      <c r="AO533">
        <f>1/(COUNT('Iter No Test'!$T$9:$T$1008)-1)+$AO$532</f>
        <v>0.53053053053052512</v>
      </c>
      <c r="AQ533">
        <f>SMALL('Iter No Test'!$W$9:$W$5008,531)</f>
        <v>111.65052161005707</v>
      </c>
      <c r="AR533">
        <f>1/(COUNT('Iter No Test'!$W$9:$W$5008)-1)+$AR$532</f>
        <v>0.10602120424084735</v>
      </c>
    </row>
    <row r="534" spans="19:44">
      <c r="S534">
        <v>526</v>
      </c>
      <c r="T534">
        <v>304.47068321639313</v>
      </c>
      <c r="V534">
        <v>526</v>
      </c>
      <c r="W534">
        <v>302.91354016300556</v>
      </c>
      <c r="AN534">
        <f>SMALL('Iter No Test'!$T$9:$T$1008,532)</f>
        <v>217.82094499769724</v>
      </c>
      <c r="AO534">
        <f>1/(COUNT('Iter No Test'!$T$9:$T$1008)-1)+$AO$533</f>
        <v>0.5315315315315261</v>
      </c>
      <c r="AQ534">
        <f>SMALL('Iter No Test'!$W$9:$W$5008,532)</f>
        <v>111.77670262535938</v>
      </c>
      <c r="AR534">
        <f>1/(COUNT('Iter No Test'!$W$9:$W$5008)-1)+$AR$533</f>
        <v>0.10622124424884895</v>
      </c>
    </row>
    <row r="535" spans="19:44">
      <c r="S535">
        <v>527</v>
      </c>
      <c r="T535">
        <v>189.79203070719598</v>
      </c>
      <c r="V535">
        <v>527</v>
      </c>
      <c r="W535">
        <v>374.58280849891679</v>
      </c>
      <c r="AN535">
        <f>SMALL('Iter No Test'!$T$9:$T$1008,533)</f>
        <v>217.84275372574047</v>
      </c>
      <c r="AO535">
        <f>1/(COUNT('Iter No Test'!$T$9:$T$1008)-1)+$AO$534</f>
        <v>0.53253253253252708</v>
      </c>
      <c r="AQ535">
        <f>SMALL('Iter No Test'!$W$9:$W$5008,533)</f>
        <v>111.89580253355199</v>
      </c>
      <c r="AR535">
        <f>1/(COUNT('Iter No Test'!$W$9:$W$5008)-1)+$AR$534</f>
        <v>0.10642128425685055</v>
      </c>
    </row>
    <row r="536" spans="19:44">
      <c r="S536">
        <v>528</v>
      </c>
      <c r="T536">
        <v>274.17942949097085</v>
      </c>
      <c r="V536">
        <v>528</v>
      </c>
      <c r="W536">
        <v>141.66972018217035</v>
      </c>
      <c r="AN536">
        <f>SMALL('Iter No Test'!$T$9:$T$1008,534)</f>
        <v>217.95403293359567</v>
      </c>
      <c r="AO536">
        <f>1/(COUNT('Iter No Test'!$T$9:$T$1008)-1)+$AO$535</f>
        <v>0.53353353353352806</v>
      </c>
      <c r="AQ536">
        <f>SMALL('Iter No Test'!$W$9:$W$5008,534)</f>
        <v>112.01056021239295</v>
      </c>
      <c r="AR536">
        <f>1/(COUNT('Iter No Test'!$W$9:$W$5008)-1)+$AR$535</f>
        <v>0.10662132426485214</v>
      </c>
    </row>
    <row r="537" spans="19:44">
      <c r="S537">
        <v>529</v>
      </c>
      <c r="T537">
        <v>261.33078720902847</v>
      </c>
      <c r="V537">
        <v>529</v>
      </c>
      <c r="W537">
        <v>434.18841030245824</v>
      </c>
      <c r="AN537">
        <f>SMALL('Iter No Test'!$T$9:$T$1008,535)</f>
        <v>218.15789493995271</v>
      </c>
      <c r="AO537">
        <f>1/(COUNT('Iter No Test'!$T$9:$T$1008)-1)+$AO$536</f>
        <v>0.53453453453452904</v>
      </c>
      <c r="AQ537">
        <f>SMALL('Iter No Test'!$W$9:$W$5008,535)</f>
        <v>112.10424072113848</v>
      </c>
      <c r="AR537">
        <f>1/(COUNT('Iter No Test'!$W$9:$W$5008)-1)+$AR$536</f>
        <v>0.10682136427285374</v>
      </c>
    </row>
    <row r="538" spans="19:44">
      <c r="S538">
        <v>530</v>
      </c>
      <c r="T538">
        <v>225.05073993765444</v>
      </c>
      <c r="V538">
        <v>530</v>
      </c>
      <c r="W538">
        <v>97.691987672761542</v>
      </c>
      <c r="AN538">
        <f>SMALL('Iter No Test'!$T$9:$T$1008,536)</f>
        <v>218.28261480669124</v>
      </c>
      <c r="AO538">
        <f>1/(COUNT('Iter No Test'!$T$9:$T$1008)-1)+$AO$537</f>
        <v>0.53553553553553002</v>
      </c>
      <c r="AQ538">
        <f>SMALL('Iter No Test'!$W$9:$W$5008,536)</f>
        <v>112.17939382600662</v>
      </c>
      <c r="AR538">
        <f>1/(COUNT('Iter No Test'!$W$9:$W$5008)-1)+$AR$537</f>
        <v>0.10702140428085534</v>
      </c>
    </row>
    <row r="539" spans="19:44">
      <c r="S539">
        <v>531</v>
      </c>
      <c r="T539">
        <v>185.41728781076046</v>
      </c>
      <c r="V539">
        <v>531</v>
      </c>
      <c r="W539">
        <v>338.94775772624951</v>
      </c>
      <c r="AN539">
        <f>SMALL('Iter No Test'!$T$9:$T$1008,537)</f>
        <v>218.67872671545868</v>
      </c>
      <c r="AO539">
        <f>1/(COUNT('Iter No Test'!$T$9:$T$1008)-1)+$AO$538</f>
        <v>0.53653653653653099</v>
      </c>
      <c r="AQ539">
        <f>SMALL('Iter No Test'!$W$9:$W$5008,537)</f>
        <v>112.34320247241254</v>
      </c>
      <c r="AR539">
        <f>1/(COUNT('Iter No Test'!$W$9:$W$5008)-1)+$AR$538</f>
        <v>0.10722144428885694</v>
      </c>
    </row>
    <row r="540" spans="19:44">
      <c r="S540">
        <v>532</v>
      </c>
      <c r="T540">
        <v>210.66446821999449</v>
      </c>
      <c r="V540">
        <v>532</v>
      </c>
      <c r="W540">
        <v>449.85144695121846</v>
      </c>
      <c r="AN540">
        <f>SMALL('Iter No Test'!$T$9:$T$1008,538)</f>
        <v>218.74746574894493</v>
      </c>
      <c r="AO540">
        <f>1/(COUNT('Iter No Test'!$T$9:$T$1008)-1)+$AO$539</f>
        <v>0.53753753753753197</v>
      </c>
      <c r="AQ540">
        <f>SMALL('Iter No Test'!$W$9:$W$5008,538)</f>
        <v>112.41023236878658</v>
      </c>
      <c r="AR540">
        <f>1/(COUNT('Iter No Test'!$W$9:$W$5008)-1)+$AR$539</f>
        <v>0.10742148429685854</v>
      </c>
    </row>
    <row r="541" spans="19:44">
      <c r="S541">
        <v>533</v>
      </c>
      <c r="T541">
        <v>267.52273034527587</v>
      </c>
      <c r="V541">
        <v>533</v>
      </c>
      <c r="W541">
        <v>189.2748009272928</v>
      </c>
      <c r="AN541">
        <f>SMALL('Iter No Test'!$T$9:$T$1008,539)</f>
        <v>218.8519589081038</v>
      </c>
      <c r="AO541">
        <f>1/(COUNT('Iter No Test'!$T$9:$T$1008)-1)+$AO$540</f>
        <v>0.53853853853853295</v>
      </c>
      <c r="AQ541">
        <f>SMALL('Iter No Test'!$W$9:$W$5008,539)</f>
        <v>112.42627458684967</v>
      </c>
      <c r="AR541">
        <f>1/(COUNT('Iter No Test'!$W$9:$W$5008)-1)+$AR$540</f>
        <v>0.10762152430486013</v>
      </c>
    </row>
    <row r="542" spans="19:44">
      <c r="S542">
        <v>534</v>
      </c>
      <c r="T542">
        <v>119.66735365826419</v>
      </c>
      <c r="V542">
        <v>534</v>
      </c>
      <c r="W542">
        <v>235.35318095188171</v>
      </c>
      <c r="AN542">
        <f>SMALL('Iter No Test'!$T$9:$T$1008,540)</f>
        <v>219.41240673306189</v>
      </c>
      <c r="AO542">
        <f>1/(COUNT('Iter No Test'!$T$9:$T$1008)-1)+$AO$541</f>
        <v>0.53953953953953393</v>
      </c>
      <c r="AQ542">
        <f>SMALL('Iter No Test'!$W$9:$W$5008,540)</f>
        <v>112.46390818076057</v>
      </c>
      <c r="AR542">
        <f>1/(COUNT('Iter No Test'!$W$9:$W$5008)-1)+$AR$541</f>
        <v>0.10782156431286173</v>
      </c>
    </row>
    <row r="543" spans="19:44">
      <c r="S543">
        <v>535</v>
      </c>
      <c r="T543">
        <v>83.645933747310266</v>
      </c>
      <c r="V543">
        <v>535</v>
      </c>
      <c r="W543">
        <v>48.306553074290321</v>
      </c>
      <c r="AN543">
        <f>SMALL('Iter No Test'!$T$9:$T$1008,541)</f>
        <v>220.45753851041775</v>
      </c>
      <c r="AO543">
        <f>1/(COUNT('Iter No Test'!$T$9:$T$1008)-1)+$AO$542</f>
        <v>0.54054054054053491</v>
      </c>
      <c r="AQ543">
        <f>SMALL('Iter No Test'!$W$9:$W$5008,541)</f>
        <v>112.46810358373574</v>
      </c>
      <c r="AR543">
        <f>1/(COUNT('Iter No Test'!$W$9:$W$5008)-1)+$AR$542</f>
        <v>0.10802160432086333</v>
      </c>
    </row>
    <row r="544" spans="19:44">
      <c r="S544">
        <v>536</v>
      </c>
      <c r="T544">
        <v>321.57883555335621</v>
      </c>
      <c r="V544">
        <v>536</v>
      </c>
      <c r="W544">
        <v>150.76231051738804</v>
      </c>
      <c r="AN544">
        <f>SMALL('Iter No Test'!$T$9:$T$1008,542)</f>
        <v>220.54692094679217</v>
      </c>
      <c r="AO544">
        <f>1/(COUNT('Iter No Test'!$T$9:$T$1008)-1)+$AO$543</f>
        <v>0.54154154154153589</v>
      </c>
      <c r="AQ544">
        <f>SMALL('Iter No Test'!$W$9:$W$5008,542)</f>
        <v>112.50741997731708</v>
      </c>
      <c r="AR544">
        <f>1/(COUNT('Iter No Test'!$W$9:$W$5008)-1)+$AR$543</f>
        <v>0.10822164432886493</v>
      </c>
    </row>
    <row r="545" spans="19:44">
      <c r="S545">
        <v>537</v>
      </c>
      <c r="T545">
        <v>287.53094304314482</v>
      </c>
      <c r="V545">
        <v>537</v>
      </c>
      <c r="W545">
        <v>233.64953148971406</v>
      </c>
      <c r="AN545">
        <f>SMALL('Iter No Test'!$T$9:$T$1008,543)</f>
        <v>220.56781623580375</v>
      </c>
      <c r="AO545">
        <f>1/(COUNT('Iter No Test'!$T$9:$T$1008)-1)+$AO$544</f>
        <v>0.54254254254253687</v>
      </c>
      <c r="AQ545">
        <f>SMALL('Iter No Test'!$W$9:$W$5008,543)</f>
        <v>112.53030065314074</v>
      </c>
      <c r="AR545">
        <f>1/(COUNT('Iter No Test'!$W$9:$W$5008)-1)+$AR$544</f>
        <v>0.10842168433686653</v>
      </c>
    </row>
    <row r="546" spans="19:44">
      <c r="S546">
        <v>538</v>
      </c>
      <c r="T546">
        <v>176.78487804703988</v>
      </c>
      <c r="V546">
        <v>538</v>
      </c>
      <c r="W546">
        <v>311.73328489825616</v>
      </c>
      <c r="AN546">
        <f>SMALL('Iter No Test'!$T$9:$T$1008,544)</f>
        <v>220.8142984082105</v>
      </c>
      <c r="AO546">
        <f>1/(COUNT('Iter No Test'!$T$9:$T$1008)-1)+$AO$545</f>
        <v>0.54354354354353784</v>
      </c>
      <c r="AQ546">
        <f>SMALL('Iter No Test'!$W$9:$W$5008,544)</f>
        <v>112.53292710915518</v>
      </c>
      <c r="AR546">
        <f>1/(COUNT('Iter No Test'!$W$9:$W$5008)-1)+$AR$545</f>
        <v>0.10862172434486812</v>
      </c>
    </row>
    <row r="547" spans="19:44">
      <c r="S547">
        <v>539</v>
      </c>
      <c r="T547">
        <v>318.96782269265486</v>
      </c>
      <c r="V547">
        <v>539</v>
      </c>
      <c r="W547">
        <v>222.02803289413822</v>
      </c>
      <c r="AN547">
        <f>SMALL('Iter No Test'!$T$9:$T$1008,545)</f>
        <v>221.20891259853747</v>
      </c>
      <c r="AO547">
        <f>1/(COUNT('Iter No Test'!$T$9:$T$1008)-1)+$AO$546</f>
        <v>0.54454454454453882</v>
      </c>
      <c r="AQ547">
        <f>SMALL('Iter No Test'!$W$9:$W$5008,545)</f>
        <v>112.547074863752</v>
      </c>
      <c r="AR547">
        <f>1/(COUNT('Iter No Test'!$W$9:$W$5008)-1)+$AR$546</f>
        <v>0.10882176435286972</v>
      </c>
    </row>
    <row r="548" spans="19:44">
      <c r="S548">
        <v>540</v>
      </c>
      <c r="T548">
        <v>231.47931462677107</v>
      </c>
      <c r="V548">
        <v>540</v>
      </c>
      <c r="W548">
        <v>218.65714446017091</v>
      </c>
      <c r="AN548">
        <f>SMALL('Iter No Test'!$T$9:$T$1008,546)</f>
        <v>221.29943400622994</v>
      </c>
      <c r="AO548">
        <f>1/(COUNT('Iter No Test'!$T$9:$T$1008)-1)+$AO$547</f>
        <v>0.5455455455455398</v>
      </c>
      <c r="AQ548">
        <f>SMALL('Iter No Test'!$W$9:$W$5008,546)</f>
        <v>112.67254432089791</v>
      </c>
      <c r="AR548">
        <f>1/(COUNT('Iter No Test'!$W$9:$W$5008)-1)+$AR$547</f>
        <v>0.10902180436087132</v>
      </c>
    </row>
    <row r="549" spans="19:44">
      <c r="S549">
        <v>541</v>
      </c>
      <c r="T549">
        <v>342.71333085533917</v>
      </c>
      <c r="V549">
        <v>541</v>
      </c>
      <c r="W549">
        <v>174.89940577972871</v>
      </c>
      <c r="AN549">
        <f>SMALL('Iter No Test'!$T$9:$T$1008,547)</f>
        <v>221.34046208663116</v>
      </c>
      <c r="AO549">
        <f>1/(COUNT('Iter No Test'!$T$9:$T$1008)-1)+$AO$548</f>
        <v>0.54654654654654078</v>
      </c>
      <c r="AQ549">
        <f>SMALL('Iter No Test'!$W$9:$W$5008,547)</f>
        <v>112.7699122874008</v>
      </c>
      <c r="AR549">
        <f>1/(COUNT('Iter No Test'!$W$9:$W$5008)-1)+$AR$548</f>
        <v>0.10922184436887292</v>
      </c>
    </row>
    <row r="550" spans="19:44">
      <c r="S550">
        <v>542</v>
      </c>
      <c r="T550">
        <v>294.62409791516586</v>
      </c>
      <c r="V550">
        <v>542</v>
      </c>
      <c r="W550">
        <v>344.21274683976458</v>
      </c>
      <c r="AN550">
        <f>SMALL('Iter No Test'!$T$9:$T$1008,548)</f>
        <v>221.38091171955628</v>
      </c>
      <c r="AO550">
        <f>1/(COUNT('Iter No Test'!$T$9:$T$1008)-1)+$AO$549</f>
        <v>0.54754754754754176</v>
      </c>
      <c r="AQ550">
        <f>SMALL('Iter No Test'!$W$9:$W$5008,548)</f>
        <v>112.81429635479016</v>
      </c>
      <c r="AR550">
        <f>1/(COUNT('Iter No Test'!$W$9:$W$5008)-1)+$AR$549</f>
        <v>0.10942188437687451</v>
      </c>
    </row>
    <row r="551" spans="19:44">
      <c r="S551">
        <v>543</v>
      </c>
      <c r="T551">
        <v>164.31463292740955</v>
      </c>
      <c r="V551">
        <v>543</v>
      </c>
      <c r="W551">
        <v>225.13417793332067</v>
      </c>
      <c r="AN551">
        <f>SMALL('Iter No Test'!$T$9:$T$1008,549)</f>
        <v>221.40946226758439</v>
      </c>
      <c r="AO551">
        <f>1/(COUNT('Iter No Test'!$T$9:$T$1008)-1)+$AO$550</f>
        <v>0.54854854854854274</v>
      </c>
      <c r="AQ551">
        <f>SMALL('Iter No Test'!$W$9:$W$5008,549)</f>
        <v>112.86870235854572</v>
      </c>
      <c r="AR551">
        <f>1/(COUNT('Iter No Test'!$W$9:$W$5008)-1)+$AR$550</f>
        <v>0.10962192438487611</v>
      </c>
    </row>
    <row r="552" spans="19:44">
      <c r="S552">
        <v>544</v>
      </c>
      <c r="T552">
        <v>81.385394863626473</v>
      </c>
      <c r="V552">
        <v>544</v>
      </c>
      <c r="W552">
        <v>221.89872222822348</v>
      </c>
      <c r="AN552">
        <f>SMALL('Iter No Test'!$T$9:$T$1008,550)</f>
        <v>221.66536185983824</v>
      </c>
      <c r="AO552">
        <f>1/(COUNT('Iter No Test'!$T$9:$T$1008)-1)+$AO$551</f>
        <v>0.54954954954954371</v>
      </c>
      <c r="AQ552">
        <f>SMALL('Iter No Test'!$W$9:$W$5008,550)</f>
        <v>112.92909237764815</v>
      </c>
      <c r="AR552">
        <f>1/(COUNT('Iter No Test'!$W$9:$W$5008)-1)+$AR$551</f>
        <v>0.10982196439287771</v>
      </c>
    </row>
    <row r="553" spans="19:44">
      <c r="S553">
        <v>545</v>
      </c>
      <c r="T553">
        <v>288.9378457832247</v>
      </c>
      <c r="V553">
        <v>545</v>
      </c>
      <c r="W553">
        <v>218.82473038832197</v>
      </c>
      <c r="AN553">
        <f>SMALL('Iter No Test'!$T$9:$T$1008,551)</f>
        <v>221.87339472381476</v>
      </c>
      <c r="AO553">
        <f>1/(COUNT('Iter No Test'!$T$9:$T$1008)-1)+$AO$552</f>
        <v>0.55055055055054469</v>
      </c>
      <c r="AQ553">
        <f>SMALL('Iter No Test'!$W$9:$W$5008,551)</f>
        <v>112.99545925410777</v>
      </c>
      <c r="AR553">
        <f>1/(COUNT('Iter No Test'!$W$9:$W$5008)-1)+$AR$552</f>
        <v>0.11002200440087931</v>
      </c>
    </row>
    <row r="554" spans="19:44">
      <c r="S554">
        <v>546</v>
      </c>
      <c r="T554">
        <v>75.749480642244961</v>
      </c>
      <c r="V554">
        <v>546</v>
      </c>
      <c r="W554">
        <v>132.75951955291248</v>
      </c>
      <c r="AN554">
        <f>SMALL('Iter No Test'!$T$9:$T$1008,552)</f>
        <v>222.56994239050309</v>
      </c>
      <c r="AO554">
        <f>1/(COUNT('Iter No Test'!$T$9:$T$1008)-1)+$AO$553</f>
        <v>0.55155155155154567</v>
      </c>
      <c r="AQ554">
        <f>SMALL('Iter No Test'!$W$9:$W$5008,552)</f>
        <v>113.20008363528598</v>
      </c>
      <c r="AR554">
        <f>1/(COUNT('Iter No Test'!$W$9:$W$5008)-1)+$AR$553</f>
        <v>0.11022204440888091</v>
      </c>
    </row>
    <row r="555" spans="19:44">
      <c r="S555">
        <v>547</v>
      </c>
      <c r="T555">
        <v>235.14887999021332</v>
      </c>
      <c r="V555">
        <v>547</v>
      </c>
      <c r="W555">
        <v>210.13983358408575</v>
      </c>
      <c r="AN555">
        <f>SMALL('Iter No Test'!$T$9:$T$1008,553)</f>
        <v>222.65477858033606</v>
      </c>
      <c r="AO555">
        <f>1/(COUNT('Iter No Test'!$T$9:$T$1008)-1)+$AO$554</f>
        <v>0.55255255255254665</v>
      </c>
      <c r="AQ555">
        <f>SMALL('Iter No Test'!$W$9:$W$5008,553)</f>
        <v>113.20674907008718</v>
      </c>
      <c r="AR555">
        <f>1/(COUNT('Iter No Test'!$W$9:$W$5008)-1)+$AR$554</f>
        <v>0.1104220844168825</v>
      </c>
    </row>
    <row r="556" spans="19:44">
      <c r="S556">
        <v>548</v>
      </c>
      <c r="T556">
        <v>170.53020934821242</v>
      </c>
      <c r="V556">
        <v>548</v>
      </c>
      <c r="W556">
        <v>130.12196227936187</v>
      </c>
      <c r="AN556">
        <f>SMALL('Iter No Test'!$T$9:$T$1008,554)</f>
        <v>222.68211596652472</v>
      </c>
      <c r="AO556">
        <f>1/(COUNT('Iter No Test'!$T$9:$T$1008)-1)+$AO$555</f>
        <v>0.55355355355354763</v>
      </c>
      <c r="AQ556">
        <f>SMALL('Iter No Test'!$W$9:$W$5008,554)</f>
        <v>113.21716991746213</v>
      </c>
      <c r="AR556">
        <f>1/(COUNT('Iter No Test'!$W$9:$W$5008)-1)+$AR$555</f>
        <v>0.1106221244248841</v>
      </c>
    </row>
    <row r="557" spans="19:44">
      <c r="S557">
        <v>549</v>
      </c>
      <c r="T557">
        <v>244.93605067972146</v>
      </c>
      <c r="V557">
        <v>549</v>
      </c>
      <c r="W557">
        <v>176.73545911544204</v>
      </c>
      <c r="AN557">
        <f>SMALL('Iter No Test'!$T$9:$T$1008,555)</f>
        <v>222.8661122803021</v>
      </c>
      <c r="AO557">
        <f>1/(COUNT('Iter No Test'!$T$9:$T$1008)-1)+$AO$556</f>
        <v>0.55455455455454861</v>
      </c>
      <c r="AQ557">
        <f>SMALL('Iter No Test'!$W$9:$W$5008,555)</f>
        <v>113.22818861235373</v>
      </c>
      <c r="AR557">
        <f>1/(COUNT('Iter No Test'!$W$9:$W$5008)-1)+$AR$556</f>
        <v>0.1108221644328857</v>
      </c>
    </row>
    <row r="558" spans="19:44">
      <c r="S558">
        <v>550</v>
      </c>
      <c r="T558">
        <v>252.09275850782143</v>
      </c>
      <c r="V558">
        <v>550</v>
      </c>
      <c r="W558">
        <v>100.22440206394687</v>
      </c>
      <c r="AN558">
        <f>SMALL('Iter No Test'!$T$9:$T$1008,556)</f>
        <v>223.00770629101862</v>
      </c>
      <c r="AO558">
        <f>1/(COUNT('Iter No Test'!$T$9:$T$1008)-1)+$AO$557</f>
        <v>0.55555555555554959</v>
      </c>
      <c r="AQ558">
        <f>SMALL('Iter No Test'!$W$9:$W$5008,556)</f>
        <v>113.24949453805932</v>
      </c>
      <c r="AR558">
        <f>1/(COUNT('Iter No Test'!$W$9:$W$5008)-1)+$AR$557</f>
        <v>0.1110222044408873</v>
      </c>
    </row>
    <row r="559" spans="19:44">
      <c r="S559">
        <v>551</v>
      </c>
      <c r="T559">
        <v>206.20097696586944</v>
      </c>
      <c r="V559">
        <v>551</v>
      </c>
      <c r="W559">
        <v>159.20562398914655</v>
      </c>
      <c r="AN559">
        <f>SMALL('Iter No Test'!$T$9:$T$1008,557)</f>
        <v>223.11039157393239</v>
      </c>
      <c r="AO559">
        <f>1/(COUNT('Iter No Test'!$T$9:$T$1008)-1)+$AO$558</f>
        <v>0.55655655655655056</v>
      </c>
      <c r="AQ559">
        <f>SMALL('Iter No Test'!$W$9:$W$5008,557)</f>
        <v>113.3974067943213</v>
      </c>
      <c r="AR559">
        <f>1/(COUNT('Iter No Test'!$W$9:$W$5008)-1)+$AR$558</f>
        <v>0.1112222444488889</v>
      </c>
    </row>
    <row r="560" spans="19:44">
      <c r="S560">
        <v>552</v>
      </c>
      <c r="T560">
        <v>125.89328133686357</v>
      </c>
      <c r="V560">
        <v>552</v>
      </c>
      <c r="W560">
        <v>213.70493825217946</v>
      </c>
      <c r="AN560">
        <f>SMALL('Iter No Test'!$T$9:$T$1008,558)</f>
        <v>223.16248379080923</v>
      </c>
      <c r="AO560">
        <f>1/(COUNT('Iter No Test'!$T$9:$T$1008)-1)+$AO$559</f>
        <v>0.55755755755755154</v>
      </c>
      <c r="AQ560">
        <f>SMALL('Iter No Test'!$W$9:$W$5008,558)</f>
        <v>113.49834112609906</v>
      </c>
      <c r="AR560">
        <f>1/(COUNT('Iter No Test'!$W$9:$W$5008)-1)+$AR$559</f>
        <v>0.11142228445689049</v>
      </c>
    </row>
    <row r="561" spans="19:44">
      <c r="S561">
        <v>553</v>
      </c>
      <c r="T561">
        <v>280.1668565259759</v>
      </c>
      <c r="V561">
        <v>553</v>
      </c>
      <c r="W561">
        <v>268.01673595852543</v>
      </c>
      <c r="AN561">
        <f>SMALL('Iter No Test'!$T$9:$T$1008,559)</f>
        <v>223.21572471019954</v>
      </c>
      <c r="AO561">
        <f>1/(COUNT('Iter No Test'!$T$9:$T$1008)-1)+$AO$560</f>
        <v>0.55855855855855252</v>
      </c>
      <c r="AQ561">
        <f>SMALL('Iter No Test'!$W$9:$W$5008,559)</f>
        <v>113.53679165739364</v>
      </c>
      <c r="AR561">
        <f>1/(COUNT('Iter No Test'!$W$9:$W$5008)-1)+$AR$560</f>
        <v>0.11162232446489209</v>
      </c>
    </row>
    <row r="562" spans="19:44">
      <c r="S562">
        <v>554</v>
      </c>
      <c r="T562">
        <v>413.9942902657304</v>
      </c>
      <c r="V562">
        <v>554</v>
      </c>
      <c r="W562">
        <v>363.5878224286846</v>
      </c>
      <c r="AN562">
        <f>SMALL('Iter No Test'!$T$9:$T$1008,560)</f>
        <v>223.44169318885244</v>
      </c>
      <c r="AO562">
        <f>1/(COUNT('Iter No Test'!$T$9:$T$1008)-1)+$AO$561</f>
        <v>0.5595595595595535</v>
      </c>
      <c r="AQ562">
        <f>SMALL('Iter No Test'!$W$9:$W$5008,560)</f>
        <v>113.54208453707027</v>
      </c>
      <c r="AR562">
        <f>1/(COUNT('Iter No Test'!$W$9:$W$5008)-1)+$AR$561</f>
        <v>0.11182236447289369</v>
      </c>
    </row>
    <row r="563" spans="19:44">
      <c r="S563">
        <v>555</v>
      </c>
      <c r="T563">
        <v>158.56873272888916</v>
      </c>
      <c r="V563">
        <v>555</v>
      </c>
      <c r="W563">
        <v>209.66482065041885</v>
      </c>
      <c r="AN563">
        <f>SMALL('Iter No Test'!$T$9:$T$1008,561)</f>
        <v>223.46493163902073</v>
      </c>
      <c r="AO563">
        <f>1/(COUNT('Iter No Test'!$T$9:$T$1008)-1)+$AO$562</f>
        <v>0.56056056056055448</v>
      </c>
      <c r="AQ563">
        <f>SMALL('Iter No Test'!$W$9:$W$5008,561)</f>
        <v>113.67687188527138</v>
      </c>
      <c r="AR563">
        <f>1/(COUNT('Iter No Test'!$W$9:$W$5008)-1)+$AR$562</f>
        <v>0.11202240448089529</v>
      </c>
    </row>
    <row r="564" spans="19:44">
      <c r="S564">
        <v>556</v>
      </c>
      <c r="T564">
        <v>496.7656291650228</v>
      </c>
      <c r="V564">
        <v>556</v>
      </c>
      <c r="W564">
        <v>446.24035888424885</v>
      </c>
      <c r="AN564">
        <f>SMALL('Iter No Test'!$T$9:$T$1008,562)</f>
        <v>223.84855210081992</v>
      </c>
      <c r="AO564">
        <f>1/(COUNT('Iter No Test'!$T$9:$T$1008)-1)+$AO$563</f>
        <v>0.56156156156155546</v>
      </c>
      <c r="AQ564">
        <f>SMALL('Iter No Test'!$W$9:$W$5008,562)</f>
        <v>113.67736897761455</v>
      </c>
      <c r="AR564">
        <f>1/(COUNT('Iter No Test'!$W$9:$W$5008)-1)+$AR$563</f>
        <v>0.11222244448889689</v>
      </c>
    </row>
    <row r="565" spans="19:44">
      <c r="S565">
        <v>557</v>
      </c>
      <c r="T565">
        <v>269.54083731344627</v>
      </c>
      <c r="V565">
        <v>557</v>
      </c>
      <c r="W565">
        <v>171.956873916398</v>
      </c>
      <c r="AN565">
        <f>SMALL('Iter No Test'!$T$9:$T$1008,563)</f>
        <v>224.02828136521444</v>
      </c>
      <c r="AO565">
        <f>1/(COUNT('Iter No Test'!$T$9:$T$1008)-1)+$AO$564</f>
        <v>0.56256256256255643</v>
      </c>
      <c r="AQ565">
        <f>SMALL('Iter No Test'!$W$9:$W$5008,563)</f>
        <v>113.67815426096556</v>
      </c>
      <c r="AR565">
        <f>1/(COUNT('Iter No Test'!$W$9:$W$5008)-1)+$AR$564</f>
        <v>0.11242248449689848</v>
      </c>
    </row>
    <row r="566" spans="19:44">
      <c r="S566">
        <v>558</v>
      </c>
      <c r="T566">
        <v>195.9203969944331</v>
      </c>
      <c r="V566">
        <v>558</v>
      </c>
      <c r="W566">
        <v>237.50940562685955</v>
      </c>
      <c r="AN566">
        <f>SMALL('Iter No Test'!$T$9:$T$1008,564)</f>
        <v>224.08231792364606</v>
      </c>
      <c r="AO566">
        <f>1/(COUNT('Iter No Test'!$T$9:$T$1008)-1)+$AO$565</f>
        <v>0.56356356356355741</v>
      </c>
      <c r="AQ566">
        <f>SMALL('Iter No Test'!$W$9:$W$5008,564)</f>
        <v>113.7961180782152</v>
      </c>
      <c r="AR566">
        <f>1/(COUNT('Iter No Test'!$W$9:$W$5008)-1)+$AR$565</f>
        <v>0.11262252450490008</v>
      </c>
    </row>
    <row r="567" spans="19:44">
      <c r="S567">
        <v>559</v>
      </c>
      <c r="T567">
        <v>266.16159381800423</v>
      </c>
      <c r="V567">
        <v>559</v>
      </c>
      <c r="W567">
        <v>146.6451448556632</v>
      </c>
      <c r="AN567">
        <f>SMALL('Iter No Test'!$T$9:$T$1008,565)</f>
        <v>224.6353528852533</v>
      </c>
      <c r="AO567">
        <f>1/(COUNT('Iter No Test'!$T$9:$T$1008)-1)+$AO$566</f>
        <v>0.56456456456455839</v>
      </c>
      <c r="AQ567">
        <f>SMALL('Iter No Test'!$W$9:$W$5008,565)</f>
        <v>113.87967263377098</v>
      </c>
      <c r="AR567">
        <f>1/(COUNT('Iter No Test'!$W$9:$W$5008)-1)+$AR$566</f>
        <v>0.11282256451290168</v>
      </c>
    </row>
    <row r="568" spans="19:44">
      <c r="S568">
        <v>560</v>
      </c>
      <c r="T568">
        <v>249.40639422812825</v>
      </c>
      <c r="V568">
        <v>560</v>
      </c>
      <c r="W568">
        <v>325.11769989657353</v>
      </c>
      <c r="AN568">
        <f>SMALL('Iter No Test'!$T$9:$T$1008,566)</f>
        <v>225.05073993765444</v>
      </c>
      <c r="AO568">
        <f>1/(COUNT('Iter No Test'!$T$9:$T$1008)-1)+$AO$567</f>
        <v>0.56556556556555937</v>
      </c>
      <c r="AQ568">
        <f>SMALL('Iter No Test'!$W$9:$W$5008,566)</f>
        <v>113.97558367658489</v>
      </c>
      <c r="AR568">
        <f>1/(COUNT('Iter No Test'!$W$9:$W$5008)-1)+$AR$567</f>
        <v>0.11302260452090328</v>
      </c>
    </row>
    <row r="569" spans="19:44">
      <c r="S569">
        <v>561</v>
      </c>
      <c r="T569">
        <v>190.41449627386265</v>
      </c>
      <c r="V569">
        <v>561</v>
      </c>
      <c r="W569">
        <v>160.55947846997543</v>
      </c>
      <c r="AN569">
        <f>SMALL('Iter No Test'!$T$9:$T$1008,567)</f>
        <v>225.18325639992779</v>
      </c>
      <c r="AO569">
        <f>1/(COUNT('Iter No Test'!$T$9:$T$1008)-1)+$AO$568</f>
        <v>0.56656656656656035</v>
      </c>
      <c r="AQ569">
        <f>SMALL('Iter No Test'!$W$9:$W$5008,567)</f>
        <v>114.17405957530771</v>
      </c>
      <c r="AR569">
        <f>1/(COUNT('Iter No Test'!$W$9:$W$5008)-1)+$AR$568</f>
        <v>0.11322264452890488</v>
      </c>
    </row>
    <row r="570" spans="19:44">
      <c r="S570">
        <v>562</v>
      </c>
      <c r="T570">
        <v>275.45885073464711</v>
      </c>
      <c r="V570">
        <v>562</v>
      </c>
      <c r="W570">
        <v>179.59214089399171</v>
      </c>
      <c r="AN570">
        <f>SMALL('Iter No Test'!$T$9:$T$1008,568)</f>
        <v>225.261050766491</v>
      </c>
      <c r="AO570">
        <f>1/(COUNT('Iter No Test'!$T$9:$T$1008)-1)+$AO$569</f>
        <v>0.56756756756756133</v>
      </c>
      <c r="AQ570">
        <f>SMALL('Iter No Test'!$W$9:$W$5008,568)</f>
        <v>114.34350245399432</v>
      </c>
      <c r="AR570">
        <f>1/(COUNT('Iter No Test'!$W$9:$W$5008)-1)+$AR$569</f>
        <v>0.11342268453690647</v>
      </c>
    </row>
    <row r="571" spans="19:44">
      <c r="S571">
        <v>563</v>
      </c>
      <c r="T571">
        <v>195.4894881214496</v>
      </c>
      <c r="V571">
        <v>563</v>
      </c>
      <c r="W571">
        <v>89.81113512721285</v>
      </c>
      <c r="AN571">
        <f>SMALL('Iter No Test'!$T$9:$T$1008,569)</f>
        <v>225.4230025796885</v>
      </c>
      <c r="AO571">
        <f>1/(COUNT('Iter No Test'!$T$9:$T$1008)-1)+$AO$570</f>
        <v>0.5685685685685623</v>
      </c>
      <c r="AQ571">
        <f>SMALL('Iter No Test'!$W$9:$W$5008,569)</f>
        <v>114.40064271218395</v>
      </c>
      <c r="AR571">
        <f>1/(COUNT('Iter No Test'!$W$9:$W$5008)-1)+$AR$570</f>
        <v>0.11362272454490807</v>
      </c>
    </row>
    <row r="572" spans="19:44">
      <c r="S572">
        <v>564</v>
      </c>
      <c r="T572">
        <v>216.63943925568518</v>
      </c>
      <c r="V572">
        <v>564</v>
      </c>
      <c r="W572">
        <v>237.53972251111028</v>
      </c>
      <c r="AN572">
        <f>SMALL('Iter No Test'!$T$9:$T$1008,570)</f>
        <v>226.07048116095584</v>
      </c>
      <c r="AO572">
        <f>1/(COUNT('Iter No Test'!$T$9:$T$1008)-1)+$AO$571</f>
        <v>0.56956956956956328</v>
      </c>
      <c r="AQ572">
        <f>SMALL('Iter No Test'!$W$9:$W$5008,570)</f>
        <v>114.40134802538363</v>
      </c>
      <c r="AR572">
        <f>1/(COUNT('Iter No Test'!$W$9:$W$5008)-1)+$AR$571</f>
        <v>0.11382276455290967</v>
      </c>
    </row>
    <row r="573" spans="19:44">
      <c r="S573">
        <v>565</v>
      </c>
      <c r="T573">
        <v>194.94337791715242</v>
      </c>
      <c r="V573">
        <v>565</v>
      </c>
      <c r="W573">
        <v>100.67259203965662</v>
      </c>
      <c r="AN573">
        <f>SMALL('Iter No Test'!$T$9:$T$1008,571)</f>
        <v>226.45199247508023</v>
      </c>
      <c r="AO573">
        <f>1/(COUNT('Iter No Test'!$T$9:$T$1008)-1)+$AO$572</f>
        <v>0.57057057057056426</v>
      </c>
      <c r="AQ573">
        <f>SMALL('Iter No Test'!$W$9:$W$5008,571)</f>
        <v>114.41221889004498</v>
      </c>
      <c r="AR573">
        <f>1/(COUNT('Iter No Test'!$W$9:$W$5008)-1)+$AR$572</f>
        <v>0.11402280456091127</v>
      </c>
    </row>
    <row r="574" spans="19:44">
      <c r="S574">
        <v>566</v>
      </c>
      <c r="T574">
        <v>364.332095363137</v>
      </c>
      <c r="V574">
        <v>566</v>
      </c>
      <c r="W574">
        <v>295.7904792466714</v>
      </c>
      <c r="AN574">
        <f>SMALL('Iter No Test'!$T$9:$T$1008,572)</f>
        <v>226.51634086581842</v>
      </c>
      <c r="AO574">
        <f>1/(COUNT('Iter No Test'!$T$9:$T$1008)-1)+$AO$573</f>
        <v>0.57157157157156524</v>
      </c>
      <c r="AQ574">
        <f>SMALL('Iter No Test'!$W$9:$W$5008,572)</f>
        <v>114.63754980139009</v>
      </c>
      <c r="AR574">
        <f>1/(COUNT('Iter No Test'!$W$9:$W$5008)-1)+$AR$573</f>
        <v>0.11422284456891287</v>
      </c>
    </row>
    <row r="575" spans="19:44">
      <c r="S575">
        <v>567</v>
      </c>
      <c r="T575">
        <v>313.10989801847336</v>
      </c>
      <c r="V575">
        <v>567</v>
      </c>
      <c r="W575">
        <v>296.66350803876674</v>
      </c>
      <c r="AN575">
        <f>SMALL('Iter No Test'!$T$9:$T$1008,573)</f>
        <v>226.52524723322264</v>
      </c>
      <c r="AO575">
        <f>1/(COUNT('Iter No Test'!$T$9:$T$1008)-1)+$AO$574</f>
        <v>0.57257257257256622</v>
      </c>
      <c r="AQ575">
        <f>SMALL('Iter No Test'!$W$9:$W$5008,573)</f>
        <v>114.65813896944292</v>
      </c>
      <c r="AR575">
        <f>1/(COUNT('Iter No Test'!$W$9:$W$5008)-1)+$AR$574</f>
        <v>0.11442288457691446</v>
      </c>
    </row>
    <row r="576" spans="19:44">
      <c r="S576">
        <v>568</v>
      </c>
      <c r="T576">
        <v>329.16263511253982</v>
      </c>
      <c r="V576">
        <v>568</v>
      </c>
      <c r="W576">
        <v>242.61049287199478</v>
      </c>
      <c r="AN576">
        <f>SMALL('Iter No Test'!$T$9:$T$1008,574)</f>
        <v>226.99538385524707</v>
      </c>
      <c r="AO576">
        <f>1/(COUNT('Iter No Test'!$T$9:$T$1008)-1)+$AO$575</f>
        <v>0.5735735735735672</v>
      </c>
      <c r="AQ576">
        <f>SMALL('Iter No Test'!$W$9:$W$5008,574)</f>
        <v>114.68515235851119</v>
      </c>
      <c r="AR576">
        <f>1/(COUNT('Iter No Test'!$W$9:$W$5008)-1)+$AR$575</f>
        <v>0.11462292458491606</v>
      </c>
    </row>
    <row r="577" spans="19:44">
      <c r="S577">
        <v>569</v>
      </c>
      <c r="T577">
        <v>185.91306510476551</v>
      </c>
      <c r="V577">
        <v>569</v>
      </c>
      <c r="W577">
        <v>270.12968984618499</v>
      </c>
      <c r="AN577">
        <f>SMALL('Iter No Test'!$T$9:$T$1008,575)</f>
        <v>227.08345171470935</v>
      </c>
      <c r="AO577">
        <f>1/(COUNT('Iter No Test'!$T$9:$T$1008)-1)+$AO$576</f>
        <v>0.57457457457456818</v>
      </c>
      <c r="AQ577">
        <f>SMALL('Iter No Test'!$W$9:$W$5008,575)</f>
        <v>114.7689500673095</v>
      </c>
      <c r="AR577">
        <f>1/(COUNT('Iter No Test'!$W$9:$W$5008)-1)+$AR$576</f>
        <v>0.11482296459291766</v>
      </c>
    </row>
    <row r="578" spans="19:44">
      <c r="S578">
        <v>570</v>
      </c>
      <c r="T578">
        <v>352.88947938676881</v>
      </c>
      <c r="V578">
        <v>570</v>
      </c>
      <c r="W578">
        <v>150.06498328799728</v>
      </c>
      <c r="AN578">
        <f>SMALL('Iter No Test'!$T$9:$T$1008,576)</f>
        <v>227.10674824192364</v>
      </c>
      <c r="AO578">
        <f>1/(COUNT('Iter No Test'!$T$9:$T$1008)-1)+$AO$577</f>
        <v>0.57557557557556915</v>
      </c>
      <c r="AQ578">
        <f>SMALL('Iter No Test'!$W$9:$W$5008,576)</f>
        <v>114.83572025942783</v>
      </c>
      <c r="AR578">
        <f>1/(COUNT('Iter No Test'!$W$9:$W$5008)-1)+$AR$577</f>
        <v>0.11502300460091926</v>
      </c>
    </row>
    <row r="579" spans="19:44">
      <c r="S579">
        <v>571</v>
      </c>
      <c r="T579">
        <v>167.70529031155516</v>
      </c>
      <c r="V579">
        <v>571</v>
      </c>
      <c r="W579">
        <v>283.1441632112676</v>
      </c>
      <c r="AN579">
        <f>SMALL('Iter No Test'!$T$9:$T$1008,577)</f>
        <v>227.2210650313269</v>
      </c>
      <c r="AO579">
        <f>1/(COUNT('Iter No Test'!$T$9:$T$1008)-1)+$AO$578</f>
        <v>0.57657657657657013</v>
      </c>
      <c r="AQ579">
        <f>SMALL('Iter No Test'!$W$9:$W$5008,577)</f>
        <v>115.1066139625654</v>
      </c>
      <c r="AR579">
        <f>1/(COUNT('Iter No Test'!$W$9:$W$5008)-1)+$AR$578</f>
        <v>0.11522304460892085</v>
      </c>
    </row>
    <row r="580" spans="19:44">
      <c r="S580">
        <v>572</v>
      </c>
      <c r="T580">
        <v>141.75333318558</v>
      </c>
      <c r="V580">
        <v>572</v>
      </c>
      <c r="W580">
        <v>323.68623769766214</v>
      </c>
      <c r="AN580">
        <f>SMALL('Iter No Test'!$T$9:$T$1008,578)</f>
        <v>227.34097418486567</v>
      </c>
      <c r="AO580">
        <f>1/(COUNT('Iter No Test'!$T$9:$T$1008)-1)+$AO$579</f>
        <v>0.57757757757757111</v>
      </c>
      <c r="AQ580">
        <f>SMALL('Iter No Test'!$W$9:$W$5008,578)</f>
        <v>115.2571976840574</v>
      </c>
      <c r="AR580">
        <f>1/(COUNT('Iter No Test'!$W$9:$W$5008)-1)+$AR$579</f>
        <v>0.11542308461692245</v>
      </c>
    </row>
    <row r="581" spans="19:44">
      <c r="S581">
        <v>573</v>
      </c>
      <c r="T581">
        <v>180.90609406483435</v>
      </c>
      <c r="V581">
        <v>573</v>
      </c>
      <c r="W581">
        <v>393.31546851020914</v>
      </c>
      <c r="AN581">
        <f>SMALL('Iter No Test'!$T$9:$T$1008,579)</f>
        <v>227.37568525666973</v>
      </c>
      <c r="AO581">
        <f>1/(COUNT('Iter No Test'!$T$9:$T$1008)-1)+$AO$580</f>
        <v>0.57857857857857209</v>
      </c>
      <c r="AQ581">
        <f>SMALL('Iter No Test'!$W$9:$W$5008,579)</f>
        <v>115.43806447248764</v>
      </c>
      <c r="AR581">
        <f>1/(COUNT('Iter No Test'!$W$9:$W$5008)-1)+$AR$580</f>
        <v>0.11562312462492405</v>
      </c>
    </row>
    <row r="582" spans="19:44">
      <c r="S582">
        <v>574</v>
      </c>
      <c r="T582">
        <v>414.77298149924923</v>
      </c>
      <c r="V582">
        <v>574</v>
      </c>
      <c r="W582">
        <v>371.00545648942096</v>
      </c>
      <c r="AN582">
        <f>SMALL('Iter No Test'!$T$9:$T$1008,580)</f>
        <v>227.46689827730336</v>
      </c>
      <c r="AO582">
        <f>1/(COUNT('Iter No Test'!$T$9:$T$1008)-1)+$AO$581</f>
        <v>0.57957957957957307</v>
      </c>
      <c r="AQ582">
        <f>SMALL('Iter No Test'!$W$9:$W$5008,580)</f>
        <v>115.52016565893703</v>
      </c>
      <c r="AR582">
        <f>1/(COUNT('Iter No Test'!$W$9:$W$5008)-1)+$AR$581</f>
        <v>0.11582316463292565</v>
      </c>
    </row>
    <row r="583" spans="19:44">
      <c r="S583">
        <v>575</v>
      </c>
      <c r="T583">
        <v>74.721329062227426</v>
      </c>
      <c r="V583">
        <v>575</v>
      </c>
      <c r="W583">
        <v>157.27285618985573</v>
      </c>
      <c r="AN583">
        <f>SMALL('Iter No Test'!$T$9:$T$1008,581)</f>
        <v>228.00264987233393</v>
      </c>
      <c r="AO583">
        <f>1/(COUNT('Iter No Test'!$T$9:$T$1008)-1)+$AO$582</f>
        <v>0.58058058058057405</v>
      </c>
      <c r="AQ583">
        <f>SMALL('Iter No Test'!$W$9:$W$5008,581)</f>
        <v>115.5553716505798</v>
      </c>
      <c r="AR583">
        <f>1/(COUNT('Iter No Test'!$W$9:$W$5008)-1)+$AR$582</f>
        <v>0.11602320464092725</v>
      </c>
    </row>
    <row r="584" spans="19:44">
      <c r="S584">
        <v>576</v>
      </c>
      <c r="T584">
        <v>81.250745413903985</v>
      </c>
      <c r="V584">
        <v>576</v>
      </c>
      <c r="W584">
        <v>169.25416019424793</v>
      </c>
      <c r="AN584">
        <f>SMALL('Iter No Test'!$T$9:$T$1008,582)</f>
        <v>228.46697251296089</v>
      </c>
      <c r="AO584">
        <f>1/(COUNT('Iter No Test'!$T$9:$T$1008)-1)+$AO$583</f>
        <v>0.58158158158157502</v>
      </c>
      <c r="AQ584">
        <f>SMALL('Iter No Test'!$W$9:$W$5008,582)</f>
        <v>115.64445906888953</v>
      </c>
      <c r="AR584">
        <f>1/(COUNT('Iter No Test'!$W$9:$W$5008)-1)+$AR$583</f>
        <v>0.11622324464892884</v>
      </c>
    </row>
    <row r="585" spans="19:44">
      <c r="S585">
        <v>577</v>
      </c>
      <c r="T585">
        <v>215.64126875843115</v>
      </c>
      <c r="V585">
        <v>577</v>
      </c>
      <c r="W585">
        <v>241.91894134415841</v>
      </c>
      <c r="AN585">
        <f>SMALL('Iter No Test'!$T$9:$T$1008,583)</f>
        <v>228.71939581966308</v>
      </c>
      <c r="AO585">
        <f>1/(COUNT('Iter No Test'!$T$9:$T$1008)-1)+$AO$584</f>
        <v>0.582582582582576</v>
      </c>
      <c r="AQ585">
        <f>SMALL('Iter No Test'!$W$9:$W$5008,583)</f>
        <v>115.69664741915423</v>
      </c>
      <c r="AR585">
        <f>1/(COUNT('Iter No Test'!$W$9:$W$5008)-1)+$AR$584</f>
        <v>0.11642328465693044</v>
      </c>
    </row>
    <row r="586" spans="19:44">
      <c r="S586">
        <v>578</v>
      </c>
      <c r="T586">
        <v>260.84825075642095</v>
      </c>
      <c r="V586">
        <v>578</v>
      </c>
      <c r="W586">
        <v>289.77045355578224</v>
      </c>
      <c r="AN586">
        <f>SMALL('Iter No Test'!$T$9:$T$1008,584)</f>
        <v>228.9887305927617</v>
      </c>
      <c r="AO586">
        <f>1/(COUNT('Iter No Test'!$T$9:$T$1008)-1)+$AO$585</f>
        <v>0.58358358358357698</v>
      </c>
      <c r="AQ586">
        <f>SMALL('Iter No Test'!$W$9:$W$5008,584)</f>
        <v>115.72891037194108</v>
      </c>
      <c r="AR586">
        <f>1/(COUNT('Iter No Test'!$W$9:$W$5008)-1)+$AR$585</f>
        <v>0.11662332466493204</v>
      </c>
    </row>
    <row r="587" spans="19:44">
      <c r="S587">
        <v>579</v>
      </c>
      <c r="T587">
        <v>195.14122454808299</v>
      </c>
      <c r="V587">
        <v>579</v>
      </c>
      <c r="W587">
        <v>291.84080568686994</v>
      </c>
      <c r="AN587">
        <f>SMALL('Iter No Test'!$T$9:$T$1008,585)</f>
        <v>229.07709154394232</v>
      </c>
      <c r="AO587">
        <f>1/(COUNT('Iter No Test'!$T$9:$T$1008)-1)+$AO$586</f>
        <v>0.58458458458457796</v>
      </c>
      <c r="AQ587">
        <f>SMALL('Iter No Test'!$W$9:$W$5008,585)</f>
        <v>115.7409053889242</v>
      </c>
      <c r="AR587">
        <f>1/(COUNT('Iter No Test'!$W$9:$W$5008)-1)+$AR$586</f>
        <v>0.11682336467293364</v>
      </c>
    </row>
    <row r="588" spans="19:44">
      <c r="S588">
        <v>580</v>
      </c>
      <c r="T588">
        <v>193.02796084864792</v>
      </c>
      <c r="V588">
        <v>580</v>
      </c>
      <c r="W588">
        <v>156.47614317218176</v>
      </c>
      <c r="AN588">
        <f>SMALL('Iter No Test'!$T$9:$T$1008,586)</f>
        <v>229.36589218924496</v>
      </c>
      <c r="AO588">
        <f>1/(COUNT('Iter No Test'!$T$9:$T$1008)-1)+$AO$587</f>
        <v>0.58558558558557894</v>
      </c>
      <c r="AQ588">
        <f>SMALL('Iter No Test'!$W$9:$W$5008,586)</f>
        <v>115.76039541673227</v>
      </c>
      <c r="AR588">
        <f>1/(COUNT('Iter No Test'!$W$9:$W$5008)-1)+$AR$587</f>
        <v>0.11702340468093524</v>
      </c>
    </row>
    <row r="589" spans="19:44">
      <c r="S589">
        <v>581</v>
      </c>
      <c r="T589">
        <v>305.95634746619203</v>
      </c>
      <c r="V589">
        <v>581</v>
      </c>
      <c r="W589">
        <v>209.2570180883915</v>
      </c>
      <c r="AN589">
        <f>SMALL('Iter No Test'!$T$9:$T$1008,587)</f>
        <v>229.4300426566339</v>
      </c>
      <c r="AO589">
        <f>1/(COUNT('Iter No Test'!$T$9:$T$1008)-1)+$AO$588</f>
        <v>0.58658658658657992</v>
      </c>
      <c r="AQ589">
        <f>SMALL('Iter No Test'!$W$9:$W$5008,587)</f>
        <v>115.7979556035294</v>
      </c>
      <c r="AR589">
        <f>1/(COUNT('Iter No Test'!$W$9:$W$5008)-1)+$AR$588</f>
        <v>0.11722344468893683</v>
      </c>
    </row>
    <row r="590" spans="19:44">
      <c r="S590">
        <v>582</v>
      </c>
      <c r="T590">
        <v>238.53610183639728</v>
      </c>
      <c r="V590">
        <v>582</v>
      </c>
      <c r="W590">
        <v>193.63717575273736</v>
      </c>
      <c r="AN590">
        <f>SMALL('Iter No Test'!$T$9:$T$1008,588)</f>
        <v>229.55042523370147</v>
      </c>
      <c r="AO590">
        <f>1/(COUNT('Iter No Test'!$T$9:$T$1008)-1)+$AO$589</f>
        <v>0.5875875875875809</v>
      </c>
      <c r="AQ590">
        <f>SMALL('Iter No Test'!$W$9:$W$5008,588)</f>
        <v>115.88689924800147</v>
      </c>
      <c r="AR590">
        <f>1/(COUNT('Iter No Test'!$W$9:$W$5008)-1)+$AR$589</f>
        <v>0.11742348469693843</v>
      </c>
    </row>
    <row r="591" spans="19:44">
      <c r="S591">
        <v>583</v>
      </c>
      <c r="T591">
        <v>244.17310611903298</v>
      </c>
      <c r="V591">
        <v>583</v>
      </c>
      <c r="W591">
        <v>201.95837804151216</v>
      </c>
      <c r="AN591">
        <f>SMALL('Iter No Test'!$T$9:$T$1008,589)</f>
        <v>229.72886004663744</v>
      </c>
      <c r="AO591">
        <f>1/(COUNT('Iter No Test'!$T$9:$T$1008)-1)+$AO$590</f>
        <v>0.58858858858858187</v>
      </c>
      <c r="AQ591">
        <f>SMALL('Iter No Test'!$W$9:$W$5008,589)</f>
        <v>116.0703828004178</v>
      </c>
      <c r="AR591">
        <f>1/(COUNT('Iter No Test'!$W$9:$W$5008)-1)+$AR$590</f>
        <v>0.11762352470494003</v>
      </c>
    </row>
    <row r="592" spans="19:44">
      <c r="S592">
        <v>584</v>
      </c>
      <c r="T592">
        <v>264.36456866672199</v>
      </c>
      <c r="V592">
        <v>584</v>
      </c>
      <c r="W592">
        <v>253.67714661509976</v>
      </c>
      <c r="AN592">
        <f>SMALL('Iter No Test'!$T$9:$T$1008,590)</f>
        <v>229.83067375702032</v>
      </c>
      <c r="AO592">
        <f>1/(COUNT('Iter No Test'!$T$9:$T$1008)-1)+$AO$591</f>
        <v>0.58958958958958285</v>
      </c>
      <c r="AQ592">
        <f>SMALL('Iter No Test'!$W$9:$W$5008,590)</f>
        <v>116.08156715615931</v>
      </c>
      <c r="AR592">
        <f>1/(COUNT('Iter No Test'!$W$9:$W$5008)-1)+$AR$591</f>
        <v>0.11782356471294163</v>
      </c>
    </row>
    <row r="593" spans="19:44">
      <c r="S593">
        <v>585</v>
      </c>
      <c r="T593">
        <v>231.6008931116933</v>
      </c>
      <c r="V593">
        <v>585</v>
      </c>
      <c r="W593">
        <v>214.97411257893606</v>
      </c>
      <c r="AN593">
        <f>SMALL('Iter No Test'!$T$9:$T$1008,591)</f>
        <v>230.30991389614653</v>
      </c>
      <c r="AO593">
        <f>1/(COUNT('Iter No Test'!$T$9:$T$1008)-1)+$AO$592</f>
        <v>0.59059059059058383</v>
      </c>
      <c r="AQ593">
        <f>SMALL('Iter No Test'!$W$9:$W$5008,591)</f>
        <v>116.17278030717574</v>
      </c>
      <c r="AR593">
        <f>1/(COUNT('Iter No Test'!$W$9:$W$5008)-1)+$AR$592</f>
        <v>0.11802360472094323</v>
      </c>
    </row>
    <row r="594" spans="19:44">
      <c r="S594">
        <v>586</v>
      </c>
      <c r="T594">
        <v>140.40973975609182</v>
      </c>
      <c r="V594">
        <v>586</v>
      </c>
      <c r="W594">
        <v>158.64980920182168</v>
      </c>
      <c r="AN594">
        <f>SMALL('Iter No Test'!$T$9:$T$1008,592)</f>
        <v>230.74330681380982</v>
      </c>
      <c r="AO594">
        <f>1/(COUNT('Iter No Test'!$T$9:$T$1008)-1)+$AO$593</f>
        <v>0.59159159159158481</v>
      </c>
      <c r="AQ594">
        <f>SMALL('Iter No Test'!$W$9:$W$5008,592)</f>
        <v>116.19957922226699</v>
      </c>
      <c r="AR594">
        <f>1/(COUNT('Iter No Test'!$W$9:$W$5008)-1)+$AR$593</f>
        <v>0.11822364472894482</v>
      </c>
    </row>
    <row r="595" spans="19:44">
      <c r="S595">
        <v>587</v>
      </c>
      <c r="T595">
        <v>80.216675219786751</v>
      </c>
      <c r="V595">
        <v>587</v>
      </c>
      <c r="W595">
        <v>281.37612695821269</v>
      </c>
      <c r="AN595">
        <f>SMALL('Iter No Test'!$T$9:$T$1008,593)</f>
        <v>231.16691609324425</v>
      </c>
      <c r="AO595">
        <f>1/(COUNT('Iter No Test'!$T$9:$T$1008)-1)+$AO$594</f>
        <v>0.59259259259258579</v>
      </c>
      <c r="AQ595">
        <f>SMALL('Iter No Test'!$W$9:$W$5008,593)</f>
        <v>116.20836862431986</v>
      </c>
      <c r="AR595">
        <f>1/(COUNT('Iter No Test'!$W$9:$W$5008)-1)+$AR$594</f>
        <v>0.11842368473694642</v>
      </c>
    </row>
    <row r="596" spans="19:44">
      <c r="S596">
        <v>588</v>
      </c>
      <c r="T596">
        <v>177.98414291011201</v>
      </c>
      <c r="V596">
        <v>588</v>
      </c>
      <c r="W596">
        <v>249.11739558928781</v>
      </c>
      <c r="AN596">
        <f>SMALL('Iter No Test'!$T$9:$T$1008,594)</f>
        <v>231.47931462677107</v>
      </c>
      <c r="AO596">
        <f>1/(COUNT('Iter No Test'!$T$9:$T$1008)-1)+$AO$595</f>
        <v>0.59359359359358677</v>
      </c>
      <c r="AQ596">
        <f>SMALL('Iter No Test'!$W$9:$W$5008,594)</f>
        <v>116.21643826119323</v>
      </c>
      <c r="AR596">
        <f>1/(COUNT('Iter No Test'!$W$9:$W$5008)-1)+$AR$595</f>
        <v>0.11862372474494802</v>
      </c>
    </row>
    <row r="597" spans="19:44">
      <c r="S597">
        <v>589</v>
      </c>
      <c r="T597">
        <v>199.23851969692282</v>
      </c>
      <c r="V597">
        <v>589</v>
      </c>
      <c r="W597">
        <v>168.59637087991811</v>
      </c>
      <c r="AN597">
        <f>SMALL('Iter No Test'!$T$9:$T$1008,595)</f>
        <v>231.6008931116933</v>
      </c>
      <c r="AO597">
        <f>1/(COUNT('Iter No Test'!$T$9:$T$1008)-1)+$AO$596</f>
        <v>0.59459459459458774</v>
      </c>
      <c r="AQ597">
        <f>SMALL('Iter No Test'!$W$9:$W$5008,595)</f>
        <v>116.22114349427423</v>
      </c>
      <c r="AR597">
        <f>1/(COUNT('Iter No Test'!$W$9:$W$5008)-1)+$AR$596</f>
        <v>0.11882376475294962</v>
      </c>
    </row>
    <row r="598" spans="19:44">
      <c r="S598">
        <v>590</v>
      </c>
      <c r="T598">
        <v>176.19872213192414</v>
      </c>
      <c r="V598">
        <v>590</v>
      </c>
      <c r="W598">
        <v>221.71211193839878</v>
      </c>
      <c r="AN598">
        <f>SMALL('Iter No Test'!$T$9:$T$1008,596)</f>
        <v>232.01225753504232</v>
      </c>
      <c r="AO598">
        <f>1/(COUNT('Iter No Test'!$T$9:$T$1008)-1)+$AO$597</f>
        <v>0.59559559559558872</v>
      </c>
      <c r="AQ598">
        <f>SMALL('Iter No Test'!$W$9:$W$5008,596)</f>
        <v>116.24903910398508</v>
      </c>
      <c r="AR598">
        <f>1/(COUNT('Iter No Test'!$W$9:$W$5008)-1)+$AR$597</f>
        <v>0.11902380476095122</v>
      </c>
    </row>
    <row r="599" spans="19:44">
      <c r="S599">
        <v>591</v>
      </c>
      <c r="T599">
        <v>148.92495135456554</v>
      </c>
      <c r="V599">
        <v>591</v>
      </c>
      <c r="W599">
        <v>184.74351554538569</v>
      </c>
      <c r="AN599">
        <f>SMALL('Iter No Test'!$T$9:$T$1008,597)</f>
        <v>232.74374972974732</v>
      </c>
      <c r="AO599">
        <f>1/(COUNT('Iter No Test'!$T$9:$T$1008)-1)+$AO$598</f>
        <v>0.5965965965965897</v>
      </c>
      <c r="AQ599">
        <f>SMALL('Iter No Test'!$W$9:$W$5008,597)</f>
        <v>116.26075341094305</v>
      </c>
      <c r="AR599">
        <f>1/(COUNT('Iter No Test'!$W$9:$W$5008)-1)+$AR$598</f>
        <v>0.11922384476895281</v>
      </c>
    </row>
    <row r="600" spans="19:44">
      <c r="S600">
        <v>592</v>
      </c>
      <c r="T600">
        <v>222.56994239050309</v>
      </c>
      <c r="V600">
        <v>592</v>
      </c>
      <c r="W600">
        <v>164.93902332114584</v>
      </c>
      <c r="AN600">
        <f>SMALL('Iter No Test'!$T$9:$T$1008,598)</f>
        <v>233.14494617545122</v>
      </c>
      <c r="AO600">
        <f>1/(COUNT('Iter No Test'!$T$9:$T$1008)-1)+$AO$599</f>
        <v>0.59759759759759068</v>
      </c>
      <c r="AQ600">
        <f>SMALL('Iter No Test'!$W$9:$W$5008,598)</f>
        <v>116.49900672002056</v>
      </c>
      <c r="AR600">
        <f>1/(COUNT('Iter No Test'!$W$9:$W$5008)-1)+$AR$599</f>
        <v>0.11942388477695441</v>
      </c>
    </row>
    <row r="601" spans="19:44">
      <c r="S601">
        <v>593</v>
      </c>
      <c r="T601">
        <v>287.4481079366941</v>
      </c>
      <c r="V601">
        <v>593</v>
      </c>
      <c r="W601">
        <v>211.523729802871</v>
      </c>
      <c r="AN601">
        <f>SMALL('Iter No Test'!$T$9:$T$1008,599)</f>
        <v>233.29331919846493</v>
      </c>
      <c r="AO601">
        <f>1/(COUNT('Iter No Test'!$T$9:$T$1008)-1)+$AO$600</f>
        <v>0.59859859859859166</v>
      </c>
      <c r="AQ601">
        <f>SMALL('Iter No Test'!$W$9:$W$5008,599)</f>
        <v>116.50695640189518</v>
      </c>
      <c r="AR601">
        <f>1/(COUNT('Iter No Test'!$W$9:$W$5008)-1)+$AR$600</f>
        <v>0.11962392478495601</v>
      </c>
    </row>
    <row r="602" spans="19:44">
      <c r="S602">
        <v>594</v>
      </c>
      <c r="T602">
        <v>306.91925516310505</v>
      </c>
      <c r="V602">
        <v>594</v>
      </c>
      <c r="W602">
        <v>182.70825395088568</v>
      </c>
      <c r="AN602">
        <f>SMALL('Iter No Test'!$T$9:$T$1008,600)</f>
        <v>233.53402839432229</v>
      </c>
      <c r="AO602">
        <f>1/(COUNT('Iter No Test'!$T$9:$T$1008)-1)+$AO$601</f>
        <v>0.59959959959959264</v>
      </c>
      <c r="AQ602">
        <f>SMALL('Iter No Test'!$W$9:$W$5008,600)</f>
        <v>116.56068127384964</v>
      </c>
      <c r="AR602">
        <f>1/(COUNT('Iter No Test'!$W$9:$W$5008)-1)+$AR$601</f>
        <v>0.11982396479295761</v>
      </c>
    </row>
    <row r="603" spans="19:44">
      <c r="S603">
        <v>595</v>
      </c>
      <c r="T603">
        <v>166.80815651305809</v>
      </c>
      <c r="V603">
        <v>595</v>
      </c>
      <c r="W603">
        <v>217.69655406315732</v>
      </c>
      <c r="AN603">
        <f>SMALL('Iter No Test'!$T$9:$T$1008,601)</f>
        <v>233.83733296690136</v>
      </c>
      <c r="AO603">
        <f>1/(COUNT('Iter No Test'!$T$9:$T$1008)-1)+$AO$602</f>
        <v>0.60060060060059361</v>
      </c>
      <c r="AQ603">
        <f>SMALL('Iter No Test'!$W$9:$W$5008,601)</f>
        <v>116.64610795114986</v>
      </c>
      <c r="AR603">
        <f>1/(COUNT('Iter No Test'!$W$9:$W$5008)-1)+$AR$602</f>
        <v>0.12002400480095921</v>
      </c>
    </row>
    <row r="604" spans="19:44">
      <c r="S604">
        <v>596</v>
      </c>
      <c r="T604">
        <v>260.19205825963849</v>
      </c>
      <c r="V604">
        <v>596</v>
      </c>
      <c r="W604">
        <v>221.67223971457014</v>
      </c>
      <c r="AN604">
        <f>SMALL('Iter No Test'!$T$9:$T$1008,602)</f>
        <v>234.97056442549754</v>
      </c>
      <c r="AO604">
        <f>1/(COUNT('Iter No Test'!$T$9:$T$1008)-1)+$AO$603</f>
        <v>0.60160160160159459</v>
      </c>
      <c r="AQ604">
        <f>SMALL('Iter No Test'!$W$9:$W$5008,602)</f>
        <v>116.66177414306176</v>
      </c>
      <c r="AR604">
        <f>1/(COUNT('Iter No Test'!$W$9:$W$5008)-1)+$AR$603</f>
        <v>0.1202240448089608</v>
      </c>
    </row>
    <row r="605" spans="19:44">
      <c r="S605">
        <v>597</v>
      </c>
      <c r="T605">
        <v>191.91663832799327</v>
      </c>
      <c r="V605">
        <v>597</v>
      </c>
      <c r="W605">
        <v>200.91259276708229</v>
      </c>
      <c r="AN605">
        <f>SMALL('Iter No Test'!$T$9:$T$1008,603)</f>
        <v>235.14887999021332</v>
      </c>
      <c r="AO605">
        <f>1/(COUNT('Iter No Test'!$T$9:$T$1008)-1)+$AO$604</f>
        <v>0.60260260260259557</v>
      </c>
      <c r="AQ605">
        <f>SMALL('Iter No Test'!$W$9:$W$5008,603)</f>
        <v>116.67034455847181</v>
      </c>
      <c r="AR605">
        <f>1/(COUNT('Iter No Test'!$W$9:$W$5008)-1)+$AR$604</f>
        <v>0.1204240848169624</v>
      </c>
    </row>
    <row r="606" spans="19:44">
      <c r="S606">
        <v>598</v>
      </c>
      <c r="T606">
        <v>296.80787615273181</v>
      </c>
      <c r="V606">
        <v>598</v>
      </c>
      <c r="W606">
        <v>327.72905661138032</v>
      </c>
      <c r="AN606">
        <f>SMALL('Iter No Test'!$T$9:$T$1008,604)</f>
        <v>235.84123453569802</v>
      </c>
      <c r="AO606">
        <f>1/(COUNT('Iter No Test'!$T$9:$T$1008)-1)+$AO$605</f>
        <v>0.60360360360359655</v>
      </c>
      <c r="AQ606">
        <f>SMALL('Iter No Test'!$W$9:$W$5008,604)</f>
        <v>116.7117148610558</v>
      </c>
      <c r="AR606">
        <f>1/(COUNT('Iter No Test'!$W$9:$W$5008)-1)+$AR$605</f>
        <v>0.120624124824964</v>
      </c>
    </row>
    <row r="607" spans="19:44">
      <c r="S607">
        <v>599</v>
      </c>
      <c r="T607">
        <v>300.64803749954604</v>
      </c>
      <c r="V607">
        <v>599</v>
      </c>
      <c r="W607">
        <v>80.231807182384841</v>
      </c>
      <c r="AN607">
        <f>SMALL('Iter No Test'!$T$9:$T$1008,605)</f>
        <v>236.19653430727041</v>
      </c>
      <c r="AO607">
        <f>1/(COUNT('Iter No Test'!$T$9:$T$1008)-1)+$AO$606</f>
        <v>0.60460460460459753</v>
      </c>
      <c r="AQ607">
        <f>SMALL('Iter No Test'!$W$9:$W$5008,605)</f>
        <v>116.79301020558682</v>
      </c>
      <c r="AR607">
        <f>1/(COUNT('Iter No Test'!$W$9:$W$5008)-1)+$AR$606</f>
        <v>0.1208241648329656</v>
      </c>
    </row>
    <row r="608" spans="19:44">
      <c r="S608">
        <v>600</v>
      </c>
      <c r="T608">
        <v>138.05838862667315</v>
      </c>
      <c r="V608">
        <v>600</v>
      </c>
      <c r="W608">
        <v>249.31447902319442</v>
      </c>
      <c r="AN608">
        <f>SMALL('Iter No Test'!$T$9:$T$1008,606)</f>
        <v>236.49201790625182</v>
      </c>
      <c r="AO608">
        <f>1/(COUNT('Iter No Test'!$T$9:$T$1008)-1)+$AO$607</f>
        <v>0.60560560560559851</v>
      </c>
      <c r="AQ608">
        <f>SMALL('Iter No Test'!$W$9:$W$5008,606)</f>
        <v>116.80799287910399</v>
      </c>
      <c r="AR608">
        <f>1/(COUNT('Iter No Test'!$W$9:$W$5008)-1)+$AR$607</f>
        <v>0.12102420484096719</v>
      </c>
    </row>
    <row r="609" spans="19:44">
      <c r="S609">
        <v>601</v>
      </c>
      <c r="T609">
        <v>164.93291973074759</v>
      </c>
      <c r="V609">
        <v>601</v>
      </c>
      <c r="W609">
        <v>171.39474281193191</v>
      </c>
      <c r="AN609">
        <f>SMALL('Iter No Test'!$T$9:$T$1008,607)</f>
        <v>237.05652132545092</v>
      </c>
      <c r="AO609">
        <f>1/(COUNT('Iter No Test'!$T$9:$T$1008)-1)+$AO$608</f>
        <v>0.60660660660659949</v>
      </c>
      <c r="AQ609">
        <f>SMALL('Iter No Test'!$W$9:$W$5008,607)</f>
        <v>116.90012670686143</v>
      </c>
      <c r="AR609">
        <f>1/(COUNT('Iter No Test'!$W$9:$W$5008)-1)+$AR$608</f>
        <v>0.12122424484896879</v>
      </c>
    </row>
    <row r="610" spans="19:44">
      <c r="S610">
        <v>602</v>
      </c>
      <c r="T610">
        <v>179.50555052535555</v>
      </c>
      <c r="V610">
        <v>602</v>
      </c>
      <c r="W610">
        <v>30.89743587239272</v>
      </c>
      <c r="AN610">
        <f>SMALL('Iter No Test'!$T$9:$T$1008,608)</f>
        <v>237.27383478864243</v>
      </c>
      <c r="AO610">
        <f>1/(COUNT('Iter No Test'!$T$9:$T$1008)-1)+$AO$609</f>
        <v>0.60760760760760046</v>
      </c>
      <c r="AQ610">
        <f>SMALL('Iter No Test'!$W$9:$W$5008,608)</f>
        <v>116.9026452630448</v>
      </c>
      <c r="AR610">
        <f>1/(COUNT('Iter No Test'!$W$9:$W$5008)-1)+$AR$609</f>
        <v>0.12142428485697039</v>
      </c>
    </row>
    <row r="611" spans="19:44">
      <c r="S611">
        <v>603</v>
      </c>
      <c r="T611">
        <v>113.45018290243567</v>
      </c>
      <c r="V611">
        <v>603</v>
      </c>
      <c r="W611">
        <v>217.77129994582924</v>
      </c>
      <c r="AN611">
        <f>SMALL('Iter No Test'!$T$9:$T$1008,609)</f>
        <v>237.4978632321685</v>
      </c>
      <c r="AO611">
        <f>1/(COUNT('Iter No Test'!$T$9:$T$1008)-1)+$AO$610</f>
        <v>0.60860860860860144</v>
      </c>
      <c r="AQ611">
        <f>SMALL('Iter No Test'!$W$9:$W$5008,609)</f>
        <v>116.90667563461348</v>
      </c>
      <c r="AR611">
        <f>1/(COUNT('Iter No Test'!$W$9:$W$5008)-1)+$AR$610</f>
        <v>0.12162432486497199</v>
      </c>
    </row>
    <row r="612" spans="19:44">
      <c r="S612">
        <v>604</v>
      </c>
      <c r="T612">
        <v>112.50935630767174</v>
      </c>
      <c r="V612">
        <v>604</v>
      </c>
      <c r="W612">
        <v>162.70241865184013</v>
      </c>
      <c r="AN612">
        <f>SMALL('Iter No Test'!$T$9:$T$1008,610)</f>
        <v>237.67675714049486</v>
      </c>
      <c r="AO612">
        <f>1/(COUNT('Iter No Test'!$T$9:$T$1008)-1)+$AO$611</f>
        <v>0.60960960960960242</v>
      </c>
      <c r="AQ612">
        <f>SMALL('Iter No Test'!$W$9:$W$5008,610)</f>
        <v>116.91122757682831</v>
      </c>
      <c r="AR612">
        <f>1/(COUNT('Iter No Test'!$W$9:$W$5008)-1)+$AR$611</f>
        <v>0.12182436487297359</v>
      </c>
    </row>
    <row r="613" spans="19:44">
      <c r="S613">
        <v>605</v>
      </c>
      <c r="T613">
        <v>104.82695981221696</v>
      </c>
      <c r="V613">
        <v>605</v>
      </c>
      <c r="W613">
        <v>192.07076165996469</v>
      </c>
      <c r="AN613">
        <f>SMALL('Iter No Test'!$T$9:$T$1008,611)</f>
        <v>237.9624002700308</v>
      </c>
      <c r="AO613">
        <f>1/(COUNT('Iter No Test'!$T$9:$T$1008)-1)+$AO$612</f>
        <v>0.6106106106106034</v>
      </c>
      <c r="AQ613">
        <f>SMALL('Iter No Test'!$W$9:$W$5008,611)</f>
        <v>116.93134875732244</v>
      </c>
      <c r="AR613">
        <f>1/(COUNT('Iter No Test'!$W$9:$W$5008)-1)+$AR$612</f>
        <v>0.12202440488097518</v>
      </c>
    </row>
    <row r="614" spans="19:44">
      <c r="S614">
        <v>606</v>
      </c>
      <c r="T614">
        <v>309.49443642400195</v>
      </c>
      <c r="V614">
        <v>606</v>
      </c>
      <c r="W614">
        <v>150.43126751023678</v>
      </c>
      <c r="AN614">
        <f>SMALL('Iter No Test'!$T$9:$T$1008,612)</f>
        <v>237.98056306015613</v>
      </c>
      <c r="AO614">
        <f>1/(COUNT('Iter No Test'!$T$9:$T$1008)-1)+$AO$613</f>
        <v>0.61161161161160438</v>
      </c>
      <c r="AQ614">
        <f>SMALL('Iter No Test'!$W$9:$W$5008,612)</f>
        <v>116.94865302973635</v>
      </c>
      <c r="AR614">
        <f>1/(COUNT('Iter No Test'!$W$9:$W$5008)-1)+$AR$613</f>
        <v>0.12222444488897678</v>
      </c>
    </row>
    <row r="615" spans="19:44">
      <c r="S615">
        <v>607</v>
      </c>
      <c r="T615">
        <v>125.25647370464488</v>
      </c>
      <c r="V615">
        <v>607</v>
      </c>
      <c r="W615">
        <v>96.352233665180535</v>
      </c>
      <c r="AN615">
        <f>SMALL('Iter No Test'!$T$9:$T$1008,613)</f>
        <v>238.35526672884433</v>
      </c>
      <c r="AO615">
        <f>1/(COUNT('Iter No Test'!$T$9:$T$1008)-1)+$AO$614</f>
        <v>0.61261261261260536</v>
      </c>
      <c r="AQ615">
        <f>SMALL('Iter No Test'!$W$9:$W$5008,613)</f>
        <v>117.07831402868908</v>
      </c>
      <c r="AR615">
        <f>1/(COUNT('Iter No Test'!$W$9:$W$5008)-1)+$AR$614</f>
        <v>0.12242448489697838</v>
      </c>
    </row>
    <row r="616" spans="19:44">
      <c r="S616">
        <v>608</v>
      </c>
      <c r="T616">
        <v>267.71627138642771</v>
      </c>
      <c r="V616">
        <v>608</v>
      </c>
      <c r="W616">
        <v>101.66587207600712</v>
      </c>
      <c r="AN616">
        <f>SMALL('Iter No Test'!$T$9:$T$1008,614)</f>
        <v>238.53610183639728</v>
      </c>
      <c r="AO616">
        <f>1/(COUNT('Iter No Test'!$T$9:$T$1008)-1)+$AO$615</f>
        <v>0.61361361361360633</v>
      </c>
      <c r="AQ616">
        <f>SMALL('Iter No Test'!$W$9:$W$5008,614)</f>
        <v>117.07834284246482</v>
      </c>
      <c r="AR616">
        <f>1/(COUNT('Iter No Test'!$W$9:$W$5008)-1)+$AR$615</f>
        <v>0.12262452490497998</v>
      </c>
    </row>
    <row r="617" spans="19:44">
      <c r="S617">
        <v>609</v>
      </c>
      <c r="T617">
        <v>237.9624002700308</v>
      </c>
      <c r="V617">
        <v>609</v>
      </c>
      <c r="W617">
        <v>171.18568818985884</v>
      </c>
      <c r="AN617">
        <f>SMALL('Iter No Test'!$T$9:$T$1008,615)</f>
        <v>239.25593366701554</v>
      </c>
      <c r="AO617">
        <f>1/(COUNT('Iter No Test'!$T$9:$T$1008)-1)+$AO$616</f>
        <v>0.61461461461460731</v>
      </c>
      <c r="AQ617">
        <f>SMALL('Iter No Test'!$W$9:$W$5008,615)</f>
        <v>117.0817819820037</v>
      </c>
      <c r="AR617">
        <f>1/(COUNT('Iter No Test'!$W$9:$W$5008)-1)+$AR$616</f>
        <v>0.12282456491298158</v>
      </c>
    </row>
    <row r="618" spans="19:44">
      <c r="S618">
        <v>610</v>
      </c>
      <c r="T618">
        <v>356.50493172883091</v>
      </c>
      <c r="V618">
        <v>610</v>
      </c>
      <c r="W618">
        <v>227.86398174070652</v>
      </c>
      <c r="AN618">
        <f>SMALL('Iter No Test'!$T$9:$T$1008,616)</f>
        <v>240.11550088756144</v>
      </c>
      <c r="AO618">
        <f>1/(COUNT('Iter No Test'!$T$9:$T$1008)-1)+$AO$617</f>
        <v>0.61561561561560829</v>
      </c>
      <c r="AQ618">
        <f>SMALL('Iter No Test'!$W$9:$W$5008,616)</f>
        <v>117.17283913810624</v>
      </c>
      <c r="AR618">
        <f>1/(COUNT('Iter No Test'!$W$9:$W$5008)-1)+$AR$617</f>
        <v>0.12302460492098317</v>
      </c>
    </row>
    <row r="619" spans="19:44">
      <c r="S619">
        <v>611</v>
      </c>
      <c r="T619">
        <v>248.41419404957475</v>
      </c>
      <c r="V619">
        <v>611</v>
      </c>
      <c r="W619">
        <v>127.9918379915195</v>
      </c>
      <c r="AN619">
        <f>SMALL('Iter No Test'!$T$9:$T$1008,617)</f>
        <v>240.17305379941106</v>
      </c>
      <c r="AO619">
        <f>1/(COUNT('Iter No Test'!$T$9:$T$1008)-1)+$AO$618</f>
        <v>0.61661661661660927</v>
      </c>
      <c r="AQ619">
        <f>SMALL('Iter No Test'!$W$9:$W$5008,617)</f>
        <v>117.19159374964465</v>
      </c>
      <c r="AR619">
        <f>1/(COUNT('Iter No Test'!$W$9:$W$5008)-1)+$AR$618</f>
        <v>0.12322464492898477</v>
      </c>
    </row>
    <row r="620" spans="19:44">
      <c r="S620">
        <v>612</v>
      </c>
      <c r="T620">
        <v>346.49927383837593</v>
      </c>
      <c r="V620">
        <v>612</v>
      </c>
      <c r="W620">
        <v>226.86621114324214</v>
      </c>
      <c r="AN620">
        <f>SMALL('Iter No Test'!$T$9:$T$1008,618)</f>
        <v>240.32311862018861</v>
      </c>
      <c r="AO620">
        <f>1/(COUNT('Iter No Test'!$T$9:$T$1008)-1)+$AO$619</f>
        <v>0.61761761761761025</v>
      </c>
      <c r="AQ620">
        <f>SMALL('Iter No Test'!$W$9:$W$5008,618)</f>
        <v>117.21193250147256</v>
      </c>
      <c r="AR620">
        <f>1/(COUNT('Iter No Test'!$W$9:$W$5008)-1)+$AR$619</f>
        <v>0.12342468493698637</v>
      </c>
    </row>
    <row r="621" spans="19:44">
      <c r="S621">
        <v>613</v>
      </c>
      <c r="T621">
        <v>83.324405027693359</v>
      </c>
      <c r="V621">
        <v>613</v>
      </c>
      <c r="W621">
        <v>386.2871564476718</v>
      </c>
      <c r="AN621">
        <f>SMALL('Iter No Test'!$T$9:$T$1008,619)</f>
        <v>240.50321881221797</v>
      </c>
      <c r="AO621">
        <f>1/(COUNT('Iter No Test'!$T$9:$T$1008)-1)+$AO$620</f>
        <v>0.61861861861861123</v>
      </c>
      <c r="AQ621">
        <f>SMALL('Iter No Test'!$W$9:$W$5008,619)</f>
        <v>117.26652734733887</v>
      </c>
      <c r="AR621">
        <f>1/(COUNT('Iter No Test'!$W$9:$W$5008)-1)+$AR$620</f>
        <v>0.12362472494498797</v>
      </c>
    </row>
    <row r="622" spans="19:44">
      <c r="S622">
        <v>614</v>
      </c>
      <c r="T622">
        <v>345.83100352638581</v>
      </c>
      <c r="V622">
        <v>614</v>
      </c>
      <c r="W622">
        <v>206.66007764394553</v>
      </c>
      <c r="AN622">
        <f>SMALL('Iter No Test'!$T$9:$T$1008,620)</f>
        <v>240.66934771729854</v>
      </c>
      <c r="AO622">
        <f>1/(COUNT('Iter No Test'!$T$9:$T$1008)-1)+$AO$621</f>
        <v>0.61961961961961221</v>
      </c>
      <c r="AQ622">
        <f>SMALL('Iter No Test'!$W$9:$W$5008,620)</f>
        <v>117.33534860871998</v>
      </c>
      <c r="AR622">
        <f>1/(COUNT('Iter No Test'!$W$9:$W$5008)-1)+$AR$621</f>
        <v>0.12382476495298957</v>
      </c>
    </row>
    <row r="623" spans="19:44">
      <c r="S623">
        <v>615</v>
      </c>
      <c r="T623">
        <v>310.41757869717969</v>
      </c>
      <c r="V623">
        <v>615</v>
      </c>
      <c r="W623">
        <v>254.78721384495398</v>
      </c>
      <c r="AN623">
        <f>SMALL('Iter No Test'!$T$9:$T$1008,621)</f>
        <v>240.70313957856104</v>
      </c>
      <c r="AO623">
        <f>1/(COUNT('Iter No Test'!$T$9:$T$1008)-1)+$AO$622</f>
        <v>0.62062062062061318</v>
      </c>
      <c r="AQ623">
        <f>SMALL('Iter No Test'!$W$9:$W$5008,621)</f>
        <v>117.3454415977381</v>
      </c>
      <c r="AR623">
        <f>1/(COUNT('Iter No Test'!$W$9:$W$5008)-1)+$AR$622</f>
        <v>0.12402480496099116</v>
      </c>
    </row>
    <row r="624" spans="19:44">
      <c r="S624">
        <v>616</v>
      </c>
      <c r="T624">
        <v>300.1757882960145</v>
      </c>
      <c r="V624">
        <v>616</v>
      </c>
      <c r="W624">
        <v>382.85641520847935</v>
      </c>
      <c r="AN624">
        <f>SMALL('Iter No Test'!$T$9:$T$1008,622)</f>
        <v>240.71071922243755</v>
      </c>
      <c r="AO624">
        <f>1/(COUNT('Iter No Test'!$T$9:$T$1008)-1)+$AO$623</f>
        <v>0.62162162162161416</v>
      </c>
      <c r="AQ624">
        <f>SMALL('Iter No Test'!$W$9:$W$5008,622)</f>
        <v>117.37056991886007</v>
      </c>
      <c r="AR624">
        <f>1/(COUNT('Iter No Test'!$W$9:$W$5008)-1)+$AR$623</f>
        <v>0.12422484496899276</v>
      </c>
    </row>
    <row r="625" spans="19:44">
      <c r="S625">
        <v>617</v>
      </c>
      <c r="T625">
        <v>105.89487243803751</v>
      </c>
      <c r="V625">
        <v>617</v>
      </c>
      <c r="W625">
        <v>137.8469408190131</v>
      </c>
      <c r="AN625">
        <f>SMALL('Iter No Test'!$T$9:$T$1008,623)</f>
        <v>240.75187257577619</v>
      </c>
      <c r="AO625">
        <f>1/(COUNT('Iter No Test'!$T$9:$T$1008)-1)+$AO$624</f>
        <v>0.62262262262261514</v>
      </c>
      <c r="AQ625">
        <f>SMALL('Iter No Test'!$W$9:$W$5008,623)</f>
        <v>117.50008119761628</v>
      </c>
      <c r="AR625">
        <f>1/(COUNT('Iter No Test'!$W$9:$W$5008)-1)+$AR$624</f>
        <v>0.12442488497699436</v>
      </c>
    </row>
    <row r="626" spans="19:44">
      <c r="S626">
        <v>618</v>
      </c>
      <c r="T626">
        <v>145.90973967557807</v>
      </c>
      <c r="V626">
        <v>618</v>
      </c>
      <c r="W626">
        <v>258.19940677256079</v>
      </c>
      <c r="AN626">
        <f>SMALL('Iter No Test'!$T$9:$T$1008,624)</f>
        <v>240.79668536004152</v>
      </c>
      <c r="AO626">
        <f>1/(COUNT('Iter No Test'!$T$9:$T$1008)-1)+$AO$625</f>
        <v>0.62362362362361612</v>
      </c>
      <c r="AQ626">
        <f>SMALL('Iter No Test'!$W$9:$W$5008,624)</f>
        <v>117.76806420018977</v>
      </c>
      <c r="AR626">
        <f>1/(COUNT('Iter No Test'!$W$9:$W$5008)-1)+$AR$625</f>
        <v>0.12462492498499596</v>
      </c>
    </row>
    <row r="627" spans="19:44">
      <c r="S627">
        <v>619</v>
      </c>
      <c r="T627">
        <v>394.11793700969389</v>
      </c>
      <c r="V627">
        <v>619</v>
      </c>
      <c r="W627">
        <v>188.17426577227545</v>
      </c>
      <c r="AN627">
        <f>SMALL('Iter No Test'!$T$9:$T$1008,625)</f>
        <v>241.31660299896953</v>
      </c>
      <c r="AO627">
        <f>1/(COUNT('Iter No Test'!$T$9:$T$1008)-1)+$AO$626</f>
        <v>0.6246246246246171</v>
      </c>
      <c r="AQ627">
        <f>SMALL('Iter No Test'!$W$9:$W$5008,625)</f>
        <v>117.80446245119407</v>
      </c>
      <c r="AR627">
        <f>1/(COUNT('Iter No Test'!$W$9:$W$5008)-1)+$AR$626</f>
        <v>0.12482496499299756</v>
      </c>
    </row>
    <row r="628" spans="19:44">
      <c r="S628">
        <v>620</v>
      </c>
      <c r="T628">
        <v>126.72681209644703</v>
      </c>
      <c r="V628">
        <v>620</v>
      </c>
      <c r="W628">
        <v>137.37816408979643</v>
      </c>
      <c r="AN628">
        <f>SMALL('Iter No Test'!$T$9:$T$1008,626)</f>
        <v>241.55249767995042</v>
      </c>
      <c r="AO628">
        <f>1/(COUNT('Iter No Test'!$T$9:$T$1008)-1)+$AO$627</f>
        <v>0.62562562562561808</v>
      </c>
      <c r="AQ628">
        <f>SMALL('Iter No Test'!$W$9:$W$5008,626)</f>
        <v>117.81839518533374</v>
      </c>
      <c r="AR628">
        <f>1/(COUNT('Iter No Test'!$W$9:$W$5008)-1)+$AR$627</f>
        <v>0.12502500500099917</v>
      </c>
    </row>
    <row r="629" spans="19:44">
      <c r="S629">
        <v>621</v>
      </c>
      <c r="T629">
        <v>223.00770629101862</v>
      </c>
      <c r="V629">
        <v>621</v>
      </c>
      <c r="W629">
        <v>381.18571570555468</v>
      </c>
      <c r="AN629">
        <f>SMALL('Iter No Test'!$T$9:$T$1008,627)</f>
        <v>241.7988776075025</v>
      </c>
      <c r="AO629">
        <f>1/(COUNT('Iter No Test'!$T$9:$T$1008)-1)+$AO$628</f>
        <v>0.62662662662661905</v>
      </c>
      <c r="AQ629">
        <f>SMALL('Iter No Test'!$W$9:$W$5008,627)</f>
        <v>117.92091685312337</v>
      </c>
      <c r="AR629">
        <f>1/(COUNT('Iter No Test'!$W$9:$W$5008)-1)+$AR$628</f>
        <v>0.12522504500900078</v>
      </c>
    </row>
    <row r="630" spans="19:44">
      <c r="S630">
        <v>622</v>
      </c>
      <c r="T630">
        <v>172.66398780998196</v>
      </c>
      <c r="V630">
        <v>622</v>
      </c>
      <c r="W630">
        <v>233.98128866026039</v>
      </c>
      <c r="AN630">
        <f>SMALL('Iter No Test'!$T$9:$T$1008,628)</f>
        <v>242.35666473035948</v>
      </c>
      <c r="AO630">
        <f>1/(COUNT('Iter No Test'!$T$9:$T$1008)-1)+$AO$629</f>
        <v>0.62762762762762003</v>
      </c>
      <c r="AQ630">
        <f>SMALL('Iter No Test'!$W$9:$W$5008,628)</f>
        <v>118.03366324526706</v>
      </c>
      <c r="AR630">
        <f>1/(COUNT('Iter No Test'!$W$9:$W$5008)-1)+$AR$629</f>
        <v>0.12542508501700239</v>
      </c>
    </row>
    <row r="631" spans="19:44">
      <c r="S631">
        <v>623</v>
      </c>
      <c r="T631">
        <v>197.0170589878374</v>
      </c>
      <c r="V631">
        <v>623</v>
      </c>
      <c r="W631">
        <v>254.57007551972939</v>
      </c>
      <c r="AN631">
        <f>SMALL('Iter No Test'!$T$9:$T$1008,629)</f>
        <v>243.0067014263829</v>
      </c>
      <c r="AO631">
        <f>1/(COUNT('Iter No Test'!$T$9:$T$1008)-1)+$AO$630</f>
        <v>0.62862862862862101</v>
      </c>
      <c r="AQ631">
        <f>SMALL('Iter No Test'!$W$9:$W$5008,629)</f>
        <v>118.10213771927161</v>
      </c>
      <c r="AR631">
        <f>1/(COUNT('Iter No Test'!$W$9:$W$5008)-1)+$AR$630</f>
        <v>0.125625125025004</v>
      </c>
    </row>
    <row r="632" spans="19:44">
      <c r="S632">
        <v>624</v>
      </c>
      <c r="T632">
        <v>141.40355623816902</v>
      </c>
      <c r="V632">
        <v>624</v>
      </c>
      <c r="W632">
        <v>246.87391078758191</v>
      </c>
      <c r="AN632">
        <f>SMALL('Iter No Test'!$T$9:$T$1008,630)</f>
        <v>243.06720419234148</v>
      </c>
      <c r="AO632">
        <f>1/(COUNT('Iter No Test'!$T$9:$T$1008)-1)+$AO$631</f>
        <v>0.62962962962962199</v>
      </c>
      <c r="AQ632">
        <f>SMALL('Iter No Test'!$W$9:$W$5008,630)</f>
        <v>118.25107440785324</v>
      </c>
      <c r="AR632">
        <f>1/(COUNT('Iter No Test'!$W$9:$W$5008)-1)+$AR$631</f>
        <v>0.12582516503300561</v>
      </c>
    </row>
    <row r="633" spans="19:44">
      <c r="S633">
        <v>625</v>
      </c>
      <c r="T633">
        <v>144.27777373043708</v>
      </c>
      <c r="V633">
        <v>625</v>
      </c>
      <c r="W633">
        <v>321.1290789732106</v>
      </c>
      <c r="AN633">
        <f>SMALL('Iter No Test'!$T$9:$T$1008,631)</f>
        <v>243.27715027407936</v>
      </c>
      <c r="AO633">
        <f>1/(COUNT('Iter No Test'!$T$9:$T$1008)-1)+$AO$632</f>
        <v>0.63063063063062297</v>
      </c>
      <c r="AQ633">
        <f>SMALL('Iter No Test'!$W$9:$W$5008,631)</f>
        <v>118.29344774252721</v>
      </c>
      <c r="AR633">
        <f>1/(COUNT('Iter No Test'!$W$9:$W$5008)-1)+$AR$632</f>
        <v>0.12602520504100723</v>
      </c>
    </row>
    <row r="634" spans="19:44">
      <c r="S634">
        <v>626</v>
      </c>
      <c r="T634">
        <v>112.71045366186199</v>
      </c>
      <c r="V634">
        <v>626</v>
      </c>
      <c r="W634">
        <v>191.54282403571719</v>
      </c>
      <c r="AN634">
        <f>SMALL('Iter No Test'!$T$9:$T$1008,632)</f>
        <v>243.34682221095557</v>
      </c>
      <c r="AO634">
        <f>1/(COUNT('Iter No Test'!$T$9:$T$1008)-1)+$AO$633</f>
        <v>0.63163163163162395</v>
      </c>
      <c r="AQ634">
        <f>SMALL('Iter No Test'!$W$9:$W$5008,632)</f>
        <v>118.36240014206106</v>
      </c>
      <c r="AR634">
        <f>1/(COUNT('Iter No Test'!$W$9:$W$5008)-1)+$AR$633</f>
        <v>0.12622524504900884</v>
      </c>
    </row>
    <row r="635" spans="19:44">
      <c r="S635">
        <v>627</v>
      </c>
      <c r="T635">
        <v>223.11039157393239</v>
      </c>
      <c r="V635">
        <v>627</v>
      </c>
      <c r="W635">
        <v>230.25108845100218</v>
      </c>
      <c r="AN635">
        <f>SMALL('Iter No Test'!$T$9:$T$1008,633)</f>
        <v>243.78706891571341</v>
      </c>
      <c r="AO635">
        <f>1/(COUNT('Iter No Test'!$T$9:$T$1008)-1)+$AO$634</f>
        <v>0.63263263263262492</v>
      </c>
      <c r="AQ635">
        <f>SMALL('Iter No Test'!$W$9:$W$5008,633)</f>
        <v>118.37490332183876</v>
      </c>
      <c r="AR635">
        <f>1/(COUNT('Iter No Test'!$W$9:$W$5008)-1)+$AR$634</f>
        <v>0.12642528505701045</v>
      </c>
    </row>
    <row r="636" spans="19:44">
      <c r="S636">
        <v>628</v>
      </c>
      <c r="T636">
        <v>220.45753851041775</v>
      </c>
      <c r="V636">
        <v>628</v>
      </c>
      <c r="W636">
        <v>55.139108409252515</v>
      </c>
      <c r="AN636">
        <f>SMALL('Iter No Test'!$T$9:$T$1008,634)</f>
        <v>244.07830410778141</v>
      </c>
      <c r="AO636">
        <f>1/(COUNT('Iter No Test'!$T$9:$T$1008)-1)+$AO$635</f>
        <v>0.6336336336336259</v>
      </c>
      <c r="AQ636">
        <f>SMALL('Iter No Test'!$W$9:$W$5008,634)</f>
        <v>118.57074623587593</v>
      </c>
      <c r="AR636">
        <f>1/(COUNT('Iter No Test'!$W$9:$W$5008)-1)+$AR$635</f>
        <v>0.12662532506501206</v>
      </c>
    </row>
    <row r="637" spans="19:44">
      <c r="S637">
        <v>629</v>
      </c>
      <c r="T637">
        <v>243.06720419234148</v>
      </c>
      <c r="V637">
        <v>629</v>
      </c>
      <c r="W637">
        <v>168.49625383072981</v>
      </c>
      <c r="AN637">
        <f>SMALL('Iter No Test'!$T$9:$T$1008,635)</f>
        <v>244.17310611903298</v>
      </c>
      <c r="AO637">
        <f>1/(COUNT('Iter No Test'!$T$9:$T$1008)-1)+$AO$636</f>
        <v>0.63463463463462688</v>
      </c>
      <c r="AQ637">
        <f>SMALL('Iter No Test'!$W$9:$W$5008,635)</f>
        <v>118.64229297549424</v>
      </c>
      <c r="AR637">
        <f>1/(COUNT('Iter No Test'!$W$9:$W$5008)-1)+$AR$636</f>
        <v>0.12682536507301367</v>
      </c>
    </row>
    <row r="638" spans="19:44">
      <c r="S638">
        <v>630</v>
      </c>
      <c r="T638">
        <v>307.85665012460629</v>
      </c>
      <c r="V638">
        <v>630</v>
      </c>
      <c r="W638">
        <v>165.74358219892926</v>
      </c>
      <c r="AN638">
        <f>SMALL('Iter No Test'!$T$9:$T$1008,636)</f>
        <v>244.85708728689622</v>
      </c>
      <c r="AO638">
        <f>1/(COUNT('Iter No Test'!$T$9:$T$1008)-1)+$AO$637</f>
        <v>0.63563563563562786</v>
      </c>
      <c r="AQ638">
        <f>SMALL('Iter No Test'!$W$9:$W$5008,636)</f>
        <v>118.68367734825927</v>
      </c>
      <c r="AR638">
        <f>1/(COUNT('Iter No Test'!$W$9:$W$5008)-1)+$AR$637</f>
        <v>0.12702540508101529</v>
      </c>
    </row>
    <row r="639" spans="19:44">
      <c r="S639">
        <v>631</v>
      </c>
      <c r="T639">
        <v>162.4618556154758</v>
      </c>
      <c r="V639">
        <v>631</v>
      </c>
      <c r="W639">
        <v>187.02488462976231</v>
      </c>
      <c r="AN639">
        <f>SMALL('Iter No Test'!$T$9:$T$1008,637)</f>
        <v>244.93605067972146</v>
      </c>
      <c r="AO639">
        <f>1/(COUNT('Iter No Test'!$T$9:$T$1008)-1)+$AO$638</f>
        <v>0.63663663663662884</v>
      </c>
      <c r="AQ639">
        <f>SMALL('Iter No Test'!$W$9:$W$5008,637)</f>
        <v>118.8649411887952</v>
      </c>
      <c r="AR639">
        <f>1/(COUNT('Iter No Test'!$W$9:$W$5008)-1)+$AR$638</f>
        <v>0.1272254450890169</v>
      </c>
    </row>
    <row r="640" spans="19:44">
      <c r="S640">
        <v>632</v>
      </c>
      <c r="T640">
        <v>211.80735223360313</v>
      </c>
      <c r="V640">
        <v>632</v>
      </c>
      <c r="W640">
        <v>249.40856340057059</v>
      </c>
      <c r="AN640">
        <f>SMALL('Iter No Test'!$T$9:$T$1008,638)</f>
        <v>244.94039529916293</v>
      </c>
      <c r="AO640">
        <f>1/(COUNT('Iter No Test'!$T$9:$T$1008)-1)+$AO$639</f>
        <v>0.63763763763762982</v>
      </c>
      <c r="AQ640">
        <f>SMALL('Iter No Test'!$W$9:$W$5008,638)</f>
        <v>118.99686600362693</v>
      </c>
      <c r="AR640">
        <f>1/(COUNT('Iter No Test'!$W$9:$W$5008)-1)+$AR$639</f>
        <v>0.12742548509701851</v>
      </c>
    </row>
    <row r="641" spans="19:44">
      <c r="S641">
        <v>633</v>
      </c>
      <c r="T641">
        <v>290.44392430782204</v>
      </c>
      <c r="V641">
        <v>633</v>
      </c>
      <c r="W641">
        <v>162.53587557728451</v>
      </c>
      <c r="AN641">
        <f>SMALL('Iter No Test'!$T$9:$T$1008,639)</f>
        <v>244.96432998106806</v>
      </c>
      <c r="AO641">
        <f>1/(COUNT('Iter No Test'!$T$9:$T$1008)-1)+$AO$640</f>
        <v>0.6386386386386308</v>
      </c>
      <c r="AQ641">
        <f>SMALL('Iter No Test'!$W$9:$W$5008,639)</f>
        <v>119.13722940812963</v>
      </c>
      <c r="AR641">
        <f>1/(COUNT('Iter No Test'!$W$9:$W$5008)-1)+$AR$640</f>
        <v>0.12762552510502012</v>
      </c>
    </row>
    <row r="642" spans="19:44">
      <c r="S642">
        <v>634</v>
      </c>
      <c r="T642">
        <v>332.02492129210077</v>
      </c>
      <c r="V642">
        <v>634</v>
      </c>
      <c r="W642">
        <v>162.26032250258902</v>
      </c>
      <c r="AN642">
        <f>SMALL('Iter No Test'!$T$9:$T$1008,640)</f>
        <v>245.15755031775657</v>
      </c>
      <c r="AO642">
        <f>1/(COUNT('Iter No Test'!$T$9:$T$1008)-1)+$AO$641</f>
        <v>0.63963963963963177</v>
      </c>
      <c r="AQ642">
        <f>SMALL('Iter No Test'!$W$9:$W$5008,640)</f>
        <v>119.13926713358131</v>
      </c>
      <c r="AR642">
        <f>1/(COUNT('Iter No Test'!$W$9:$W$5008)-1)+$AR$641</f>
        <v>0.12782556511302173</v>
      </c>
    </row>
    <row r="643" spans="19:44">
      <c r="S643">
        <v>635</v>
      </c>
      <c r="T643">
        <v>293.92738035503174</v>
      </c>
      <c r="V643">
        <v>635</v>
      </c>
      <c r="W643">
        <v>242.67795420557991</v>
      </c>
      <c r="AN643">
        <f>SMALL('Iter No Test'!$T$9:$T$1008,641)</f>
        <v>245.38480210334421</v>
      </c>
      <c r="AO643">
        <f>1/(COUNT('Iter No Test'!$T$9:$T$1008)-1)+$AO$642</f>
        <v>0.64064064064063275</v>
      </c>
      <c r="AQ643">
        <f>SMALL('Iter No Test'!$W$9:$W$5008,641)</f>
        <v>119.15286271002417</v>
      </c>
      <c r="AR643">
        <f>1/(COUNT('Iter No Test'!$W$9:$W$5008)-1)+$AR$642</f>
        <v>0.12802560512102334</v>
      </c>
    </row>
    <row r="644" spans="19:44">
      <c r="S644">
        <v>636</v>
      </c>
      <c r="T644">
        <v>247.46907845041324</v>
      </c>
      <c r="V644">
        <v>636</v>
      </c>
      <c r="W644">
        <v>264.28593763964807</v>
      </c>
      <c r="AN644">
        <f>SMALL('Iter No Test'!$T$9:$T$1008,642)</f>
        <v>245.78224422609665</v>
      </c>
      <c r="AO644">
        <f>1/(COUNT('Iter No Test'!$T$9:$T$1008)-1)+$AO$643</f>
        <v>0.64164164164163373</v>
      </c>
      <c r="AQ644">
        <f>SMALL('Iter No Test'!$W$9:$W$5008,642)</f>
        <v>119.16818484939057</v>
      </c>
      <c r="AR644">
        <f>1/(COUNT('Iter No Test'!$W$9:$W$5008)-1)+$AR$643</f>
        <v>0.12822564512902496</v>
      </c>
    </row>
    <row r="645" spans="19:44">
      <c r="S645">
        <v>637</v>
      </c>
      <c r="T645">
        <v>274.20851570017646</v>
      </c>
      <c r="V645">
        <v>637</v>
      </c>
      <c r="W645">
        <v>201.89978607026435</v>
      </c>
      <c r="AN645">
        <f>SMALL('Iter No Test'!$T$9:$T$1008,643)</f>
        <v>245.96817783027831</v>
      </c>
      <c r="AO645">
        <f>1/(COUNT('Iter No Test'!$T$9:$T$1008)-1)+$AO$644</f>
        <v>0.64264264264263471</v>
      </c>
      <c r="AQ645">
        <f>SMALL('Iter No Test'!$W$9:$W$5008,643)</f>
        <v>119.22875277324346</v>
      </c>
      <c r="AR645">
        <f>1/(COUNT('Iter No Test'!$W$9:$W$5008)-1)+$AR$644</f>
        <v>0.12842568513702657</v>
      </c>
    </row>
    <row r="646" spans="19:44">
      <c r="S646">
        <v>638</v>
      </c>
      <c r="T646">
        <v>327.29604043682389</v>
      </c>
      <c r="V646">
        <v>638</v>
      </c>
      <c r="W646">
        <v>231.58354051246434</v>
      </c>
      <c r="AN646">
        <f>SMALL('Iter No Test'!$T$9:$T$1008,644)</f>
        <v>246.03520710232951</v>
      </c>
      <c r="AO646">
        <f>1/(COUNT('Iter No Test'!$T$9:$T$1008)-1)+$AO$645</f>
        <v>0.64364364364363569</v>
      </c>
      <c r="AQ646">
        <f>SMALL('Iter No Test'!$W$9:$W$5008,644)</f>
        <v>119.33775535427365</v>
      </c>
      <c r="AR646">
        <f>1/(COUNT('Iter No Test'!$W$9:$W$5008)-1)+$AR$645</f>
        <v>0.12862572514502818</v>
      </c>
    </row>
    <row r="647" spans="19:44">
      <c r="S647">
        <v>639</v>
      </c>
      <c r="T647">
        <v>331.28114139509165</v>
      </c>
      <c r="V647">
        <v>639</v>
      </c>
      <c r="W647">
        <v>158.02532404843288</v>
      </c>
      <c r="AN647">
        <f>SMALL('Iter No Test'!$T$9:$T$1008,645)</f>
        <v>246.15710251991351</v>
      </c>
      <c r="AO647">
        <f>1/(COUNT('Iter No Test'!$T$9:$T$1008)-1)+$AO$646</f>
        <v>0.64464464464463667</v>
      </c>
      <c r="AQ647">
        <f>SMALL('Iter No Test'!$W$9:$W$5008,645)</f>
        <v>119.42139190883614</v>
      </c>
      <c r="AR647">
        <f>1/(COUNT('Iter No Test'!$W$9:$W$5008)-1)+$AR$646</f>
        <v>0.12882576515302979</v>
      </c>
    </row>
    <row r="648" spans="19:44">
      <c r="S648">
        <v>640</v>
      </c>
      <c r="T648">
        <v>257.70072600870304</v>
      </c>
      <c r="V648">
        <v>640</v>
      </c>
      <c r="W648">
        <v>30.353028290416148</v>
      </c>
      <c r="AN648">
        <f>SMALL('Iter No Test'!$T$9:$T$1008,646)</f>
        <v>246.2261805502601</v>
      </c>
      <c r="AO648">
        <f>1/(COUNT('Iter No Test'!$T$9:$T$1008)-1)+$AO$647</f>
        <v>0.64564564564563764</v>
      </c>
      <c r="AQ648">
        <f>SMALL('Iter No Test'!$W$9:$W$5008,646)</f>
        <v>119.54955887418721</v>
      </c>
      <c r="AR648">
        <f>1/(COUNT('Iter No Test'!$W$9:$W$5008)-1)+$AR$647</f>
        <v>0.1290258051610314</v>
      </c>
    </row>
    <row r="649" spans="19:44">
      <c r="S649">
        <v>641</v>
      </c>
      <c r="T649">
        <v>228.71939581966308</v>
      </c>
      <c r="V649">
        <v>641</v>
      </c>
      <c r="W649">
        <v>185.98588029630687</v>
      </c>
      <c r="AN649">
        <f>SMALL('Iter No Test'!$T$9:$T$1008,647)</f>
        <v>246.50459869532833</v>
      </c>
      <c r="AO649">
        <f>1/(COUNT('Iter No Test'!$T$9:$T$1008)-1)+$AO$648</f>
        <v>0.64664664664663862</v>
      </c>
      <c r="AQ649">
        <f>SMALL('Iter No Test'!$W$9:$W$5008,647)</f>
        <v>119.64275021882477</v>
      </c>
      <c r="AR649">
        <f>1/(COUNT('Iter No Test'!$W$9:$W$5008)-1)+$AR$648</f>
        <v>0.12922584516903302</v>
      </c>
    </row>
    <row r="650" spans="19:44">
      <c r="S650">
        <v>642</v>
      </c>
      <c r="T650">
        <v>127.82662717976217</v>
      </c>
      <c r="V650">
        <v>642</v>
      </c>
      <c r="W650">
        <v>351.68441946395006</v>
      </c>
      <c r="AN650">
        <f>SMALL('Iter No Test'!$T$9:$T$1008,648)</f>
        <v>246.52682908144959</v>
      </c>
      <c r="AO650">
        <f>1/(COUNT('Iter No Test'!$T$9:$T$1008)-1)+$AO$649</f>
        <v>0.6476476476476396</v>
      </c>
      <c r="AQ650">
        <f>SMALL('Iter No Test'!$W$9:$W$5008,648)</f>
        <v>119.64753011329236</v>
      </c>
      <c r="AR650">
        <f>1/(COUNT('Iter No Test'!$W$9:$W$5008)-1)+$AR$649</f>
        <v>0.12942588517703463</v>
      </c>
    </row>
    <row r="651" spans="19:44">
      <c r="S651">
        <v>643</v>
      </c>
      <c r="T651">
        <v>154.88372784729694</v>
      </c>
      <c r="V651">
        <v>643</v>
      </c>
      <c r="W651">
        <v>140.31926355151666</v>
      </c>
      <c r="AN651">
        <f>SMALL('Iter No Test'!$T$9:$T$1008,649)</f>
        <v>246.7830180024248</v>
      </c>
      <c r="AO651">
        <f>1/(COUNT('Iter No Test'!$T$9:$T$1008)-1)+$AO$650</f>
        <v>0.64864864864864058</v>
      </c>
      <c r="AQ651">
        <f>SMALL('Iter No Test'!$W$9:$W$5008,649)</f>
        <v>119.80257996052511</v>
      </c>
      <c r="AR651">
        <f>1/(COUNT('Iter No Test'!$W$9:$W$5008)-1)+$AR$650</f>
        <v>0.12962592518503624</v>
      </c>
    </row>
    <row r="652" spans="19:44">
      <c r="S652">
        <v>644</v>
      </c>
      <c r="T652">
        <v>192.37437363603397</v>
      </c>
      <c r="V652">
        <v>644</v>
      </c>
      <c r="W652">
        <v>251.27599884016999</v>
      </c>
      <c r="AN652">
        <f>SMALL('Iter No Test'!$T$9:$T$1008,650)</f>
        <v>246.82848326232218</v>
      </c>
      <c r="AO652">
        <f>1/(COUNT('Iter No Test'!$T$9:$T$1008)-1)+$AO$651</f>
        <v>0.64964964964964156</v>
      </c>
      <c r="AQ652">
        <f>SMALL('Iter No Test'!$W$9:$W$5008,650)</f>
        <v>119.81478421490127</v>
      </c>
      <c r="AR652">
        <f>1/(COUNT('Iter No Test'!$W$9:$W$5008)-1)+$AR$651</f>
        <v>0.12982596519303785</v>
      </c>
    </row>
    <row r="653" spans="19:44">
      <c r="S653">
        <v>645</v>
      </c>
      <c r="T653">
        <v>239.25593366701554</v>
      </c>
      <c r="V653">
        <v>645</v>
      </c>
      <c r="W653">
        <v>417.17512676230763</v>
      </c>
      <c r="AN653">
        <f>SMALL('Iter No Test'!$T$9:$T$1008,651)</f>
        <v>246.98112511311626</v>
      </c>
      <c r="AO653">
        <f>1/(COUNT('Iter No Test'!$T$9:$T$1008)-1)+$AO$652</f>
        <v>0.65065065065064254</v>
      </c>
      <c r="AQ653">
        <f>SMALL('Iter No Test'!$W$9:$W$5008,651)</f>
        <v>119.8586397131927</v>
      </c>
      <c r="AR653">
        <f>1/(COUNT('Iter No Test'!$W$9:$W$5008)-1)+$AR$652</f>
        <v>0.13002600520103946</v>
      </c>
    </row>
    <row r="654" spans="19:44">
      <c r="S654">
        <v>646</v>
      </c>
      <c r="T654">
        <v>131.07256055180756</v>
      </c>
      <c r="V654">
        <v>646</v>
      </c>
      <c r="W654">
        <v>104.42873652020249</v>
      </c>
      <c r="AN654">
        <f>SMALL('Iter No Test'!$T$9:$T$1008,652)</f>
        <v>247.01983801185756</v>
      </c>
      <c r="AO654">
        <f>1/(COUNT('Iter No Test'!$T$9:$T$1008)-1)+$AO$653</f>
        <v>0.65165165165164352</v>
      </c>
      <c r="AQ654">
        <f>SMALL('Iter No Test'!$W$9:$W$5008,652)</f>
        <v>120.10617696965973</v>
      </c>
      <c r="AR654">
        <f>1/(COUNT('Iter No Test'!$W$9:$W$5008)-1)+$AR$653</f>
        <v>0.13022604520904107</v>
      </c>
    </row>
    <row r="655" spans="19:44">
      <c r="S655">
        <v>647</v>
      </c>
      <c r="T655">
        <v>199.62502985508584</v>
      </c>
      <c r="V655">
        <v>647</v>
      </c>
      <c r="W655">
        <v>143.5225878610245</v>
      </c>
      <c r="AN655">
        <f>SMALL('Iter No Test'!$T$9:$T$1008,653)</f>
        <v>247.28232258338736</v>
      </c>
      <c r="AO655">
        <f>1/(COUNT('Iter No Test'!$T$9:$T$1008)-1)+$AO$654</f>
        <v>0.65265265265264449</v>
      </c>
      <c r="AQ655">
        <f>SMALL('Iter No Test'!$W$9:$W$5008,653)</f>
        <v>120.18481666682999</v>
      </c>
      <c r="AR655">
        <f>1/(COUNT('Iter No Test'!$W$9:$W$5008)-1)+$AR$654</f>
        <v>0.13042608521704269</v>
      </c>
    </row>
    <row r="656" spans="19:44">
      <c r="S656">
        <v>648</v>
      </c>
      <c r="T656">
        <v>201.24939085740127</v>
      </c>
      <c r="V656">
        <v>648</v>
      </c>
      <c r="W656">
        <v>93.833141667757744</v>
      </c>
      <c r="AN656">
        <f>SMALL('Iter No Test'!$T$9:$T$1008,654)</f>
        <v>247.46907845041324</v>
      </c>
      <c r="AO656">
        <f>1/(COUNT('Iter No Test'!$T$9:$T$1008)-1)+$AO$655</f>
        <v>0.65365365365364547</v>
      </c>
      <c r="AQ656">
        <f>SMALL('Iter No Test'!$W$9:$W$5008,654)</f>
        <v>120.2243249983114</v>
      </c>
      <c r="AR656">
        <f>1/(COUNT('Iter No Test'!$W$9:$W$5008)-1)+$AR$655</f>
        <v>0.1306261252250443</v>
      </c>
    </row>
    <row r="657" spans="19:44">
      <c r="S657">
        <v>649</v>
      </c>
      <c r="T657">
        <v>242.35666473035948</v>
      </c>
      <c r="V657">
        <v>649</v>
      </c>
      <c r="W657">
        <v>103.5275832857163</v>
      </c>
      <c r="AN657">
        <f>SMALL('Iter No Test'!$T$9:$T$1008,655)</f>
        <v>247.48165030680013</v>
      </c>
      <c r="AO657">
        <f>1/(COUNT('Iter No Test'!$T$9:$T$1008)-1)+$AO$656</f>
        <v>0.65465465465464645</v>
      </c>
      <c r="AQ657">
        <f>SMALL('Iter No Test'!$W$9:$W$5008,655)</f>
        <v>120.28493718406244</v>
      </c>
      <c r="AR657">
        <f>1/(COUNT('Iter No Test'!$W$9:$W$5008)-1)+$AR$656</f>
        <v>0.13082616523304591</v>
      </c>
    </row>
    <row r="658" spans="19:44">
      <c r="S658">
        <v>650</v>
      </c>
      <c r="T658">
        <v>112.59091010594715</v>
      </c>
      <c r="V658">
        <v>650</v>
      </c>
      <c r="W658">
        <v>211.94390207193052</v>
      </c>
      <c r="AN658">
        <f>SMALL('Iter No Test'!$T$9:$T$1008,656)</f>
        <v>247.58734118912221</v>
      </c>
      <c r="AO658">
        <f>1/(COUNT('Iter No Test'!$T$9:$T$1008)-1)+$AO$657</f>
        <v>0.65565565565564743</v>
      </c>
      <c r="AQ658">
        <f>SMALL('Iter No Test'!$W$9:$W$5008,656)</f>
        <v>120.29576640135966</v>
      </c>
      <c r="AR658">
        <f>1/(COUNT('Iter No Test'!$W$9:$W$5008)-1)+$AR$657</f>
        <v>0.13102620524104752</v>
      </c>
    </row>
    <row r="659" spans="19:44">
      <c r="S659">
        <v>651</v>
      </c>
      <c r="T659">
        <v>16.90454780358418</v>
      </c>
      <c r="V659">
        <v>651</v>
      </c>
      <c r="W659">
        <v>87.722736567109422</v>
      </c>
      <c r="AN659">
        <f>SMALL('Iter No Test'!$T$9:$T$1008,657)</f>
        <v>248.27671602464025</v>
      </c>
      <c r="AO659">
        <f>1/(COUNT('Iter No Test'!$T$9:$T$1008)-1)+$AO$658</f>
        <v>0.65665665665664841</v>
      </c>
      <c r="AQ659">
        <f>SMALL('Iter No Test'!$W$9:$W$5008,657)</f>
        <v>120.39535261262321</v>
      </c>
      <c r="AR659">
        <f>1/(COUNT('Iter No Test'!$W$9:$W$5008)-1)+$AR$658</f>
        <v>0.13122624524904913</v>
      </c>
    </row>
    <row r="660" spans="19:44">
      <c r="S660">
        <v>652</v>
      </c>
      <c r="T660">
        <v>230.74330681380982</v>
      </c>
      <c r="V660">
        <v>652</v>
      </c>
      <c r="W660">
        <v>65.444818081469691</v>
      </c>
      <c r="AN660">
        <f>SMALL('Iter No Test'!$T$9:$T$1008,658)</f>
        <v>248.41419404957475</v>
      </c>
      <c r="AO660">
        <f>1/(COUNT('Iter No Test'!$T$9:$T$1008)-1)+$AO$659</f>
        <v>0.65765765765764939</v>
      </c>
      <c r="AQ660">
        <f>SMALL('Iter No Test'!$W$9:$W$5008,658)</f>
        <v>120.42312470616137</v>
      </c>
      <c r="AR660">
        <f>1/(COUNT('Iter No Test'!$W$9:$W$5008)-1)+$AR$659</f>
        <v>0.13142628525705075</v>
      </c>
    </row>
    <row r="661" spans="19:44">
      <c r="S661">
        <v>653</v>
      </c>
      <c r="T661">
        <v>275.60013826207989</v>
      </c>
      <c r="V661">
        <v>653</v>
      </c>
      <c r="W661">
        <v>253.64861414272377</v>
      </c>
      <c r="AN661">
        <f>SMALL('Iter No Test'!$T$9:$T$1008,659)</f>
        <v>248.4876572897162</v>
      </c>
      <c r="AO661">
        <f>1/(COUNT('Iter No Test'!$T$9:$T$1008)-1)+$AO$660</f>
        <v>0.65865865865865036</v>
      </c>
      <c r="AQ661">
        <f>SMALL('Iter No Test'!$W$9:$W$5008,659)</f>
        <v>120.49377313309915</v>
      </c>
      <c r="AR661">
        <f>1/(COUNT('Iter No Test'!$W$9:$W$5008)-1)+$AR$660</f>
        <v>0.13162632526505236</v>
      </c>
    </row>
    <row r="662" spans="19:44">
      <c r="S662">
        <v>654</v>
      </c>
      <c r="T662">
        <v>285.76951398992708</v>
      </c>
      <c r="V662">
        <v>654</v>
      </c>
      <c r="W662">
        <v>210.40714493312981</v>
      </c>
      <c r="AN662">
        <f>SMALL('Iter No Test'!$T$9:$T$1008,660)</f>
        <v>248.54650936781448</v>
      </c>
      <c r="AO662">
        <f>1/(COUNT('Iter No Test'!$T$9:$T$1008)-1)+$AO$661</f>
        <v>0.65965965965965134</v>
      </c>
      <c r="AQ662">
        <f>SMALL('Iter No Test'!$W$9:$W$5008,660)</f>
        <v>120.49459084544694</v>
      </c>
      <c r="AR662">
        <f>1/(COUNT('Iter No Test'!$W$9:$W$5008)-1)+$AR$661</f>
        <v>0.13182636527305397</v>
      </c>
    </row>
    <row r="663" spans="19:44">
      <c r="S663">
        <v>655</v>
      </c>
      <c r="T663">
        <v>226.99538385524707</v>
      </c>
      <c r="V663">
        <v>655</v>
      </c>
      <c r="W663">
        <v>309.07446253747264</v>
      </c>
      <c r="AN663">
        <f>SMALL('Iter No Test'!$T$9:$T$1008,661)</f>
        <v>248.68476022178325</v>
      </c>
      <c r="AO663">
        <f>1/(COUNT('Iter No Test'!$T$9:$T$1008)-1)+$AO$662</f>
        <v>0.66066066066065232</v>
      </c>
      <c r="AQ663">
        <f>SMALL('Iter No Test'!$W$9:$W$5008,661)</f>
        <v>120.50762022398868</v>
      </c>
      <c r="AR663">
        <f>1/(COUNT('Iter No Test'!$W$9:$W$5008)-1)+$AR$662</f>
        <v>0.13202640528105558</v>
      </c>
    </row>
    <row r="664" spans="19:44">
      <c r="S664">
        <v>656</v>
      </c>
      <c r="T664">
        <v>182.2240399241752</v>
      </c>
      <c r="V664">
        <v>656</v>
      </c>
      <c r="W664">
        <v>292.86207559374566</v>
      </c>
      <c r="AN664">
        <f>SMALL('Iter No Test'!$T$9:$T$1008,662)</f>
        <v>248.98814839163771</v>
      </c>
      <c r="AO664">
        <f>1/(COUNT('Iter No Test'!$T$9:$T$1008)-1)+$AO$663</f>
        <v>0.6616616616616533</v>
      </c>
      <c r="AQ664">
        <f>SMALL('Iter No Test'!$W$9:$W$5008,662)</f>
        <v>120.52270002515195</v>
      </c>
      <c r="AR664">
        <f>1/(COUNT('Iter No Test'!$W$9:$W$5008)-1)+$AR$663</f>
        <v>0.13222644528905719</v>
      </c>
    </row>
    <row r="665" spans="19:44">
      <c r="S665">
        <v>657</v>
      </c>
      <c r="T665">
        <v>186.36005564672348</v>
      </c>
      <c r="V665">
        <v>657</v>
      </c>
      <c r="W665">
        <v>137.03210668033063</v>
      </c>
      <c r="AN665">
        <f>SMALL('Iter No Test'!$T$9:$T$1008,663)</f>
        <v>249.18839651770699</v>
      </c>
      <c r="AO665">
        <f>1/(COUNT('Iter No Test'!$T$9:$T$1008)-1)+$AO$664</f>
        <v>0.66266266266265428</v>
      </c>
      <c r="AQ665">
        <f>SMALL('Iter No Test'!$W$9:$W$5008,663)</f>
        <v>120.67204286635932</v>
      </c>
      <c r="AR665">
        <f>1/(COUNT('Iter No Test'!$W$9:$W$5008)-1)+$AR$664</f>
        <v>0.1324264852970588</v>
      </c>
    </row>
    <row r="666" spans="19:44">
      <c r="S666">
        <v>658</v>
      </c>
      <c r="T666">
        <v>165.08657413921728</v>
      </c>
      <c r="V666">
        <v>658</v>
      </c>
      <c r="W666">
        <v>196.21981484419825</v>
      </c>
      <c r="AN666">
        <f>SMALL('Iter No Test'!$T$9:$T$1008,664)</f>
        <v>249.40639422812825</v>
      </c>
      <c r="AO666">
        <f>1/(COUNT('Iter No Test'!$T$9:$T$1008)-1)+$AO$665</f>
        <v>0.66366366366365526</v>
      </c>
      <c r="AQ666">
        <f>SMALL('Iter No Test'!$W$9:$W$5008,664)</f>
        <v>120.72373540543479</v>
      </c>
      <c r="AR666">
        <f>1/(COUNT('Iter No Test'!$W$9:$W$5008)-1)+$AR$665</f>
        <v>0.13262652530506042</v>
      </c>
    </row>
    <row r="667" spans="19:44">
      <c r="S667">
        <v>659</v>
      </c>
      <c r="T667">
        <v>194.83762240100958</v>
      </c>
      <c r="V667">
        <v>659</v>
      </c>
      <c r="W667">
        <v>268.12474230618733</v>
      </c>
      <c r="AN667">
        <f>SMALL('Iter No Test'!$T$9:$T$1008,665)</f>
        <v>249.45214170844696</v>
      </c>
      <c r="AO667">
        <f>1/(COUNT('Iter No Test'!$T$9:$T$1008)-1)+$AO$666</f>
        <v>0.66466466466465624</v>
      </c>
      <c r="AQ667">
        <f>SMALL('Iter No Test'!$W$9:$W$5008,665)</f>
        <v>120.75584876823225</v>
      </c>
      <c r="AR667">
        <f>1/(COUNT('Iter No Test'!$W$9:$W$5008)-1)+$AR$666</f>
        <v>0.13282656531306203</v>
      </c>
    </row>
    <row r="668" spans="19:44">
      <c r="S668">
        <v>660</v>
      </c>
      <c r="T668">
        <v>139.00343804824666</v>
      </c>
      <c r="V668">
        <v>660</v>
      </c>
      <c r="W668">
        <v>252.99658230661336</v>
      </c>
      <c r="AN668">
        <f>SMALL('Iter No Test'!$T$9:$T$1008,666)</f>
        <v>249.5661348875438</v>
      </c>
      <c r="AO668">
        <f>1/(COUNT('Iter No Test'!$T$9:$T$1008)-1)+$AO$667</f>
        <v>0.66566566566565721</v>
      </c>
      <c r="AQ668">
        <f>SMALL('Iter No Test'!$W$9:$W$5008,666)</f>
        <v>120.76508187806155</v>
      </c>
      <c r="AR668">
        <f>1/(COUNT('Iter No Test'!$W$9:$W$5008)-1)+$AR$667</f>
        <v>0.13302660532106364</v>
      </c>
    </row>
    <row r="669" spans="19:44">
      <c r="S669">
        <v>661</v>
      </c>
      <c r="T669">
        <v>141.04044792348688</v>
      </c>
      <c r="V669">
        <v>661</v>
      </c>
      <c r="W669">
        <v>206.38276605638077</v>
      </c>
      <c r="AN669">
        <f>SMALL('Iter No Test'!$T$9:$T$1008,667)</f>
        <v>249.78083901165934</v>
      </c>
      <c r="AO669">
        <f>1/(COUNT('Iter No Test'!$T$9:$T$1008)-1)+$AO$668</f>
        <v>0.66666666666665819</v>
      </c>
      <c r="AQ669">
        <f>SMALL('Iter No Test'!$W$9:$W$5008,667)</f>
        <v>120.82117478657391</v>
      </c>
      <c r="AR669">
        <f>1/(COUNT('Iter No Test'!$W$9:$W$5008)-1)+$AR$668</f>
        <v>0.13322664532906525</v>
      </c>
    </row>
    <row r="670" spans="19:44">
      <c r="S670">
        <v>662</v>
      </c>
      <c r="T670">
        <v>280.53226279005412</v>
      </c>
      <c r="V670">
        <v>662</v>
      </c>
      <c r="W670">
        <v>281.75452202883343</v>
      </c>
      <c r="AN670">
        <f>SMALL('Iter No Test'!$T$9:$T$1008,668)</f>
        <v>250.17491834016272</v>
      </c>
      <c r="AO670">
        <f>1/(COUNT('Iter No Test'!$T$9:$T$1008)-1)+$AO$669</f>
        <v>0.66766766766765917</v>
      </c>
      <c r="AQ670">
        <f>SMALL('Iter No Test'!$W$9:$W$5008,668)</f>
        <v>120.9611778945675</v>
      </c>
      <c r="AR670">
        <f>1/(COUNT('Iter No Test'!$W$9:$W$5008)-1)+$AR$669</f>
        <v>0.13342668533706686</v>
      </c>
    </row>
    <row r="671" spans="19:44">
      <c r="S671">
        <v>663</v>
      </c>
      <c r="T671">
        <v>136.77890012323346</v>
      </c>
      <c r="V671">
        <v>663</v>
      </c>
      <c r="W671">
        <v>298.29820495104184</v>
      </c>
      <c r="AN671">
        <f>SMALL('Iter No Test'!$T$9:$T$1008,669)</f>
        <v>250.71850714316906</v>
      </c>
      <c r="AO671">
        <f>1/(COUNT('Iter No Test'!$T$9:$T$1008)-1)+$AO$670</f>
        <v>0.66866866866866015</v>
      </c>
      <c r="AQ671">
        <f>SMALL('Iter No Test'!$W$9:$W$5008,669)</f>
        <v>121.03796936030351</v>
      </c>
      <c r="AR671">
        <f>1/(COUNT('Iter No Test'!$W$9:$W$5008)-1)+$AR$670</f>
        <v>0.13362672534506848</v>
      </c>
    </row>
    <row r="672" spans="19:44">
      <c r="S672">
        <v>664</v>
      </c>
      <c r="T672">
        <v>87.780886835521713</v>
      </c>
      <c r="V672">
        <v>664</v>
      </c>
      <c r="W672">
        <v>205.71743397927798</v>
      </c>
      <c r="AN672">
        <f>SMALL('Iter No Test'!$T$9:$T$1008,670)</f>
        <v>250.96310377130382</v>
      </c>
      <c r="AO672">
        <f>1/(COUNT('Iter No Test'!$T$9:$T$1008)-1)+$AO$671</f>
        <v>0.66966966966966113</v>
      </c>
      <c r="AQ672">
        <f>SMALL('Iter No Test'!$W$9:$W$5008,670)</f>
        <v>121.14810087895842</v>
      </c>
      <c r="AR672">
        <f>1/(COUNT('Iter No Test'!$W$9:$W$5008)-1)+$AR$671</f>
        <v>0.13382676535307009</v>
      </c>
    </row>
    <row r="673" spans="19:44">
      <c r="S673">
        <v>665</v>
      </c>
      <c r="T673">
        <v>171.12657953501483</v>
      </c>
      <c r="V673">
        <v>665</v>
      </c>
      <c r="W673">
        <v>236.04643356945959</v>
      </c>
      <c r="AN673">
        <f>SMALL('Iter No Test'!$T$9:$T$1008,671)</f>
        <v>251.46639496253934</v>
      </c>
      <c r="AO673">
        <f>1/(COUNT('Iter No Test'!$T$9:$T$1008)-1)+$AO$672</f>
        <v>0.67067067067066211</v>
      </c>
      <c r="AQ673">
        <f>SMALL('Iter No Test'!$W$9:$W$5008,671)</f>
        <v>121.2315885550981</v>
      </c>
      <c r="AR673">
        <f>1/(COUNT('Iter No Test'!$W$9:$W$5008)-1)+$AR$672</f>
        <v>0.1340268053610717</v>
      </c>
    </row>
    <row r="674" spans="19:44">
      <c r="S674">
        <v>666</v>
      </c>
      <c r="T674">
        <v>197.86199011402849</v>
      </c>
      <c r="V674">
        <v>666</v>
      </c>
      <c r="W674">
        <v>269.29910537844563</v>
      </c>
      <c r="AN674">
        <f>SMALL('Iter No Test'!$T$9:$T$1008,672)</f>
        <v>251.60489685979047</v>
      </c>
      <c r="AO674">
        <f>1/(COUNT('Iter No Test'!$T$9:$T$1008)-1)+$AO$673</f>
        <v>0.67167167167166308</v>
      </c>
      <c r="AQ674">
        <f>SMALL('Iter No Test'!$W$9:$W$5008,672)</f>
        <v>121.28560047090548</v>
      </c>
      <c r="AR674">
        <f>1/(COUNT('Iter No Test'!$W$9:$W$5008)-1)+$AR$673</f>
        <v>0.13422684536907331</v>
      </c>
    </row>
    <row r="675" spans="19:44">
      <c r="S675">
        <v>667</v>
      </c>
      <c r="T675">
        <v>259.21400151691137</v>
      </c>
      <c r="V675">
        <v>667</v>
      </c>
      <c r="W675">
        <v>160.16718678241799</v>
      </c>
      <c r="AN675">
        <f>SMALL('Iter No Test'!$T$9:$T$1008,673)</f>
        <v>251.83282032357147</v>
      </c>
      <c r="AO675">
        <f>1/(COUNT('Iter No Test'!$T$9:$T$1008)-1)+$AO$674</f>
        <v>0.67267267267266406</v>
      </c>
      <c r="AQ675">
        <f>SMALL('Iter No Test'!$W$9:$W$5008,673)</f>
        <v>121.40349827759478</v>
      </c>
      <c r="AR675">
        <f>1/(COUNT('Iter No Test'!$W$9:$W$5008)-1)+$AR$674</f>
        <v>0.13442688537707492</v>
      </c>
    </row>
    <row r="676" spans="19:44">
      <c r="S676">
        <v>668</v>
      </c>
      <c r="T676">
        <v>272.1635396985713</v>
      </c>
      <c r="V676">
        <v>668</v>
      </c>
      <c r="W676">
        <v>275.81825975522167</v>
      </c>
      <c r="AN676">
        <f>SMALL('Iter No Test'!$T$9:$T$1008,674)</f>
        <v>252.02854017484481</v>
      </c>
      <c r="AO676">
        <f>1/(COUNT('Iter No Test'!$T$9:$T$1008)-1)+$AO$675</f>
        <v>0.67367367367366504</v>
      </c>
      <c r="AQ676">
        <f>SMALL('Iter No Test'!$W$9:$W$5008,674)</f>
        <v>121.45601545141008</v>
      </c>
      <c r="AR676">
        <f>1/(COUNT('Iter No Test'!$W$9:$W$5008)-1)+$AR$675</f>
        <v>0.13462692538507653</v>
      </c>
    </row>
    <row r="677" spans="19:44">
      <c r="S677">
        <v>669</v>
      </c>
      <c r="T677">
        <v>208.51035810025041</v>
      </c>
      <c r="V677">
        <v>669</v>
      </c>
      <c r="W677">
        <v>189.62015017765037</v>
      </c>
      <c r="AN677">
        <f>SMALL('Iter No Test'!$T$9:$T$1008,675)</f>
        <v>252.09275850782143</v>
      </c>
      <c r="AO677">
        <f>1/(COUNT('Iter No Test'!$T$9:$T$1008)-1)+$AO$676</f>
        <v>0.67467467467466602</v>
      </c>
      <c r="AQ677">
        <f>SMALL('Iter No Test'!$W$9:$W$5008,675)</f>
        <v>121.4988802513147</v>
      </c>
      <c r="AR677">
        <f>1/(COUNT('Iter No Test'!$W$9:$W$5008)-1)+$AR$676</f>
        <v>0.13482696539307815</v>
      </c>
    </row>
    <row r="678" spans="19:44">
      <c r="S678">
        <v>670</v>
      </c>
      <c r="T678">
        <v>237.05652132545092</v>
      </c>
      <c r="V678">
        <v>670</v>
      </c>
      <c r="W678">
        <v>52.81270778652474</v>
      </c>
      <c r="AN678">
        <f>SMALL('Iter No Test'!$T$9:$T$1008,676)</f>
        <v>252.24818924612404</v>
      </c>
      <c r="AO678">
        <f>1/(COUNT('Iter No Test'!$T$9:$T$1008)-1)+$AO$677</f>
        <v>0.675675675675667</v>
      </c>
      <c r="AQ678">
        <f>SMALL('Iter No Test'!$W$9:$W$5008,676)</f>
        <v>121.63867107757562</v>
      </c>
      <c r="AR678">
        <f>1/(COUNT('Iter No Test'!$W$9:$W$5008)-1)+$AR$677</f>
        <v>0.13502700540107976</v>
      </c>
    </row>
    <row r="679" spans="19:44">
      <c r="S679">
        <v>671</v>
      </c>
      <c r="T679">
        <v>153.08579132770993</v>
      </c>
      <c r="V679">
        <v>671</v>
      </c>
      <c r="W679">
        <v>231.75148936934315</v>
      </c>
      <c r="AN679">
        <f>SMALL('Iter No Test'!$T$9:$T$1008,677)</f>
        <v>252.34509887080034</v>
      </c>
      <c r="AO679">
        <f>1/(COUNT('Iter No Test'!$T$9:$T$1008)-1)+$AO$678</f>
        <v>0.67667667667666798</v>
      </c>
      <c r="AQ679">
        <f>SMALL('Iter No Test'!$W$9:$W$5008,677)</f>
        <v>121.71947535434994</v>
      </c>
      <c r="AR679">
        <f>1/(COUNT('Iter No Test'!$W$9:$W$5008)-1)+$AR$678</f>
        <v>0.13522704540908137</v>
      </c>
    </row>
    <row r="680" spans="19:44">
      <c r="S680">
        <v>672</v>
      </c>
      <c r="T680">
        <v>174.04744480437648</v>
      </c>
      <c r="V680">
        <v>672</v>
      </c>
      <c r="W680">
        <v>201.56672607583002</v>
      </c>
      <c r="AN680">
        <f>SMALL('Iter No Test'!$T$9:$T$1008,678)</f>
        <v>252.35007727509128</v>
      </c>
      <c r="AO680">
        <f>1/(COUNT('Iter No Test'!$T$9:$T$1008)-1)+$AO$679</f>
        <v>0.67767767767766895</v>
      </c>
      <c r="AQ680">
        <f>SMALL('Iter No Test'!$W$9:$W$5008,678)</f>
        <v>121.79316085916463</v>
      </c>
      <c r="AR680">
        <f>1/(COUNT('Iter No Test'!$W$9:$W$5008)-1)+$AR$679</f>
        <v>0.13542708541708298</v>
      </c>
    </row>
    <row r="681" spans="19:44">
      <c r="S681">
        <v>673</v>
      </c>
      <c r="T681">
        <v>140.72956399103782</v>
      </c>
      <c r="V681">
        <v>673</v>
      </c>
      <c r="W681">
        <v>114.17405957530771</v>
      </c>
      <c r="AN681">
        <f>SMALL('Iter No Test'!$T$9:$T$1008,679)</f>
        <v>252.78273113165608</v>
      </c>
      <c r="AO681">
        <f>1/(COUNT('Iter No Test'!$T$9:$T$1008)-1)+$AO$680</f>
        <v>0.67867867867866993</v>
      </c>
      <c r="AQ681">
        <f>SMALL('Iter No Test'!$W$9:$W$5008,679)</f>
        <v>121.90491010602425</v>
      </c>
      <c r="AR681">
        <f>1/(COUNT('Iter No Test'!$W$9:$W$5008)-1)+$AR$680</f>
        <v>0.13562712542508459</v>
      </c>
    </row>
    <row r="682" spans="19:44">
      <c r="S682">
        <v>674</v>
      </c>
      <c r="T682">
        <v>296.51908327893329</v>
      </c>
      <c r="V682">
        <v>674</v>
      </c>
      <c r="W682">
        <v>169.29726711038643</v>
      </c>
      <c r="AN682">
        <f>SMALL('Iter No Test'!$T$9:$T$1008,680)</f>
        <v>253.03022345065591</v>
      </c>
      <c r="AO682">
        <f>1/(COUNT('Iter No Test'!$T$9:$T$1008)-1)+$AO$681</f>
        <v>0.67967967967967091</v>
      </c>
      <c r="AQ682">
        <f>SMALL('Iter No Test'!$W$9:$W$5008,680)</f>
        <v>121.96950319665025</v>
      </c>
      <c r="AR682">
        <f>1/(COUNT('Iter No Test'!$W$9:$W$5008)-1)+$AR$681</f>
        <v>0.13582716543308621</v>
      </c>
    </row>
    <row r="683" spans="19:44">
      <c r="S683">
        <v>675</v>
      </c>
      <c r="T683">
        <v>282.26566894087193</v>
      </c>
      <c r="V683">
        <v>675</v>
      </c>
      <c r="W683">
        <v>336.63668837759138</v>
      </c>
      <c r="AN683">
        <f>SMALL('Iter No Test'!$T$9:$T$1008,681)</f>
        <v>253.31358366524302</v>
      </c>
      <c r="AO683">
        <f>1/(COUNT('Iter No Test'!$T$9:$T$1008)-1)+$AO$682</f>
        <v>0.68068068068067189</v>
      </c>
      <c r="AQ683">
        <f>SMALL('Iter No Test'!$W$9:$W$5008,681)</f>
        <v>122.28201443711211</v>
      </c>
      <c r="AR683">
        <f>1/(COUNT('Iter No Test'!$W$9:$W$5008)-1)+$AR$682</f>
        <v>0.13602720544108782</v>
      </c>
    </row>
    <row r="684" spans="19:44">
      <c r="S684">
        <v>676</v>
      </c>
      <c r="T684">
        <v>207.64285187885295</v>
      </c>
      <c r="V684">
        <v>676</v>
      </c>
      <c r="W684">
        <v>248.58088224327651</v>
      </c>
      <c r="AN684">
        <f>SMALL('Iter No Test'!$T$9:$T$1008,682)</f>
        <v>253.78261959936444</v>
      </c>
      <c r="AO684">
        <f>1/(COUNT('Iter No Test'!$T$9:$T$1008)-1)+$AO$683</f>
        <v>0.68168168168167287</v>
      </c>
      <c r="AQ684">
        <f>SMALL('Iter No Test'!$W$9:$W$5008,682)</f>
        <v>122.30728429766407</v>
      </c>
      <c r="AR684">
        <f>1/(COUNT('Iter No Test'!$W$9:$W$5008)-1)+$AR$683</f>
        <v>0.13622724544908943</v>
      </c>
    </row>
    <row r="685" spans="19:44">
      <c r="S685">
        <v>677</v>
      </c>
      <c r="T685">
        <v>178.50396639381154</v>
      </c>
      <c r="V685">
        <v>677</v>
      </c>
      <c r="W685">
        <v>265.22646953460981</v>
      </c>
      <c r="AN685">
        <f>SMALL('Iter No Test'!$T$9:$T$1008,683)</f>
        <v>253.85789296637282</v>
      </c>
      <c r="AO685">
        <f>1/(COUNT('Iter No Test'!$T$9:$T$1008)-1)+$AO$684</f>
        <v>0.68268268268267385</v>
      </c>
      <c r="AQ685">
        <f>SMALL('Iter No Test'!$W$9:$W$5008,683)</f>
        <v>122.41698545514954</v>
      </c>
      <c r="AR685">
        <f>1/(COUNT('Iter No Test'!$W$9:$W$5008)-1)+$AR$684</f>
        <v>0.13642728545709104</v>
      </c>
    </row>
    <row r="686" spans="19:44">
      <c r="S686">
        <v>678</v>
      </c>
      <c r="T686">
        <v>194.21210545772166</v>
      </c>
      <c r="V686">
        <v>678</v>
      </c>
      <c r="W686">
        <v>202.82202067303388</v>
      </c>
      <c r="AN686">
        <f>SMALL('Iter No Test'!$T$9:$T$1008,684)</f>
        <v>253.92318202178856</v>
      </c>
      <c r="AO686">
        <f>1/(COUNT('Iter No Test'!$T$9:$T$1008)-1)+$AO$685</f>
        <v>0.68368368368367483</v>
      </c>
      <c r="AQ686">
        <f>SMALL('Iter No Test'!$W$9:$W$5008,684)</f>
        <v>122.58875599573258</v>
      </c>
      <c r="AR686">
        <f>1/(COUNT('Iter No Test'!$W$9:$W$5008)-1)+$AR$685</f>
        <v>0.13662732546509265</v>
      </c>
    </row>
    <row r="687" spans="19:44">
      <c r="S687">
        <v>679</v>
      </c>
      <c r="T687">
        <v>201.75136955973636</v>
      </c>
      <c r="V687">
        <v>679</v>
      </c>
      <c r="W687">
        <v>213.74802900071757</v>
      </c>
      <c r="AN687">
        <f>SMALL('Iter No Test'!$T$9:$T$1008,685)</f>
        <v>254.2431885857518</v>
      </c>
      <c r="AO687">
        <f>1/(COUNT('Iter No Test'!$T$9:$T$1008)-1)+$AO$686</f>
        <v>0.6846846846846758</v>
      </c>
      <c r="AQ687">
        <f>SMALL('Iter No Test'!$W$9:$W$5008,685)</f>
        <v>122.62623445355705</v>
      </c>
      <c r="AR687">
        <f>1/(COUNT('Iter No Test'!$W$9:$W$5008)-1)+$AR$686</f>
        <v>0.13682736547309426</v>
      </c>
    </row>
    <row r="688" spans="19:44">
      <c r="S688">
        <v>680</v>
      </c>
      <c r="T688">
        <v>243.78706891571341</v>
      </c>
      <c r="V688">
        <v>680</v>
      </c>
      <c r="W688">
        <v>273.82187205665406</v>
      </c>
      <c r="AN688">
        <f>SMALL('Iter No Test'!$T$9:$T$1008,686)</f>
        <v>254.69718987404048</v>
      </c>
      <c r="AO688">
        <f>1/(COUNT('Iter No Test'!$T$9:$T$1008)-1)+$AO$687</f>
        <v>0.68568568568567678</v>
      </c>
      <c r="AQ688">
        <f>SMALL('Iter No Test'!$W$9:$W$5008,686)</f>
        <v>122.68843006974214</v>
      </c>
      <c r="AR688">
        <f>1/(COUNT('Iter No Test'!$W$9:$W$5008)-1)+$AR$687</f>
        <v>0.13702740548109588</v>
      </c>
    </row>
    <row r="689" spans="19:44">
      <c r="S689">
        <v>681</v>
      </c>
      <c r="T689">
        <v>303.73748715074396</v>
      </c>
      <c r="V689">
        <v>681</v>
      </c>
      <c r="W689">
        <v>373.83564563952461</v>
      </c>
      <c r="AN689">
        <f>SMALL('Iter No Test'!$T$9:$T$1008,687)</f>
        <v>255.03490207570022</v>
      </c>
      <c r="AO689">
        <f>1/(COUNT('Iter No Test'!$T$9:$T$1008)-1)+$AO$688</f>
        <v>0.68668668668667776</v>
      </c>
      <c r="AQ689">
        <f>SMALL('Iter No Test'!$W$9:$W$5008,687)</f>
        <v>122.69767482743802</v>
      </c>
      <c r="AR689">
        <f>1/(COUNT('Iter No Test'!$W$9:$W$5008)-1)+$AR$688</f>
        <v>0.13722744548909749</v>
      </c>
    </row>
    <row r="690" spans="19:44">
      <c r="S690">
        <v>682</v>
      </c>
      <c r="T690">
        <v>129.79124495850425</v>
      </c>
      <c r="V690">
        <v>682</v>
      </c>
      <c r="W690">
        <v>228.38454949624372</v>
      </c>
      <c r="AN690">
        <f>SMALL('Iter No Test'!$T$9:$T$1008,688)</f>
        <v>255.20735589161561</v>
      </c>
      <c r="AO690">
        <f>1/(COUNT('Iter No Test'!$T$9:$T$1008)-1)+$AO$689</f>
        <v>0.68768768768767874</v>
      </c>
      <c r="AQ690">
        <f>SMALL('Iter No Test'!$W$9:$W$5008,688)</f>
        <v>122.8355626859593</v>
      </c>
      <c r="AR690">
        <f>1/(COUNT('Iter No Test'!$W$9:$W$5008)-1)+$AR$689</f>
        <v>0.1374274854970991</v>
      </c>
    </row>
    <row r="691" spans="19:44">
      <c r="S691">
        <v>683</v>
      </c>
      <c r="T691">
        <v>128.68002989857476</v>
      </c>
      <c r="V691">
        <v>683</v>
      </c>
      <c r="W691">
        <v>240.20945271912413</v>
      </c>
      <c r="AN691">
        <f>SMALL('Iter No Test'!$T$9:$T$1008,689)</f>
        <v>255.55608818181014</v>
      </c>
      <c r="AO691">
        <f>1/(COUNT('Iter No Test'!$T$9:$T$1008)-1)+$AO$690</f>
        <v>0.68868868868867972</v>
      </c>
      <c r="AQ691">
        <f>SMALL('Iter No Test'!$W$9:$W$5008,689)</f>
        <v>122.88252310411504</v>
      </c>
      <c r="AR691">
        <f>1/(COUNT('Iter No Test'!$W$9:$W$5008)-1)+$AR$690</f>
        <v>0.13762752550510071</v>
      </c>
    </row>
    <row r="692" spans="19:44">
      <c r="S692">
        <v>684</v>
      </c>
      <c r="T692">
        <v>174.5766598866077</v>
      </c>
      <c r="V692">
        <v>684</v>
      </c>
      <c r="W692">
        <v>130.46376029645023</v>
      </c>
      <c r="AN692">
        <f>SMALL('Iter No Test'!$T$9:$T$1008,690)</f>
        <v>255.65438828983503</v>
      </c>
      <c r="AO692">
        <f>1/(COUNT('Iter No Test'!$T$9:$T$1008)-1)+$AO$691</f>
        <v>0.6896896896896807</v>
      </c>
      <c r="AQ692">
        <f>SMALL('Iter No Test'!$W$9:$W$5008,690)</f>
        <v>122.89403184406687</v>
      </c>
      <c r="AR692">
        <f>1/(COUNT('Iter No Test'!$W$9:$W$5008)-1)+$AR$691</f>
        <v>0.13782756551310232</v>
      </c>
    </row>
    <row r="693" spans="19:44">
      <c r="S693">
        <v>685</v>
      </c>
      <c r="T693">
        <v>377.72580525465145</v>
      </c>
      <c r="V693">
        <v>685</v>
      </c>
      <c r="W693">
        <v>144.75821589207976</v>
      </c>
      <c r="AN693">
        <f>SMALL('Iter No Test'!$T$9:$T$1008,691)</f>
        <v>255.81330238445514</v>
      </c>
      <c r="AO693">
        <f>1/(COUNT('Iter No Test'!$T$9:$T$1008)-1)+$AO$692</f>
        <v>0.69069069069068167</v>
      </c>
      <c r="AQ693">
        <f>SMALL('Iter No Test'!$W$9:$W$5008,691)</f>
        <v>123.01411934260655</v>
      </c>
      <c r="AR693">
        <f>1/(COUNT('Iter No Test'!$W$9:$W$5008)-1)+$AR$692</f>
        <v>0.13802760552110394</v>
      </c>
    </row>
    <row r="694" spans="19:44">
      <c r="S694">
        <v>686</v>
      </c>
      <c r="T694">
        <v>93.604462688950036</v>
      </c>
      <c r="V694">
        <v>686</v>
      </c>
      <c r="W694">
        <v>147.03279589961647</v>
      </c>
      <c r="AN694">
        <f>SMALL('Iter No Test'!$T$9:$T$1008,692)</f>
        <v>256.06463338578664</v>
      </c>
      <c r="AO694">
        <f>1/(COUNT('Iter No Test'!$T$9:$T$1008)-1)+$AO$693</f>
        <v>0.69169169169168265</v>
      </c>
      <c r="AQ694">
        <f>SMALL('Iter No Test'!$W$9:$W$5008,692)</f>
        <v>123.06416657243537</v>
      </c>
      <c r="AR694">
        <f>1/(COUNT('Iter No Test'!$W$9:$W$5008)-1)+$AR$693</f>
        <v>0.13822764552910555</v>
      </c>
    </row>
    <row r="695" spans="19:44">
      <c r="S695">
        <v>687</v>
      </c>
      <c r="T695">
        <v>253.92318202178856</v>
      </c>
      <c r="V695">
        <v>687</v>
      </c>
      <c r="W695">
        <v>193.7846165353584</v>
      </c>
      <c r="AN695">
        <f>SMALL('Iter No Test'!$T$9:$T$1008,693)</f>
        <v>256.17079918988713</v>
      </c>
      <c r="AO695">
        <f>1/(COUNT('Iter No Test'!$T$9:$T$1008)-1)+$AO$694</f>
        <v>0.69269269269268363</v>
      </c>
      <c r="AQ695">
        <f>SMALL('Iter No Test'!$W$9:$W$5008,693)</f>
        <v>123.09688935231161</v>
      </c>
      <c r="AR695">
        <f>1/(COUNT('Iter No Test'!$W$9:$W$5008)-1)+$AR$694</f>
        <v>0.13842768553710716</v>
      </c>
    </row>
    <row r="696" spans="19:44">
      <c r="S696">
        <v>688</v>
      </c>
      <c r="T696">
        <v>272.59194433228885</v>
      </c>
      <c r="V696">
        <v>688</v>
      </c>
      <c r="W696">
        <v>287.43160715051135</v>
      </c>
      <c r="AN696">
        <f>SMALL('Iter No Test'!$T$9:$T$1008,694)</f>
        <v>256.42394307388372</v>
      </c>
      <c r="AO696">
        <f>1/(COUNT('Iter No Test'!$T$9:$T$1008)-1)+$AO$695</f>
        <v>0.69369369369368461</v>
      </c>
      <c r="AQ696">
        <f>SMALL('Iter No Test'!$W$9:$W$5008,694)</f>
        <v>123.16208830571027</v>
      </c>
      <c r="AR696">
        <f>1/(COUNT('Iter No Test'!$W$9:$W$5008)-1)+$AR$695</f>
        <v>0.13862772554510877</v>
      </c>
    </row>
    <row r="697" spans="19:44">
      <c r="S697">
        <v>689</v>
      </c>
      <c r="T697">
        <v>203.93885625752432</v>
      </c>
      <c r="V697">
        <v>689</v>
      </c>
      <c r="W697">
        <v>337.61114431921357</v>
      </c>
      <c r="AN697">
        <f>SMALL('Iter No Test'!$T$9:$T$1008,695)</f>
        <v>256.78147060545291</v>
      </c>
      <c r="AO697">
        <f>1/(COUNT('Iter No Test'!$T$9:$T$1008)-1)+$AO$696</f>
        <v>0.69469469469468559</v>
      </c>
      <c r="AQ697">
        <f>SMALL('Iter No Test'!$W$9:$W$5008,695)</f>
        <v>123.24595898525973</v>
      </c>
      <c r="AR697">
        <f>1/(COUNT('Iter No Test'!$W$9:$W$5008)-1)+$AR$696</f>
        <v>0.13882776555311038</v>
      </c>
    </row>
    <row r="698" spans="19:44">
      <c r="S698">
        <v>690</v>
      </c>
      <c r="T698">
        <v>130.49471280445405</v>
      </c>
      <c r="V698">
        <v>690</v>
      </c>
      <c r="W698">
        <v>253.98726548533187</v>
      </c>
      <c r="AN698">
        <f>SMALL('Iter No Test'!$T$9:$T$1008,696)</f>
        <v>257.70072600870304</v>
      </c>
      <c r="AO698">
        <f>1/(COUNT('Iter No Test'!$T$9:$T$1008)-1)+$AO$697</f>
        <v>0.69569569569568657</v>
      </c>
      <c r="AQ698">
        <f>SMALL('Iter No Test'!$W$9:$W$5008,696)</f>
        <v>123.46277300284297</v>
      </c>
      <c r="AR698">
        <f>1/(COUNT('Iter No Test'!$W$9:$W$5008)-1)+$AR$697</f>
        <v>0.13902780556111199</v>
      </c>
    </row>
    <row r="699" spans="19:44">
      <c r="S699">
        <v>691</v>
      </c>
      <c r="T699">
        <v>197.18061664793373</v>
      </c>
      <c r="V699">
        <v>691</v>
      </c>
      <c r="W699">
        <v>198.77049163163727</v>
      </c>
      <c r="AN699">
        <f>SMALL('Iter No Test'!$T$9:$T$1008,697)</f>
        <v>257.87305970731688</v>
      </c>
      <c r="AO699">
        <f>1/(COUNT('Iter No Test'!$T$9:$T$1008)-1)+$AO$698</f>
        <v>0.69669669669668755</v>
      </c>
      <c r="AQ699">
        <f>SMALL('Iter No Test'!$W$9:$W$5008,697)</f>
        <v>123.50767935362549</v>
      </c>
      <c r="AR699">
        <f>1/(COUNT('Iter No Test'!$W$9:$W$5008)-1)+$AR$698</f>
        <v>0.13922784556911361</v>
      </c>
    </row>
    <row r="700" spans="19:44">
      <c r="S700">
        <v>692</v>
      </c>
      <c r="T700">
        <v>151.72827966860737</v>
      </c>
      <c r="V700">
        <v>692</v>
      </c>
      <c r="W700">
        <v>236.63905863263864</v>
      </c>
      <c r="AN700">
        <f>SMALL('Iter No Test'!$T$9:$T$1008,698)</f>
        <v>258.08550799083372</v>
      </c>
      <c r="AO700">
        <f>1/(COUNT('Iter No Test'!$T$9:$T$1008)-1)+$AO$699</f>
        <v>0.69769769769768852</v>
      </c>
      <c r="AQ700">
        <f>SMALL('Iter No Test'!$W$9:$W$5008,698)</f>
        <v>123.51671516738872</v>
      </c>
      <c r="AR700">
        <f>1/(COUNT('Iter No Test'!$W$9:$W$5008)-1)+$AR$699</f>
        <v>0.13942788557711522</v>
      </c>
    </row>
    <row r="701" spans="19:44">
      <c r="S701">
        <v>693</v>
      </c>
      <c r="T701">
        <v>275.1527605951253</v>
      </c>
      <c r="V701">
        <v>693</v>
      </c>
      <c r="W701">
        <v>278.2610205361803</v>
      </c>
      <c r="AN701">
        <f>SMALL('Iter No Test'!$T$9:$T$1008,699)</f>
        <v>258.19191119225604</v>
      </c>
      <c r="AO701">
        <f>1/(COUNT('Iter No Test'!$T$9:$T$1008)-1)+$AO$700</f>
        <v>0.6986986986986895</v>
      </c>
      <c r="AQ701">
        <f>SMALL('Iter No Test'!$W$9:$W$5008,699)</f>
        <v>123.58412861161342</v>
      </c>
      <c r="AR701">
        <f>1/(COUNT('Iter No Test'!$W$9:$W$5008)-1)+$AR$700</f>
        <v>0.13962792558511683</v>
      </c>
    </row>
    <row r="702" spans="19:44">
      <c r="S702">
        <v>694</v>
      </c>
      <c r="T702">
        <v>293.25004946972399</v>
      </c>
      <c r="V702">
        <v>694</v>
      </c>
      <c r="W702">
        <v>125.42956591767516</v>
      </c>
      <c r="AN702">
        <f>SMALL('Iter No Test'!$T$9:$T$1008,700)</f>
        <v>258.23292508870026</v>
      </c>
      <c r="AO702">
        <f>1/(COUNT('Iter No Test'!$T$9:$T$1008)-1)+$AO$701</f>
        <v>0.69969969969969048</v>
      </c>
      <c r="AQ702">
        <f>SMALL('Iter No Test'!$W$9:$W$5008,700)</f>
        <v>123.63621907729558</v>
      </c>
      <c r="AR702">
        <f>1/(COUNT('Iter No Test'!$W$9:$W$5008)-1)+$AR$701</f>
        <v>0.13982796559311844</v>
      </c>
    </row>
    <row r="703" spans="19:44">
      <c r="S703">
        <v>695</v>
      </c>
      <c r="T703">
        <v>125.46294129957369</v>
      </c>
      <c r="V703">
        <v>695</v>
      </c>
      <c r="W703">
        <v>87.659661918974564</v>
      </c>
      <c r="AN703">
        <f>SMALL('Iter No Test'!$T$9:$T$1008,701)</f>
        <v>258.39333460574449</v>
      </c>
      <c r="AO703">
        <f>1/(COUNT('Iter No Test'!$T$9:$T$1008)-1)+$AO$702</f>
        <v>0.70070070070069146</v>
      </c>
      <c r="AQ703">
        <f>SMALL('Iter No Test'!$W$9:$W$5008,701)</f>
        <v>123.70041263237263</v>
      </c>
      <c r="AR703">
        <f>1/(COUNT('Iter No Test'!$W$9:$W$5008)-1)+$AR$702</f>
        <v>0.14002800560112005</v>
      </c>
    </row>
    <row r="704" spans="19:44">
      <c r="S704">
        <v>696</v>
      </c>
      <c r="T704">
        <v>153.02415741019138</v>
      </c>
      <c r="V704">
        <v>696</v>
      </c>
      <c r="W704">
        <v>358.61647476264363</v>
      </c>
      <c r="AN704">
        <f>SMALL('Iter No Test'!$T$9:$T$1008,702)</f>
        <v>258.62240490232006</v>
      </c>
      <c r="AO704">
        <f>1/(COUNT('Iter No Test'!$T$9:$T$1008)-1)+$AO$703</f>
        <v>0.70170170170169244</v>
      </c>
      <c r="AQ704">
        <f>SMALL('Iter No Test'!$W$9:$W$5008,702)</f>
        <v>123.76747736333019</v>
      </c>
      <c r="AR704">
        <f>1/(COUNT('Iter No Test'!$W$9:$W$5008)-1)+$AR$703</f>
        <v>0.14022804560912167</v>
      </c>
    </row>
    <row r="705" spans="19:44">
      <c r="S705">
        <v>697</v>
      </c>
      <c r="T705">
        <v>240.11550088756144</v>
      </c>
      <c r="V705">
        <v>697</v>
      </c>
      <c r="W705">
        <v>362.48811552173873</v>
      </c>
      <c r="AN705">
        <f>SMALL('Iter No Test'!$T$9:$T$1008,703)</f>
        <v>259.21400151691137</v>
      </c>
      <c r="AO705">
        <f>1/(COUNT('Iter No Test'!$T$9:$T$1008)-1)+$AO$704</f>
        <v>0.70270270270269342</v>
      </c>
      <c r="AQ705">
        <f>SMALL('Iter No Test'!$W$9:$W$5008,703)</f>
        <v>124.00197412522336</v>
      </c>
      <c r="AR705">
        <f>1/(COUNT('Iter No Test'!$W$9:$W$5008)-1)+$AR$704</f>
        <v>0.14042808561712328</v>
      </c>
    </row>
    <row r="706" spans="19:44">
      <c r="S706">
        <v>698</v>
      </c>
      <c r="T706">
        <v>137.57892477208787</v>
      </c>
      <c r="V706">
        <v>698</v>
      </c>
      <c r="W706">
        <v>207.23197919682707</v>
      </c>
      <c r="AN706">
        <f>SMALL('Iter No Test'!$T$9:$T$1008,704)</f>
        <v>259.28919034233775</v>
      </c>
      <c r="AO706">
        <f>1/(COUNT('Iter No Test'!$T$9:$T$1008)-1)+$AO$705</f>
        <v>0.70370370370369439</v>
      </c>
      <c r="AQ706">
        <f>SMALL('Iter No Test'!$W$9:$W$5008,704)</f>
        <v>124.13149686072904</v>
      </c>
      <c r="AR706">
        <f>1/(COUNT('Iter No Test'!$W$9:$W$5008)-1)+$AR$705</f>
        <v>0.14062812562512489</v>
      </c>
    </row>
    <row r="707" spans="19:44">
      <c r="S707">
        <v>699</v>
      </c>
      <c r="T707">
        <v>319.13295689090569</v>
      </c>
      <c r="V707">
        <v>699</v>
      </c>
      <c r="W707">
        <v>155.59551247795289</v>
      </c>
      <c r="AN707">
        <f>SMALL('Iter No Test'!$T$9:$T$1008,705)</f>
        <v>259.78685777906628</v>
      </c>
      <c r="AO707">
        <f>1/(COUNT('Iter No Test'!$T$9:$T$1008)-1)+$AO$706</f>
        <v>0.70470470470469537</v>
      </c>
      <c r="AQ707">
        <f>SMALL('Iter No Test'!$W$9:$W$5008,705)</f>
        <v>124.15422165488336</v>
      </c>
      <c r="AR707">
        <f>1/(COUNT('Iter No Test'!$W$9:$W$5008)-1)+$AR$706</f>
        <v>0.1408281656331265</v>
      </c>
    </row>
    <row r="708" spans="19:44">
      <c r="S708">
        <v>700</v>
      </c>
      <c r="T708">
        <v>170.14007441647701</v>
      </c>
      <c r="V708">
        <v>700</v>
      </c>
      <c r="W708">
        <v>158.98555144153897</v>
      </c>
      <c r="AN708">
        <f>SMALL('Iter No Test'!$T$9:$T$1008,706)</f>
        <v>259.80806037444586</v>
      </c>
      <c r="AO708">
        <f>1/(COUNT('Iter No Test'!$T$9:$T$1008)-1)+$AO$707</f>
        <v>0.70570570570569635</v>
      </c>
      <c r="AQ708">
        <f>SMALL('Iter No Test'!$W$9:$W$5008,706)</f>
        <v>124.16827971209878</v>
      </c>
      <c r="AR708">
        <f>1/(COUNT('Iter No Test'!$W$9:$W$5008)-1)+$AR$707</f>
        <v>0.14102820564112811</v>
      </c>
    </row>
    <row r="709" spans="19:44">
      <c r="S709">
        <v>701</v>
      </c>
      <c r="T709">
        <v>121.77095589389729</v>
      </c>
      <c r="V709">
        <v>701</v>
      </c>
      <c r="W709">
        <v>199.52967316156415</v>
      </c>
      <c r="AN709">
        <f>SMALL('Iter No Test'!$T$9:$T$1008,707)</f>
        <v>259.83496380745163</v>
      </c>
      <c r="AO709">
        <f>1/(COUNT('Iter No Test'!$T$9:$T$1008)-1)+$AO$708</f>
        <v>0.70670670670669733</v>
      </c>
      <c r="AQ709">
        <f>SMALL('Iter No Test'!$W$9:$W$5008,707)</f>
        <v>124.18058647216786</v>
      </c>
      <c r="AR709">
        <f>1/(COUNT('Iter No Test'!$W$9:$W$5008)-1)+$AR$708</f>
        <v>0.14122824564912972</v>
      </c>
    </row>
    <row r="710" spans="19:44">
      <c r="S710">
        <v>702</v>
      </c>
      <c r="T710">
        <v>115.51981336612901</v>
      </c>
      <c r="V710">
        <v>702</v>
      </c>
      <c r="W710">
        <v>157.13735147719791</v>
      </c>
      <c r="AN710">
        <f>SMALL('Iter No Test'!$T$9:$T$1008,708)</f>
        <v>260.12757555219275</v>
      </c>
      <c r="AO710">
        <f>1/(COUNT('Iter No Test'!$T$9:$T$1008)-1)+$AO$709</f>
        <v>0.70770770770769831</v>
      </c>
      <c r="AQ710">
        <f>SMALL('Iter No Test'!$W$9:$W$5008,708)</f>
        <v>124.3289085579501</v>
      </c>
      <c r="AR710">
        <f>1/(COUNT('Iter No Test'!$W$9:$W$5008)-1)+$AR$709</f>
        <v>0.14142828565713134</v>
      </c>
    </row>
    <row r="711" spans="19:44">
      <c r="S711">
        <v>703</v>
      </c>
      <c r="T711">
        <v>209.14883024355947</v>
      </c>
      <c r="V711">
        <v>703</v>
      </c>
      <c r="W711">
        <v>225.97909847644939</v>
      </c>
      <c r="AN711">
        <f>SMALL('Iter No Test'!$T$9:$T$1008,709)</f>
        <v>260.19205825963849</v>
      </c>
      <c r="AO711">
        <f>1/(COUNT('Iter No Test'!$T$9:$T$1008)-1)+$AO$710</f>
        <v>0.70870870870869929</v>
      </c>
      <c r="AQ711">
        <f>SMALL('Iter No Test'!$W$9:$W$5008,709)</f>
        <v>124.59294544003195</v>
      </c>
      <c r="AR711">
        <f>1/(COUNT('Iter No Test'!$W$9:$W$5008)-1)+$AR$710</f>
        <v>0.14162832566513295</v>
      </c>
    </row>
    <row r="712" spans="19:44">
      <c r="S712">
        <v>704</v>
      </c>
      <c r="T712">
        <v>285.30631708638197</v>
      </c>
      <c r="V712">
        <v>704</v>
      </c>
      <c r="W712">
        <v>128.12393441008248</v>
      </c>
      <c r="AN712">
        <f>SMALL('Iter No Test'!$T$9:$T$1008,710)</f>
        <v>260.6824602139568</v>
      </c>
      <c r="AO712">
        <f>1/(COUNT('Iter No Test'!$T$9:$T$1008)-1)+$AO$711</f>
        <v>0.70970970970970026</v>
      </c>
      <c r="AQ712">
        <f>SMALL('Iter No Test'!$W$9:$W$5008,710)</f>
        <v>124.65217746806668</v>
      </c>
      <c r="AR712">
        <f>1/(COUNT('Iter No Test'!$W$9:$W$5008)-1)+$AR$711</f>
        <v>0.14182836567313456</v>
      </c>
    </row>
    <row r="713" spans="19:44">
      <c r="S713">
        <v>705</v>
      </c>
      <c r="T713">
        <v>223.84855210081992</v>
      </c>
      <c r="V713">
        <v>705</v>
      </c>
      <c r="W713">
        <v>153.53485265178134</v>
      </c>
      <c r="AN713">
        <f>SMALL('Iter No Test'!$T$9:$T$1008,711)</f>
        <v>260.84825075642095</v>
      </c>
      <c r="AO713">
        <f>1/(COUNT('Iter No Test'!$T$9:$T$1008)-1)+$AO$712</f>
        <v>0.71071071071070124</v>
      </c>
      <c r="AQ713">
        <f>SMALL('Iter No Test'!$W$9:$W$5008,711)</f>
        <v>124.68772290850349</v>
      </c>
      <c r="AR713">
        <f>1/(COUNT('Iter No Test'!$W$9:$W$5008)-1)+$AR$712</f>
        <v>0.14202840568113617</v>
      </c>
    </row>
    <row r="714" spans="19:44">
      <c r="S714">
        <v>706</v>
      </c>
      <c r="T714">
        <v>230.30991389614653</v>
      </c>
      <c r="V714">
        <v>706</v>
      </c>
      <c r="W714">
        <v>160.40507286561515</v>
      </c>
      <c r="AN714">
        <f>SMALL('Iter No Test'!$T$9:$T$1008,712)</f>
        <v>260.92359460728869</v>
      </c>
      <c r="AO714">
        <f>1/(COUNT('Iter No Test'!$T$9:$T$1008)-1)+$AO$713</f>
        <v>0.71171171171170222</v>
      </c>
      <c r="AQ714">
        <f>SMALL('Iter No Test'!$W$9:$W$5008,712)</f>
        <v>124.70495386842011</v>
      </c>
      <c r="AR714">
        <f>1/(COUNT('Iter No Test'!$W$9:$W$5008)-1)+$AR$713</f>
        <v>0.14222844568913778</v>
      </c>
    </row>
    <row r="715" spans="19:44">
      <c r="S715">
        <v>707</v>
      </c>
      <c r="T715">
        <v>350.21894989153816</v>
      </c>
      <c r="V715">
        <v>707</v>
      </c>
      <c r="W715">
        <v>138.75365982555138</v>
      </c>
      <c r="AN715">
        <f>SMALL('Iter No Test'!$T$9:$T$1008,713)</f>
        <v>261.33078720902847</v>
      </c>
      <c r="AO715">
        <f>1/(COUNT('Iter No Test'!$T$9:$T$1008)-1)+$AO$714</f>
        <v>0.7127127127127032</v>
      </c>
      <c r="AQ715">
        <f>SMALL('Iter No Test'!$W$9:$W$5008,713)</f>
        <v>124.71224063706347</v>
      </c>
      <c r="AR715">
        <f>1/(COUNT('Iter No Test'!$W$9:$W$5008)-1)+$AR$714</f>
        <v>0.1424284856971394</v>
      </c>
    </row>
    <row r="716" spans="19:44">
      <c r="S716">
        <v>708</v>
      </c>
      <c r="T716">
        <v>129.1681115660229</v>
      </c>
      <c r="V716">
        <v>708</v>
      </c>
      <c r="W716">
        <v>221.97712262261808</v>
      </c>
      <c r="AN716">
        <f>SMALL('Iter No Test'!$T$9:$T$1008,714)</f>
        <v>261.99972702544153</v>
      </c>
      <c r="AO716">
        <f>1/(COUNT('Iter No Test'!$T$9:$T$1008)-1)+$AO$715</f>
        <v>0.71371371371370418</v>
      </c>
      <c r="AQ716">
        <f>SMALL('Iter No Test'!$W$9:$W$5008,714)</f>
        <v>124.76511199103663</v>
      </c>
      <c r="AR716">
        <f>1/(COUNT('Iter No Test'!$W$9:$W$5008)-1)+$AR$715</f>
        <v>0.14262852570514101</v>
      </c>
    </row>
    <row r="717" spans="19:44">
      <c r="S717">
        <v>709</v>
      </c>
      <c r="T717">
        <v>253.78261959936444</v>
      </c>
      <c r="V717">
        <v>709</v>
      </c>
      <c r="W717">
        <v>145.69626655625535</v>
      </c>
      <c r="AN717">
        <f>SMALL('Iter No Test'!$T$9:$T$1008,715)</f>
        <v>262.21778092073009</v>
      </c>
      <c r="AO717">
        <f>1/(COUNT('Iter No Test'!$T$9:$T$1008)-1)+$AO$716</f>
        <v>0.71471471471470516</v>
      </c>
      <c r="AQ717">
        <f>SMALL('Iter No Test'!$W$9:$W$5008,715)</f>
        <v>124.76885422042187</v>
      </c>
      <c r="AR717">
        <f>1/(COUNT('Iter No Test'!$W$9:$W$5008)-1)+$AR$716</f>
        <v>0.14282856571314262</v>
      </c>
    </row>
    <row r="718" spans="19:44">
      <c r="S718">
        <v>710</v>
      </c>
      <c r="T718">
        <v>139.0989281069638</v>
      </c>
      <c r="V718">
        <v>710</v>
      </c>
      <c r="W718">
        <v>96.932669676197591</v>
      </c>
      <c r="AN718">
        <f>SMALL('Iter No Test'!$T$9:$T$1008,716)</f>
        <v>262.55932703886396</v>
      </c>
      <c r="AO718">
        <f>1/(COUNT('Iter No Test'!$T$9:$T$1008)-1)+$AO$717</f>
        <v>0.71571571571570614</v>
      </c>
      <c r="AQ718">
        <f>SMALL('Iter No Test'!$W$9:$W$5008,716)</f>
        <v>124.83344646533642</v>
      </c>
      <c r="AR718">
        <f>1/(COUNT('Iter No Test'!$W$9:$W$5008)-1)+$AR$717</f>
        <v>0.14302860572114423</v>
      </c>
    </row>
    <row r="719" spans="19:44">
      <c r="S719">
        <v>711</v>
      </c>
      <c r="T719">
        <v>112.99682897505031</v>
      </c>
      <c r="V719">
        <v>711</v>
      </c>
      <c r="W719">
        <v>106.8973162551336</v>
      </c>
      <c r="AN719">
        <f>SMALL('Iter No Test'!$T$9:$T$1008,717)</f>
        <v>263.2077070520337</v>
      </c>
      <c r="AO719">
        <f>1/(COUNT('Iter No Test'!$T$9:$T$1008)-1)+$AO$718</f>
        <v>0.71671671671670711</v>
      </c>
      <c r="AQ719">
        <f>SMALL('Iter No Test'!$W$9:$W$5008,717)</f>
        <v>124.85421584045275</v>
      </c>
      <c r="AR719">
        <f>1/(COUNT('Iter No Test'!$W$9:$W$5008)-1)+$AR$718</f>
        <v>0.14322864572914584</v>
      </c>
    </row>
    <row r="720" spans="19:44">
      <c r="S720">
        <v>712</v>
      </c>
      <c r="T720">
        <v>272.85564116367084</v>
      </c>
      <c r="V720">
        <v>712</v>
      </c>
      <c r="W720">
        <v>114.63754980139009</v>
      </c>
      <c r="AN720">
        <f>SMALL('Iter No Test'!$T$9:$T$1008,718)</f>
        <v>264.03505918329938</v>
      </c>
      <c r="AO720">
        <f>1/(COUNT('Iter No Test'!$T$9:$T$1008)-1)+$AO$719</f>
        <v>0.71771771771770809</v>
      </c>
      <c r="AQ720">
        <f>SMALL('Iter No Test'!$W$9:$W$5008,718)</f>
        <v>125.00222020637304</v>
      </c>
      <c r="AR720">
        <f>1/(COUNT('Iter No Test'!$W$9:$W$5008)-1)+$AR$719</f>
        <v>0.14342868573714745</v>
      </c>
    </row>
    <row r="721" spans="19:44">
      <c r="S721">
        <v>713</v>
      </c>
      <c r="T721">
        <v>427.2247392508815</v>
      </c>
      <c r="V721">
        <v>713</v>
      </c>
      <c r="W721">
        <v>292.99966887483697</v>
      </c>
      <c r="AN721">
        <f>SMALL('Iter No Test'!$T$9:$T$1008,719)</f>
        <v>264.13654500518055</v>
      </c>
      <c r="AO721">
        <f>1/(COUNT('Iter No Test'!$T$9:$T$1008)-1)+$AO$720</f>
        <v>0.71871871871870907</v>
      </c>
      <c r="AQ721">
        <f>SMALL('Iter No Test'!$W$9:$W$5008,719)</f>
        <v>125.09076803566732</v>
      </c>
      <c r="AR721">
        <f>1/(COUNT('Iter No Test'!$W$9:$W$5008)-1)+$AR$720</f>
        <v>0.14362872574514907</v>
      </c>
    </row>
    <row r="722" spans="19:44">
      <c r="S722">
        <v>714</v>
      </c>
      <c r="T722">
        <v>67.029054598891349</v>
      </c>
      <c r="V722">
        <v>714</v>
      </c>
      <c r="W722">
        <v>104.25692977429941</v>
      </c>
      <c r="AN722">
        <f>SMALL('Iter No Test'!$T$9:$T$1008,720)</f>
        <v>264.32506608049226</v>
      </c>
      <c r="AO722">
        <f>1/(COUNT('Iter No Test'!$T$9:$T$1008)-1)+$AO$721</f>
        <v>0.71971971971971005</v>
      </c>
      <c r="AQ722">
        <f>SMALL('Iter No Test'!$W$9:$W$5008,720)</f>
        <v>125.15683368556884</v>
      </c>
      <c r="AR722">
        <f>1/(COUNT('Iter No Test'!$W$9:$W$5008)-1)+$AR$721</f>
        <v>0.14382876575315068</v>
      </c>
    </row>
    <row r="723" spans="19:44">
      <c r="S723">
        <v>715</v>
      </c>
      <c r="T723">
        <v>379.67726292319179</v>
      </c>
      <c r="V723">
        <v>715</v>
      </c>
      <c r="W723">
        <v>252.05869611746391</v>
      </c>
      <c r="AN723">
        <f>SMALL('Iter No Test'!$T$9:$T$1008,721)</f>
        <v>264.34842625715839</v>
      </c>
      <c r="AO723">
        <f>1/(COUNT('Iter No Test'!$T$9:$T$1008)-1)+$AO$722</f>
        <v>0.72072072072071103</v>
      </c>
      <c r="AQ723">
        <f>SMALL('Iter No Test'!$W$9:$W$5008,721)</f>
        <v>125.16842273720017</v>
      </c>
      <c r="AR723">
        <f>1/(COUNT('Iter No Test'!$W$9:$W$5008)-1)+$AR$722</f>
        <v>0.14402880576115229</v>
      </c>
    </row>
    <row r="724" spans="19:44">
      <c r="S724">
        <v>716</v>
      </c>
      <c r="T724">
        <v>228.9887305927617</v>
      </c>
      <c r="V724">
        <v>716</v>
      </c>
      <c r="W724">
        <v>167.91892449988998</v>
      </c>
      <c r="AN724">
        <f>SMALL('Iter No Test'!$T$9:$T$1008,722)</f>
        <v>264.36456866672199</v>
      </c>
      <c r="AO724">
        <f>1/(COUNT('Iter No Test'!$T$9:$T$1008)-1)+$AO$723</f>
        <v>0.72172172172171201</v>
      </c>
      <c r="AQ724">
        <f>SMALL('Iter No Test'!$W$9:$W$5008,722)</f>
        <v>125.21014880062852</v>
      </c>
      <c r="AR724">
        <f>1/(COUNT('Iter No Test'!$W$9:$W$5008)-1)+$AR$723</f>
        <v>0.1442288457691539</v>
      </c>
    </row>
    <row r="725" spans="19:44">
      <c r="S725">
        <v>717</v>
      </c>
      <c r="T725">
        <v>200.09589609181754</v>
      </c>
      <c r="V725">
        <v>717</v>
      </c>
      <c r="W725">
        <v>230.34183528030402</v>
      </c>
      <c r="AN725">
        <f>SMALL('Iter No Test'!$T$9:$T$1008,723)</f>
        <v>264.40065088046595</v>
      </c>
      <c r="AO725">
        <f>1/(COUNT('Iter No Test'!$T$9:$T$1008)-1)+$AO$724</f>
        <v>0.72272272272271298</v>
      </c>
      <c r="AQ725">
        <f>SMALL('Iter No Test'!$W$9:$W$5008,723)</f>
        <v>125.34548942846573</v>
      </c>
      <c r="AR725">
        <f>1/(COUNT('Iter No Test'!$W$9:$W$5008)-1)+$AR$724</f>
        <v>0.14442888577715551</v>
      </c>
    </row>
    <row r="726" spans="19:44">
      <c r="S726">
        <v>718</v>
      </c>
      <c r="T726">
        <v>16.16767720709214</v>
      </c>
      <c r="V726">
        <v>718</v>
      </c>
      <c r="W726">
        <v>222.13945911528947</v>
      </c>
      <c r="AN726">
        <f>SMALL('Iter No Test'!$T$9:$T$1008,724)</f>
        <v>264.53577204158933</v>
      </c>
      <c r="AO726">
        <f>1/(COUNT('Iter No Test'!$T$9:$T$1008)-1)+$AO$725</f>
        <v>0.72372372372371396</v>
      </c>
      <c r="AQ726">
        <f>SMALL('Iter No Test'!$W$9:$W$5008,724)</f>
        <v>125.35678964435928</v>
      </c>
      <c r="AR726">
        <f>1/(COUNT('Iter No Test'!$W$9:$W$5008)-1)+$AR$725</f>
        <v>0.14462892578515713</v>
      </c>
    </row>
    <row r="727" spans="19:44">
      <c r="S727">
        <v>719</v>
      </c>
      <c r="T727">
        <v>219.41240673306189</v>
      </c>
      <c r="V727">
        <v>719</v>
      </c>
      <c r="W727">
        <v>389.25126738675181</v>
      </c>
      <c r="AN727">
        <f>SMALL('Iter No Test'!$T$9:$T$1008,725)</f>
        <v>264.54898470237219</v>
      </c>
      <c r="AO727">
        <f>1/(COUNT('Iter No Test'!$T$9:$T$1008)-1)+$AO$726</f>
        <v>0.72472472472471494</v>
      </c>
      <c r="AQ727">
        <f>SMALL('Iter No Test'!$W$9:$W$5008,725)</f>
        <v>125.42956591767516</v>
      </c>
      <c r="AR727">
        <f>1/(COUNT('Iter No Test'!$W$9:$W$5008)-1)+$AR$726</f>
        <v>0.14482896579315874</v>
      </c>
    </row>
    <row r="728" spans="19:44">
      <c r="S728">
        <v>720</v>
      </c>
      <c r="T728">
        <v>162.60583448478263</v>
      </c>
      <c r="V728">
        <v>720</v>
      </c>
      <c r="W728">
        <v>144.75268878830286</v>
      </c>
      <c r="AN728">
        <f>SMALL('Iter No Test'!$T$9:$T$1008,726)</f>
        <v>264.88758540830963</v>
      </c>
      <c r="AO728">
        <f>1/(COUNT('Iter No Test'!$T$9:$T$1008)-1)+$AO$727</f>
        <v>0.72572572572571592</v>
      </c>
      <c r="AQ728">
        <f>SMALL('Iter No Test'!$W$9:$W$5008,726)</f>
        <v>125.45827310222168</v>
      </c>
      <c r="AR728">
        <f>1/(COUNT('Iter No Test'!$W$9:$W$5008)-1)+$AR$727</f>
        <v>0.14502900580116035</v>
      </c>
    </row>
    <row r="729" spans="19:44">
      <c r="S729">
        <v>721</v>
      </c>
      <c r="T729">
        <v>326.72762181348673</v>
      </c>
      <c r="V729">
        <v>721</v>
      </c>
      <c r="W729">
        <v>199.46305779096181</v>
      </c>
      <c r="AN729">
        <f>SMALL('Iter No Test'!$T$9:$T$1008,727)</f>
        <v>265.0125408091136</v>
      </c>
      <c r="AO729">
        <f>1/(COUNT('Iter No Test'!$T$9:$T$1008)-1)+$AO$728</f>
        <v>0.7267267267267169</v>
      </c>
      <c r="AQ729">
        <f>SMALL('Iter No Test'!$W$9:$W$5008,727)</f>
        <v>125.5266566434135</v>
      </c>
      <c r="AR729">
        <f>1/(COUNT('Iter No Test'!$W$9:$W$5008)-1)+$AR$728</f>
        <v>0.14522904580916196</v>
      </c>
    </row>
    <row r="730" spans="19:44">
      <c r="S730">
        <v>722</v>
      </c>
      <c r="T730">
        <v>312.85765726361308</v>
      </c>
      <c r="V730">
        <v>722</v>
      </c>
      <c r="W730">
        <v>153.36411654647472</v>
      </c>
      <c r="AN730">
        <f>SMALL('Iter No Test'!$T$9:$T$1008,728)</f>
        <v>265.14570031999392</v>
      </c>
      <c r="AO730">
        <f>1/(COUNT('Iter No Test'!$T$9:$T$1008)-1)+$AO$729</f>
        <v>0.72772772772771788</v>
      </c>
      <c r="AQ730">
        <f>SMALL('Iter No Test'!$W$9:$W$5008,728)</f>
        <v>125.53147734685089</v>
      </c>
      <c r="AR730">
        <f>1/(COUNT('Iter No Test'!$W$9:$W$5008)-1)+$AR$729</f>
        <v>0.14542908581716357</v>
      </c>
    </row>
    <row r="731" spans="19:44">
      <c r="S731">
        <v>723</v>
      </c>
      <c r="T731">
        <v>166.69843562347106</v>
      </c>
      <c r="V731">
        <v>723</v>
      </c>
      <c r="W731">
        <v>294.54554253734727</v>
      </c>
      <c r="AN731">
        <f>SMALL('Iter No Test'!$T$9:$T$1008,729)</f>
        <v>265.21212847630176</v>
      </c>
      <c r="AO731">
        <f>1/(COUNT('Iter No Test'!$T$9:$T$1008)-1)+$AO$730</f>
        <v>0.72872872872871886</v>
      </c>
      <c r="AQ731">
        <f>SMALL('Iter No Test'!$W$9:$W$5008,729)</f>
        <v>125.5693695894619</v>
      </c>
      <c r="AR731">
        <f>1/(COUNT('Iter No Test'!$W$9:$W$5008)-1)+$AR$730</f>
        <v>0.14562912582516518</v>
      </c>
    </row>
    <row r="732" spans="19:44">
      <c r="S732">
        <v>724</v>
      </c>
      <c r="T732">
        <v>133.27265200764765</v>
      </c>
      <c r="V732">
        <v>724</v>
      </c>
      <c r="W732">
        <v>117.07834284246482</v>
      </c>
      <c r="AN732">
        <f>SMALL('Iter No Test'!$T$9:$T$1008,730)</f>
        <v>265.88086272614231</v>
      </c>
      <c r="AO732">
        <f>1/(COUNT('Iter No Test'!$T$9:$T$1008)-1)+$AO$731</f>
        <v>0.72972972972971983</v>
      </c>
      <c r="AQ732">
        <f>SMALL('Iter No Test'!$W$9:$W$5008,730)</f>
        <v>125.68186652893297</v>
      </c>
      <c r="AR732">
        <f>1/(COUNT('Iter No Test'!$W$9:$W$5008)-1)+$AR$731</f>
        <v>0.1458291658331668</v>
      </c>
    </row>
    <row r="733" spans="19:44">
      <c r="S733">
        <v>725</v>
      </c>
      <c r="T733">
        <v>255.03490207570022</v>
      </c>
      <c r="V733">
        <v>725</v>
      </c>
      <c r="W733">
        <v>168.67496878891561</v>
      </c>
      <c r="AN733">
        <f>SMALL('Iter No Test'!$T$9:$T$1008,731)</f>
        <v>265.98166693418591</v>
      </c>
      <c r="AO733">
        <f>1/(COUNT('Iter No Test'!$T$9:$T$1008)-1)+$AO$732</f>
        <v>0.73073073073072081</v>
      </c>
      <c r="AQ733">
        <f>SMALL('Iter No Test'!$W$9:$W$5008,731)</f>
        <v>125.7329242608802</v>
      </c>
      <c r="AR733">
        <f>1/(COUNT('Iter No Test'!$W$9:$W$5008)-1)+$AR$732</f>
        <v>0.14602920584116841</v>
      </c>
    </row>
    <row r="734" spans="19:44">
      <c r="S734">
        <v>726</v>
      </c>
      <c r="T734">
        <v>241.7988776075025</v>
      </c>
      <c r="V734">
        <v>726</v>
      </c>
      <c r="W734">
        <v>174.28191351696537</v>
      </c>
      <c r="AN734">
        <f>SMALL('Iter No Test'!$T$9:$T$1008,732)</f>
        <v>266.03530818251807</v>
      </c>
      <c r="AO734">
        <f>1/(COUNT('Iter No Test'!$T$9:$T$1008)-1)+$AO$733</f>
        <v>0.73173173173172179</v>
      </c>
      <c r="AQ734">
        <f>SMALL('Iter No Test'!$W$9:$W$5008,732)</f>
        <v>125.92788472362977</v>
      </c>
      <c r="AR734">
        <f>1/(COUNT('Iter No Test'!$W$9:$W$5008)-1)+$AR$733</f>
        <v>0.14622924584917002</v>
      </c>
    </row>
    <row r="735" spans="19:44">
      <c r="S735">
        <v>727</v>
      </c>
      <c r="T735">
        <v>229.36589218924496</v>
      </c>
      <c r="V735">
        <v>727</v>
      </c>
      <c r="W735">
        <v>325.45863196300877</v>
      </c>
      <c r="AN735">
        <f>SMALL('Iter No Test'!$T$9:$T$1008,733)</f>
        <v>266.11240311311997</v>
      </c>
      <c r="AO735">
        <f>1/(COUNT('Iter No Test'!$T$9:$T$1008)-1)+$AO$734</f>
        <v>0.73273273273272277</v>
      </c>
      <c r="AQ735">
        <f>SMALL('Iter No Test'!$W$9:$W$5008,733)</f>
        <v>125.99191331224971</v>
      </c>
      <c r="AR735">
        <f>1/(COUNT('Iter No Test'!$W$9:$W$5008)-1)+$AR$734</f>
        <v>0.14642928585717163</v>
      </c>
    </row>
    <row r="736" spans="19:44">
      <c r="S736">
        <v>728</v>
      </c>
      <c r="T736">
        <v>96.842423601917432</v>
      </c>
      <c r="V736">
        <v>728</v>
      </c>
      <c r="W736">
        <v>131.68904958504692</v>
      </c>
      <c r="AN736">
        <f>SMALL('Iter No Test'!$T$9:$T$1008,734)</f>
        <v>266.15023718843588</v>
      </c>
      <c r="AO736">
        <f>1/(COUNT('Iter No Test'!$T$9:$T$1008)-1)+$AO$735</f>
        <v>0.73373373373372375</v>
      </c>
      <c r="AQ736">
        <f>SMALL('Iter No Test'!$W$9:$W$5008,734)</f>
        <v>126.00518448369608</v>
      </c>
      <c r="AR736">
        <f>1/(COUNT('Iter No Test'!$W$9:$W$5008)-1)+$AR$735</f>
        <v>0.14662932586517324</v>
      </c>
    </row>
    <row r="737" spans="19:44">
      <c r="S737">
        <v>729</v>
      </c>
      <c r="T737">
        <v>137.03587390327888</v>
      </c>
      <c r="V737">
        <v>729</v>
      </c>
      <c r="W737">
        <v>139.49273157345471</v>
      </c>
      <c r="AN737">
        <f>SMALL('Iter No Test'!$T$9:$T$1008,735)</f>
        <v>266.16159381800423</v>
      </c>
      <c r="AO737">
        <f>1/(COUNT('Iter No Test'!$T$9:$T$1008)-1)+$AO$736</f>
        <v>0.73473473473472473</v>
      </c>
      <c r="AQ737">
        <f>SMALL('Iter No Test'!$W$9:$W$5008,735)</f>
        <v>126.11650686924605</v>
      </c>
      <c r="AR737">
        <f>1/(COUNT('Iter No Test'!$W$9:$W$5008)-1)+$AR$736</f>
        <v>0.14682936587317486</v>
      </c>
    </row>
    <row r="738" spans="19:44">
      <c r="S738">
        <v>730</v>
      </c>
      <c r="T738">
        <v>290.11470554040392</v>
      </c>
      <c r="V738">
        <v>730</v>
      </c>
      <c r="W738">
        <v>164.34964860214234</v>
      </c>
      <c r="AN738">
        <f>SMALL('Iter No Test'!$T$9:$T$1008,736)</f>
        <v>267.36446825322912</v>
      </c>
      <c r="AO738">
        <f>1/(COUNT('Iter No Test'!$T$9:$T$1008)-1)+$AO$737</f>
        <v>0.7357357357357257</v>
      </c>
      <c r="AQ738">
        <f>SMALL('Iter No Test'!$W$9:$W$5008,736)</f>
        <v>126.17922572637386</v>
      </c>
      <c r="AR738">
        <f>1/(COUNT('Iter No Test'!$W$9:$W$5008)-1)+$AR$737</f>
        <v>0.14702940588117647</v>
      </c>
    </row>
    <row r="739" spans="19:44">
      <c r="S739">
        <v>731</v>
      </c>
      <c r="T739">
        <v>187.91061093068993</v>
      </c>
      <c r="V739">
        <v>731</v>
      </c>
      <c r="W739">
        <v>145.21555679872174</v>
      </c>
      <c r="AN739">
        <f>SMALL('Iter No Test'!$T$9:$T$1008,737)</f>
        <v>267.47829443784684</v>
      </c>
      <c r="AO739">
        <f>1/(COUNT('Iter No Test'!$T$9:$T$1008)-1)+$AO$738</f>
        <v>0.73673673673672668</v>
      </c>
      <c r="AQ739">
        <f>SMALL('Iter No Test'!$W$9:$W$5008,737)</f>
        <v>126.1824525841317</v>
      </c>
      <c r="AR739">
        <f>1/(COUNT('Iter No Test'!$W$9:$W$5008)-1)+$AR$738</f>
        <v>0.14722944588917808</v>
      </c>
    </row>
    <row r="740" spans="19:44">
      <c r="S740">
        <v>732</v>
      </c>
      <c r="T740">
        <v>270.1103286234474</v>
      </c>
      <c r="V740">
        <v>732</v>
      </c>
      <c r="W740">
        <v>277.40227780477557</v>
      </c>
      <c r="AN740">
        <f>SMALL('Iter No Test'!$T$9:$T$1008,738)</f>
        <v>267.52273034527587</v>
      </c>
      <c r="AO740">
        <f>1/(COUNT('Iter No Test'!$T$9:$T$1008)-1)+$AO$739</f>
        <v>0.73773773773772766</v>
      </c>
      <c r="AQ740">
        <f>SMALL('Iter No Test'!$W$9:$W$5008,738)</f>
        <v>126.29506237656467</v>
      </c>
      <c r="AR740">
        <f>1/(COUNT('Iter No Test'!$W$9:$W$5008)-1)+$AR$739</f>
        <v>0.14742948589717969</v>
      </c>
    </row>
    <row r="741" spans="19:44">
      <c r="S741">
        <v>733</v>
      </c>
      <c r="T741">
        <v>174.36659250769088</v>
      </c>
      <c r="V741">
        <v>733</v>
      </c>
      <c r="W741">
        <v>254.04954277312279</v>
      </c>
      <c r="AN741">
        <f>SMALL('Iter No Test'!$T$9:$T$1008,739)</f>
        <v>267.63873146203218</v>
      </c>
      <c r="AO741">
        <f>1/(COUNT('Iter No Test'!$T$9:$T$1008)-1)+$AO$740</f>
        <v>0.73873873873872864</v>
      </c>
      <c r="AQ741">
        <f>SMALL('Iter No Test'!$W$9:$W$5008,739)</f>
        <v>126.47431911818691</v>
      </c>
      <c r="AR741">
        <f>1/(COUNT('Iter No Test'!$W$9:$W$5008)-1)+$AR$740</f>
        <v>0.1476295259051813</v>
      </c>
    </row>
    <row r="742" spans="19:44">
      <c r="S742">
        <v>734</v>
      </c>
      <c r="T742">
        <v>113.34425945577381</v>
      </c>
      <c r="V742">
        <v>734</v>
      </c>
      <c r="W742">
        <v>504.00931623186773</v>
      </c>
      <c r="AN742">
        <f>SMALL('Iter No Test'!$T$9:$T$1008,740)</f>
        <v>267.71627138642771</v>
      </c>
      <c r="AO742">
        <f>1/(COUNT('Iter No Test'!$T$9:$T$1008)-1)+$AO$741</f>
        <v>0.73973973973972962</v>
      </c>
      <c r="AQ742">
        <f>SMALL('Iter No Test'!$W$9:$W$5008,740)</f>
        <v>126.50718815318798</v>
      </c>
      <c r="AR742">
        <f>1/(COUNT('Iter No Test'!$W$9:$W$5008)-1)+$AR$741</f>
        <v>0.14782956591318291</v>
      </c>
    </row>
    <row r="743" spans="19:44">
      <c r="S743">
        <v>735</v>
      </c>
      <c r="T743">
        <v>295.83610394899739</v>
      </c>
      <c r="V743">
        <v>735</v>
      </c>
      <c r="W743">
        <v>233.1176144451978</v>
      </c>
      <c r="AN743">
        <f>SMALL('Iter No Test'!$T$9:$T$1008,741)</f>
        <v>268.62427951602331</v>
      </c>
      <c r="AO743">
        <f>1/(COUNT('Iter No Test'!$T$9:$T$1008)-1)+$AO$742</f>
        <v>0.7407407407407306</v>
      </c>
      <c r="AQ743">
        <f>SMALL('Iter No Test'!$W$9:$W$5008,741)</f>
        <v>126.55707258047268</v>
      </c>
      <c r="AR743">
        <f>1/(COUNT('Iter No Test'!$W$9:$W$5008)-1)+$AR$742</f>
        <v>0.14802960592118453</v>
      </c>
    </row>
    <row r="744" spans="19:44">
      <c r="S744">
        <v>736</v>
      </c>
      <c r="T744">
        <v>174.1633816834088</v>
      </c>
      <c r="V744">
        <v>736</v>
      </c>
      <c r="W744">
        <v>117.81839518533374</v>
      </c>
      <c r="AN744">
        <f>SMALL('Iter No Test'!$T$9:$T$1008,742)</f>
        <v>269.54083731344627</v>
      </c>
      <c r="AO744">
        <f>1/(COUNT('Iter No Test'!$T$9:$T$1008)-1)+$AO$743</f>
        <v>0.74174174174173158</v>
      </c>
      <c r="AQ744">
        <f>SMALL('Iter No Test'!$W$9:$W$5008,742)</f>
        <v>126.73460920742548</v>
      </c>
      <c r="AR744">
        <f>1/(COUNT('Iter No Test'!$W$9:$W$5008)-1)+$AR$743</f>
        <v>0.14822964592918614</v>
      </c>
    </row>
    <row r="745" spans="19:44">
      <c r="S745">
        <v>737</v>
      </c>
      <c r="T745">
        <v>359.11327896281659</v>
      </c>
      <c r="V745">
        <v>737</v>
      </c>
      <c r="W745">
        <v>122.89403184406687</v>
      </c>
      <c r="AN745">
        <f>SMALL('Iter No Test'!$T$9:$T$1008,743)</f>
        <v>269.83612906123261</v>
      </c>
      <c r="AO745">
        <f>1/(COUNT('Iter No Test'!$T$9:$T$1008)-1)+$AO$744</f>
        <v>0.74274274274273255</v>
      </c>
      <c r="AQ745">
        <f>SMALL('Iter No Test'!$W$9:$W$5008,743)</f>
        <v>126.74539004502802</v>
      </c>
      <c r="AR745">
        <f>1/(COUNT('Iter No Test'!$W$9:$W$5008)-1)+$AR$744</f>
        <v>0.14842968593718775</v>
      </c>
    </row>
    <row r="746" spans="19:44">
      <c r="S746">
        <v>738</v>
      </c>
      <c r="T746">
        <v>233.29331919846493</v>
      </c>
      <c r="V746">
        <v>738</v>
      </c>
      <c r="W746">
        <v>119.64753011329236</v>
      </c>
      <c r="AN746">
        <f>SMALL('Iter No Test'!$T$9:$T$1008,744)</f>
        <v>270.09670755462946</v>
      </c>
      <c r="AO746">
        <f>1/(COUNT('Iter No Test'!$T$9:$T$1008)-1)+$AO$745</f>
        <v>0.74374374374373353</v>
      </c>
      <c r="AQ746">
        <f>SMALL('Iter No Test'!$W$9:$W$5008,744)</f>
        <v>126.79431769639118</v>
      </c>
      <c r="AR746">
        <f>1/(COUNT('Iter No Test'!$W$9:$W$5008)-1)+$AR$745</f>
        <v>0.14862972594518936</v>
      </c>
    </row>
    <row r="747" spans="19:44">
      <c r="S747">
        <v>739</v>
      </c>
      <c r="T747">
        <v>267.36446825322912</v>
      </c>
      <c r="V747">
        <v>739</v>
      </c>
      <c r="W747">
        <v>107.12318376441236</v>
      </c>
      <c r="AN747">
        <f>SMALL('Iter No Test'!$T$9:$T$1008,745)</f>
        <v>270.1103286234474</v>
      </c>
      <c r="AO747">
        <f>1/(COUNT('Iter No Test'!$T$9:$T$1008)-1)+$AO$746</f>
        <v>0.74474474474473451</v>
      </c>
      <c r="AQ747">
        <f>SMALL('Iter No Test'!$W$9:$W$5008,745)</f>
        <v>126.87628247873658</v>
      </c>
      <c r="AR747">
        <f>1/(COUNT('Iter No Test'!$W$9:$W$5008)-1)+$AR$746</f>
        <v>0.14882976595319097</v>
      </c>
    </row>
    <row r="748" spans="19:44">
      <c r="S748">
        <v>740</v>
      </c>
      <c r="T748">
        <v>372.3297038134138</v>
      </c>
      <c r="V748">
        <v>740</v>
      </c>
      <c r="W748">
        <v>213.30554493815791</v>
      </c>
      <c r="AN748">
        <f>SMALL('Iter No Test'!$T$9:$T$1008,746)</f>
        <v>270.28519955946047</v>
      </c>
      <c r="AO748">
        <f>1/(COUNT('Iter No Test'!$T$9:$T$1008)-1)+$AO$747</f>
        <v>0.74574574574573549</v>
      </c>
      <c r="AQ748">
        <f>SMALL('Iter No Test'!$W$9:$W$5008,746)</f>
        <v>126.94687667716126</v>
      </c>
      <c r="AR748">
        <f>1/(COUNT('Iter No Test'!$W$9:$W$5008)-1)+$AR$747</f>
        <v>0.14902980596119259</v>
      </c>
    </row>
    <row r="749" spans="19:44">
      <c r="S749">
        <v>741</v>
      </c>
      <c r="T749">
        <v>194.84176090936822</v>
      </c>
      <c r="V749">
        <v>741</v>
      </c>
      <c r="W749">
        <v>198.00161736331322</v>
      </c>
      <c r="AN749">
        <f>SMALL('Iter No Test'!$T$9:$T$1008,747)</f>
        <v>270.5238737396773</v>
      </c>
      <c r="AO749">
        <f>1/(COUNT('Iter No Test'!$T$9:$T$1008)-1)+$AO$748</f>
        <v>0.74674674674673647</v>
      </c>
      <c r="AQ749">
        <f>SMALL('Iter No Test'!$W$9:$W$5008,747)</f>
        <v>126.99891657110672</v>
      </c>
      <c r="AR749">
        <f>1/(COUNT('Iter No Test'!$W$9:$W$5008)-1)+$AR$748</f>
        <v>0.1492298459691942</v>
      </c>
    </row>
    <row r="750" spans="19:44">
      <c r="S750">
        <v>742</v>
      </c>
      <c r="T750">
        <v>179.6828540346711</v>
      </c>
      <c r="V750">
        <v>742</v>
      </c>
      <c r="W750">
        <v>73.257058161179472</v>
      </c>
      <c r="AN750">
        <f>SMALL('Iter No Test'!$T$9:$T$1008,748)</f>
        <v>270.68151409140296</v>
      </c>
      <c r="AO750">
        <f>1/(COUNT('Iter No Test'!$T$9:$T$1008)-1)+$AO$749</f>
        <v>0.74774774774773745</v>
      </c>
      <c r="AQ750">
        <f>SMALL('Iter No Test'!$W$9:$W$5008,748)</f>
        <v>127.03267867391344</v>
      </c>
      <c r="AR750">
        <f>1/(COUNT('Iter No Test'!$W$9:$W$5008)-1)+$AR$749</f>
        <v>0.14942988597719581</v>
      </c>
    </row>
    <row r="751" spans="19:44">
      <c r="S751">
        <v>743</v>
      </c>
      <c r="T751">
        <v>249.5661348875438</v>
      </c>
      <c r="V751">
        <v>743</v>
      </c>
      <c r="W751">
        <v>262.06619989889464</v>
      </c>
      <c r="AN751">
        <f>SMALL('Iter No Test'!$T$9:$T$1008,749)</f>
        <v>270.98977662844675</v>
      </c>
      <c r="AO751">
        <f>1/(COUNT('Iter No Test'!$T$9:$T$1008)-1)+$AO$750</f>
        <v>0.74874874874873842</v>
      </c>
      <c r="AQ751">
        <f>SMALL('Iter No Test'!$W$9:$W$5008,749)</f>
        <v>127.0880888018433</v>
      </c>
      <c r="AR751">
        <f>1/(COUNT('Iter No Test'!$W$9:$W$5008)-1)+$AR$750</f>
        <v>0.14962992598519742</v>
      </c>
    </row>
    <row r="752" spans="19:44">
      <c r="S752">
        <v>744</v>
      </c>
      <c r="T752">
        <v>168.7545943696739</v>
      </c>
      <c r="V752">
        <v>744</v>
      </c>
      <c r="W752">
        <v>248.49056372282044</v>
      </c>
      <c r="AN752">
        <f>SMALL('Iter No Test'!$T$9:$T$1008,750)</f>
        <v>271.34208581173743</v>
      </c>
      <c r="AO752">
        <f>1/(COUNT('Iter No Test'!$T$9:$T$1008)-1)+$AO$751</f>
        <v>0.7497497497497394</v>
      </c>
      <c r="AQ752">
        <f>SMALL('Iter No Test'!$W$9:$W$5008,750)</f>
        <v>127.09906495790682</v>
      </c>
      <c r="AR752">
        <f>1/(COUNT('Iter No Test'!$W$9:$W$5008)-1)+$AR$751</f>
        <v>0.14982996599319903</v>
      </c>
    </row>
    <row r="753" spans="19:44">
      <c r="S753">
        <v>745</v>
      </c>
      <c r="T753">
        <v>248.68476022178325</v>
      </c>
      <c r="V753">
        <v>745</v>
      </c>
      <c r="W753">
        <v>142.28234853215619</v>
      </c>
      <c r="AN753">
        <f>SMALL('Iter No Test'!$T$9:$T$1008,751)</f>
        <v>271.66291511198602</v>
      </c>
      <c r="AO753">
        <f>1/(COUNT('Iter No Test'!$T$9:$T$1008)-1)+$AO$752</f>
        <v>0.75075075075074038</v>
      </c>
      <c r="AQ753">
        <f>SMALL('Iter No Test'!$W$9:$W$5008,751)</f>
        <v>127.16681142758677</v>
      </c>
      <c r="AR753">
        <f>1/(COUNT('Iter No Test'!$W$9:$W$5008)-1)+$AR$752</f>
        <v>0.15003000600120064</v>
      </c>
    </row>
    <row r="754" spans="19:44">
      <c r="S754">
        <v>746</v>
      </c>
      <c r="T754">
        <v>212.97760095383512</v>
      </c>
      <c r="V754">
        <v>746</v>
      </c>
      <c r="W754">
        <v>209.13702136371899</v>
      </c>
      <c r="AN754">
        <f>SMALL('Iter No Test'!$T$9:$T$1008,752)</f>
        <v>272.11944099226218</v>
      </c>
      <c r="AO754">
        <f>1/(COUNT('Iter No Test'!$T$9:$T$1008)-1)+$AO$753</f>
        <v>0.75175175175174136</v>
      </c>
      <c r="AQ754">
        <f>SMALL('Iter No Test'!$W$9:$W$5008,752)</f>
        <v>127.432825125958</v>
      </c>
      <c r="AR754">
        <f>1/(COUNT('Iter No Test'!$W$9:$W$5008)-1)+$AR$753</f>
        <v>0.15023004600920226</v>
      </c>
    </row>
    <row r="755" spans="19:44">
      <c r="S755">
        <v>747</v>
      </c>
      <c r="T755">
        <v>127.86665683100529</v>
      </c>
      <c r="V755">
        <v>747</v>
      </c>
      <c r="W755">
        <v>279.59316247038828</v>
      </c>
      <c r="AN755">
        <f>SMALL('Iter No Test'!$T$9:$T$1008,753)</f>
        <v>272.1635396985713</v>
      </c>
      <c r="AO755">
        <f>1/(COUNT('Iter No Test'!$T$9:$T$1008)-1)+$AO$754</f>
        <v>0.75275275275274234</v>
      </c>
      <c r="AQ755">
        <f>SMALL('Iter No Test'!$W$9:$W$5008,753)</f>
        <v>127.51273825421633</v>
      </c>
      <c r="AR755">
        <f>1/(COUNT('Iter No Test'!$W$9:$W$5008)-1)+$AR$754</f>
        <v>0.15043008601720387</v>
      </c>
    </row>
    <row r="756" spans="19:44">
      <c r="S756">
        <v>748</v>
      </c>
      <c r="T756">
        <v>174.48707054556954</v>
      </c>
      <c r="V756">
        <v>748</v>
      </c>
      <c r="W756">
        <v>54.227396248662757</v>
      </c>
      <c r="AN756">
        <f>SMALL('Iter No Test'!$T$9:$T$1008,754)</f>
        <v>272.16638755643856</v>
      </c>
      <c r="AO756">
        <f>1/(COUNT('Iter No Test'!$T$9:$T$1008)-1)+$AO$755</f>
        <v>0.75375375375374332</v>
      </c>
      <c r="AQ756">
        <f>SMALL('Iter No Test'!$W$9:$W$5008,754)</f>
        <v>127.53567113884282</v>
      </c>
      <c r="AR756">
        <f>1/(COUNT('Iter No Test'!$W$9:$W$5008)-1)+$AR$755</f>
        <v>0.15063012602520548</v>
      </c>
    </row>
    <row r="757" spans="19:44">
      <c r="S757">
        <v>749</v>
      </c>
      <c r="T757">
        <v>217.01301632215086</v>
      </c>
      <c r="V757">
        <v>749</v>
      </c>
      <c r="W757">
        <v>394.10176544177904</v>
      </c>
      <c r="AN757">
        <f>SMALL('Iter No Test'!$T$9:$T$1008,755)</f>
        <v>272.29534222042264</v>
      </c>
      <c r="AO757">
        <f>1/(COUNT('Iter No Test'!$T$9:$T$1008)-1)+$AO$756</f>
        <v>0.75475475475474429</v>
      </c>
      <c r="AQ757">
        <f>SMALL('Iter No Test'!$W$9:$W$5008,755)</f>
        <v>127.61957570492567</v>
      </c>
      <c r="AR757">
        <f>1/(COUNT('Iter No Test'!$W$9:$W$5008)-1)+$AR$756</f>
        <v>0.15083016603320709</v>
      </c>
    </row>
    <row r="758" spans="19:44">
      <c r="S758">
        <v>750</v>
      </c>
      <c r="T758">
        <v>260.6824602139568</v>
      </c>
      <c r="V758">
        <v>750</v>
      </c>
      <c r="W758">
        <v>325.76191161257054</v>
      </c>
      <c r="AN758">
        <f>SMALL('Iter No Test'!$T$9:$T$1008,756)</f>
        <v>272.59194433228885</v>
      </c>
      <c r="AO758">
        <f>1/(COUNT('Iter No Test'!$T$9:$T$1008)-1)+$AO$757</f>
        <v>0.75575575575574527</v>
      </c>
      <c r="AQ758">
        <f>SMALL('Iter No Test'!$W$9:$W$5008,756)</f>
        <v>127.63640137654886</v>
      </c>
      <c r="AR758">
        <f>1/(COUNT('Iter No Test'!$W$9:$W$5008)-1)+$AR$757</f>
        <v>0.1510302060412087</v>
      </c>
    </row>
    <row r="759" spans="19:44">
      <c r="S759">
        <v>751</v>
      </c>
      <c r="T759">
        <v>453.73977835496498</v>
      </c>
      <c r="V759">
        <v>751</v>
      </c>
      <c r="W759">
        <v>287.68764761449575</v>
      </c>
      <c r="AN759">
        <f>SMALL('Iter No Test'!$T$9:$T$1008,757)</f>
        <v>272.85564116367084</v>
      </c>
      <c r="AO759">
        <f>1/(COUNT('Iter No Test'!$T$9:$T$1008)-1)+$AO$758</f>
        <v>0.75675675675674625</v>
      </c>
      <c r="AQ759">
        <f>SMALL('Iter No Test'!$W$9:$W$5008,757)</f>
        <v>127.65530064077731</v>
      </c>
      <c r="AR759">
        <f>1/(COUNT('Iter No Test'!$W$9:$W$5008)-1)+$AR$758</f>
        <v>0.15123024604921032</v>
      </c>
    </row>
    <row r="760" spans="19:44">
      <c r="S760">
        <v>752</v>
      </c>
      <c r="T760">
        <v>97.211955461275949</v>
      </c>
      <c r="V760">
        <v>752</v>
      </c>
      <c r="W760">
        <v>234.66048315282728</v>
      </c>
      <c r="AN760">
        <f>SMALL('Iter No Test'!$T$9:$T$1008,758)</f>
        <v>273.03404552747463</v>
      </c>
      <c r="AO760">
        <f>1/(COUNT('Iter No Test'!$T$9:$T$1008)-1)+$AO$759</f>
        <v>0.75775775775774723</v>
      </c>
      <c r="AQ760">
        <f>SMALL('Iter No Test'!$W$9:$W$5008,758)</f>
        <v>127.70375310797905</v>
      </c>
      <c r="AR760">
        <f>1/(COUNT('Iter No Test'!$W$9:$W$5008)-1)+$AR$759</f>
        <v>0.15143028605721193</v>
      </c>
    </row>
    <row r="761" spans="19:44">
      <c r="S761">
        <v>753</v>
      </c>
      <c r="T761">
        <v>290.85329738528566</v>
      </c>
      <c r="V761">
        <v>753</v>
      </c>
      <c r="W761">
        <v>150.2983013908742</v>
      </c>
      <c r="AN761">
        <f>SMALL('Iter No Test'!$T$9:$T$1008,759)</f>
        <v>273.39642456372974</v>
      </c>
      <c r="AO761">
        <f>1/(COUNT('Iter No Test'!$T$9:$T$1008)-1)+$AO$760</f>
        <v>0.75875875875874821</v>
      </c>
      <c r="AQ761">
        <f>SMALL('Iter No Test'!$W$9:$W$5008,759)</f>
        <v>127.71539695828496</v>
      </c>
      <c r="AR761">
        <f>1/(COUNT('Iter No Test'!$W$9:$W$5008)-1)+$AR$760</f>
        <v>0.15163032606521354</v>
      </c>
    </row>
    <row r="762" spans="19:44">
      <c r="S762">
        <v>754</v>
      </c>
      <c r="T762">
        <v>182.11305370780397</v>
      </c>
      <c r="V762">
        <v>754</v>
      </c>
      <c r="W762">
        <v>259.50512093458178</v>
      </c>
      <c r="AN762">
        <f>SMALL('Iter No Test'!$T$9:$T$1008,760)</f>
        <v>273.63322015996863</v>
      </c>
      <c r="AO762">
        <f>1/(COUNT('Iter No Test'!$T$9:$T$1008)-1)+$AO$761</f>
        <v>0.75975975975974919</v>
      </c>
      <c r="AQ762">
        <f>SMALL('Iter No Test'!$W$9:$W$5008,760)</f>
        <v>127.76277198311411</v>
      </c>
      <c r="AR762">
        <f>1/(COUNT('Iter No Test'!$W$9:$W$5008)-1)+$AR$761</f>
        <v>0.15183036607321515</v>
      </c>
    </row>
    <row r="763" spans="19:44">
      <c r="S763">
        <v>755</v>
      </c>
      <c r="T763">
        <v>142.37600694928381</v>
      </c>
      <c r="V763">
        <v>755</v>
      </c>
      <c r="W763">
        <v>212.72474917378267</v>
      </c>
      <c r="AN763">
        <f>SMALL('Iter No Test'!$T$9:$T$1008,761)</f>
        <v>273.74263603878683</v>
      </c>
      <c r="AO763">
        <f>1/(COUNT('Iter No Test'!$T$9:$T$1008)-1)+$AO$762</f>
        <v>0.76076076076075017</v>
      </c>
      <c r="AQ763">
        <f>SMALL('Iter No Test'!$W$9:$W$5008,761)</f>
        <v>127.80197995331642</v>
      </c>
      <c r="AR763">
        <f>1/(COUNT('Iter No Test'!$W$9:$W$5008)-1)+$AR$762</f>
        <v>0.15203040608121676</v>
      </c>
    </row>
    <row r="764" spans="19:44">
      <c r="S764">
        <v>756</v>
      </c>
      <c r="T764">
        <v>189.14925325450452</v>
      </c>
      <c r="V764">
        <v>756</v>
      </c>
      <c r="W764">
        <v>179.32728653653209</v>
      </c>
      <c r="AN764">
        <f>SMALL('Iter No Test'!$T$9:$T$1008,762)</f>
        <v>273.75160946383045</v>
      </c>
      <c r="AO764">
        <f>1/(COUNT('Iter No Test'!$T$9:$T$1008)-1)+$AO$763</f>
        <v>0.76176176176175114</v>
      </c>
      <c r="AQ764">
        <f>SMALL('Iter No Test'!$W$9:$W$5008,762)</f>
        <v>127.86907399796227</v>
      </c>
      <c r="AR764">
        <f>1/(COUNT('Iter No Test'!$W$9:$W$5008)-1)+$AR$763</f>
        <v>0.15223044608921837</v>
      </c>
    </row>
    <row r="765" spans="19:44">
      <c r="S765">
        <v>757</v>
      </c>
      <c r="T765">
        <v>211.5720359359841</v>
      </c>
      <c r="V765">
        <v>757</v>
      </c>
      <c r="W765">
        <v>212.13309012712503</v>
      </c>
      <c r="AN765">
        <f>SMALL('Iter No Test'!$T$9:$T$1008,763)</f>
        <v>273.85223059779673</v>
      </c>
      <c r="AO765">
        <f>1/(COUNT('Iter No Test'!$T$9:$T$1008)-1)+$AO$764</f>
        <v>0.76276276276275212</v>
      </c>
      <c r="AQ765">
        <f>SMALL('Iter No Test'!$W$9:$W$5008,763)</f>
        <v>127.93382814125511</v>
      </c>
      <c r="AR765">
        <f>1/(COUNT('Iter No Test'!$W$9:$W$5008)-1)+$AR$764</f>
        <v>0.15243048609721999</v>
      </c>
    </row>
    <row r="766" spans="19:44">
      <c r="S766">
        <v>758</v>
      </c>
      <c r="T766">
        <v>270.5238737396773</v>
      </c>
      <c r="V766">
        <v>758</v>
      </c>
      <c r="W766">
        <v>198.33511929986099</v>
      </c>
      <c r="AN766">
        <f>SMALL('Iter No Test'!$T$9:$T$1008,764)</f>
        <v>274.10370636538937</v>
      </c>
      <c r="AO766">
        <f>1/(COUNT('Iter No Test'!$T$9:$T$1008)-1)+$AO$765</f>
        <v>0.7637637637637531</v>
      </c>
      <c r="AQ766">
        <f>SMALL('Iter No Test'!$W$9:$W$5008,764)</f>
        <v>127.9918379915195</v>
      </c>
      <c r="AR766">
        <f>1/(COUNT('Iter No Test'!$W$9:$W$5008)-1)+$AR$765</f>
        <v>0.1526305261052216</v>
      </c>
    </row>
    <row r="767" spans="19:44">
      <c r="S767">
        <v>759</v>
      </c>
      <c r="T767">
        <v>114.72225391669548</v>
      </c>
      <c r="V767">
        <v>759</v>
      </c>
      <c r="W767">
        <v>112.01056021239295</v>
      </c>
      <c r="AN767">
        <f>SMALL('Iter No Test'!$T$9:$T$1008,765)</f>
        <v>274.17942949097085</v>
      </c>
      <c r="AO767">
        <f>1/(COUNT('Iter No Test'!$T$9:$T$1008)-1)+$AO$766</f>
        <v>0.76476476476475408</v>
      </c>
      <c r="AQ767">
        <f>SMALL('Iter No Test'!$W$9:$W$5008,765)</f>
        <v>128.09010341124537</v>
      </c>
      <c r="AR767">
        <f>1/(COUNT('Iter No Test'!$W$9:$W$5008)-1)+$AR$766</f>
        <v>0.15283056611322321</v>
      </c>
    </row>
    <row r="768" spans="19:44">
      <c r="S768">
        <v>760</v>
      </c>
      <c r="T768">
        <v>254.69718987404048</v>
      </c>
      <c r="V768">
        <v>760</v>
      </c>
      <c r="W768">
        <v>195.54140060041894</v>
      </c>
      <c r="AN768">
        <f>SMALL('Iter No Test'!$T$9:$T$1008,766)</f>
        <v>274.20851570017646</v>
      </c>
      <c r="AO768">
        <f>1/(COUNT('Iter No Test'!$T$9:$T$1008)-1)+$AO$767</f>
        <v>0.76576576576575506</v>
      </c>
      <c r="AQ768">
        <f>SMALL('Iter No Test'!$W$9:$W$5008,766)</f>
        <v>128.12393441008248</v>
      </c>
      <c r="AR768">
        <f>1/(COUNT('Iter No Test'!$W$9:$W$5008)-1)+$AR$767</f>
        <v>0.15303060612122482</v>
      </c>
    </row>
    <row r="769" spans="19:44">
      <c r="S769">
        <v>761</v>
      </c>
      <c r="T769">
        <v>195.34932263074546</v>
      </c>
      <c r="V769">
        <v>761</v>
      </c>
      <c r="W769">
        <v>91.739117650473005</v>
      </c>
      <c r="AN769">
        <f>SMALL('Iter No Test'!$T$9:$T$1008,767)</f>
        <v>274.72247798799299</v>
      </c>
      <c r="AO769">
        <f>1/(COUNT('Iter No Test'!$T$9:$T$1008)-1)+$AO$768</f>
        <v>0.76676676676675604</v>
      </c>
      <c r="AQ769">
        <f>SMALL('Iter No Test'!$W$9:$W$5008,767)</f>
        <v>128.20895513366628</v>
      </c>
      <c r="AR769">
        <f>1/(COUNT('Iter No Test'!$W$9:$W$5008)-1)+$AR$768</f>
        <v>0.15323064612922643</v>
      </c>
    </row>
    <row r="770" spans="19:44">
      <c r="S770">
        <v>762</v>
      </c>
      <c r="T770">
        <v>259.78685777906628</v>
      </c>
      <c r="V770">
        <v>762</v>
      </c>
      <c r="W770">
        <v>8.1709001967484198</v>
      </c>
      <c r="AN770">
        <f>SMALL('Iter No Test'!$T$9:$T$1008,768)</f>
        <v>274.86003115954281</v>
      </c>
      <c r="AO770">
        <f>1/(COUNT('Iter No Test'!$T$9:$T$1008)-1)+$AO$769</f>
        <v>0.76776776776775701</v>
      </c>
      <c r="AQ770">
        <f>SMALL('Iter No Test'!$W$9:$W$5008,768)</f>
        <v>128.24314233602922</v>
      </c>
      <c r="AR770">
        <f>1/(COUNT('Iter No Test'!$W$9:$W$5008)-1)+$AR$769</f>
        <v>0.15343068613722805</v>
      </c>
    </row>
    <row r="771" spans="19:44">
      <c r="S771">
        <v>763</v>
      </c>
      <c r="T771">
        <v>199.86401508802317</v>
      </c>
      <c r="V771">
        <v>763</v>
      </c>
      <c r="W771">
        <v>220.99267025168939</v>
      </c>
      <c r="AN771">
        <f>SMALL('Iter No Test'!$T$9:$T$1008,769)</f>
        <v>275.11728962783081</v>
      </c>
      <c r="AO771">
        <f>1/(COUNT('Iter No Test'!$T$9:$T$1008)-1)+$AO$770</f>
        <v>0.76876876876875799</v>
      </c>
      <c r="AQ771">
        <f>SMALL('Iter No Test'!$W$9:$W$5008,769)</f>
        <v>128.34627481952208</v>
      </c>
      <c r="AR771">
        <f>1/(COUNT('Iter No Test'!$W$9:$W$5008)-1)+$AR$770</f>
        <v>0.15363072614522966</v>
      </c>
    </row>
    <row r="772" spans="19:44">
      <c r="S772">
        <v>764</v>
      </c>
      <c r="T772">
        <v>196.7278185453838</v>
      </c>
      <c r="V772">
        <v>764</v>
      </c>
      <c r="W772">
        <v>200.65441644199399</v>
      </c>
      <c r="AN772">
        <f>SMALL('Iter No Test'!$T$9:$T$1008,770)</f>
        <v>275.1527605951253</v>
      </c>
      <c r="AO772">
        <f>1/(COUNT('Iter No Test'!$T$9:$T$1008)-1)+$AO$771</f>
        <v>0.76976976976975897</v>
      </c>
      <c r="AQ772">
        <f>SMALL('Iter No Test'!$W$9:$W$5008,770)</f>
        <v>128.35270530710926</v>
      </c>
      <c r="AR772">
        <f>1/(COUNT('Iter No Test'!$W$9:$W$5008)-1)+$AR$771</f>
        <v>0.15383076615323127</v>
      </c>
    </row>
    <row r="773" spans="19:44">
      <c r="S773">
        <v>765</v>
      </c>
      <c r="T773">
        <v>244.94039529916293</v>
      </c>
      <c r="V773">
        <v>765</v>
      </c>
      <c r="W773">
        <v>134.5446408127616</v>
      </c>
      <c r="AN773">
        <f>SMALL('Iter No Test'!$T$9:$T$1008,771)</f>
        <v>275.25193633784511</v>
      </c>
      <c r="AO773">
        <f>1/(COUNT('Iter No Test'!$T$9:$T$1008)-1)+$AO$772</f>
        <v>0.77077077077075995</v>
      </c>
      <c r="AQ773">
        <f>SMALL('Iter No Test'!$W$9:$W$5008,771)</f>
        <v>128.40005569515972</v>
      </c>
      <c r="AR773">
        <f>1/(COUNT('Iter No Test'!$W$9:$W$5008)-1)+$AR$772</f>
        <v>0.15403080616123288</v>
      </c>
    </row>
    <row r="774" spans="19:44">
      <c r="S774">
        <v>766</v>
      </c>
      <c r="T774">
        <v>334.67653569554886</v>
      </c>
      <c r="V774">
        <v>766</v>
      </c>
      <c r="W774">
        <v>278.82901844277194</v>
      </c>
      <c r="AN774">
        <f>SMALL('Iter No Test'!$T$9:$T$1008,772)</f>
        <v>275.45885073464711</v>
      </c>
      <c r="AO774">
        <f>1/(COUNT('Iter No Test'!$T$9:$T$1008)-1)+$AO$773</f>
        <v>0.77177177177176093</v>
      </c>
      <c r="AQ774">
        <f>SMALL('Iter No Test'!$W$9:$W$5008,772)</f>
        <v>128.41129396824414</v>
      </c>
      <c r="AR774">
        <f>1/(COUNT('Iter No Test'!$W$9:$W$5008)-1)+$AR$773</f>
        <v>0.15423084616923449</v>
      </c>
    </row>
    <row r="775" spans="19:44">
      <c r="S775">
        <v>767</v>
      </c>
      <c r="T775">
        <v>134.67479946520763</v>
      </c>
      <c r="V775">
        <v>767</v>
      </c>
      <c r="W775">
        <v>319.05563445643008</v>
      </c>
      <c r="AN775">
        <f>SMALL('Iter No Test'!$T$9:$T$1008,773)</f>
        <v>275.60013826207989</v>
      </c>
      <c r="AO775">
        <f>1/(COUNT('Iter No Test'!$T$9:$T$1008)-1)+$AO$774</f>
        <v>0.77277277277276191</v>
      </c>
      <c r="AQ775">
        <f>SMALL('Iter No Test'!$W$9:$W$5008,773)</f>
        <v>128.44879466878663</v>
      </c>
      <c r="AR775">
        <f>1/(COUNT('Iter No Test'!$W$9:$W$5008)-1)+$AR$774</f>
        <v>0.1544308861772361</v>
      </c>
    </row>
    <row r="776" spans="19:44">
      <c r="S776">
        <v>768</v>
      </c>
      <c r="T776">
        <v>293.79241738086807</v>
      </c>
      <c r="V776">
        <v>768</v>
      </c>
      <c r="W776">
        <v>135.81496468581321</v>
      </c>
      <c r="AN776">
        <f>SMALL('Iter No Test'!$T$9:$T$1008,774)</f>
        <v>275.7356314702306</v>
      </c>
      <c r="AO776">
        <f>1/(COUNT('Iter No Test'!$T$9:$T$1008)-1)+$AO$775</f>
        <v>0.77377377377376289</v>
      </c>
      <c r="AQ776">
        <f>SMALL('Iter No Test'!$W$9:$W$5008,774)</f>
        <v>128.61556077628887</v>
      </c>
      <c r="AR776">
        <f>1/(COUNT('Iter No Test'!$W$9:$W$5008)-1)+$AR$775</f>
        <v>0.15463092618523772</v>
      </c>
    </row>
    <row r="777" spans="19:44">
      <c r="S777">
        <v>769</v>
      </c>
      <c r="T777">
        <v>312.05969684348855</v>
      </c>
      <c r="V777">
        <v>769</v>
      </c>
      <c r="W777">
        <v>437.79242017984092</v>
      </c>
      <c r="AN777">
        <f>SMALL('Iter No Test'!$T$9:$T$1008,775)</f>
        <v>275.82575467562719</v>
      </c>
      <c r="AO777">
        <f>1/(COUNT('Iter No Test'!$T$9:$T$1008)-1)+$AO$776</f>
        <v>0.77477477477476386</v>
      </c>
      <c r="AQ777">
        <f>SMALL('Iter No Test'!$W$9:$W$5008,775)</f>
        <v>128.67141464208737</v>
      </c>
      <c r="AR777">
        <f>1/(COUNT('Iter No Test'!$W$9:$W$5008)-1)+$AR$776</f>
        <v>0.15483096619323933</v>
      </c>
    </row>
    <row r="778" spans="19:44">
      <c r="S778">
        <v>770</v>
      </c>
      <c r="T778">
        <v>159.88739101067137</v>
      </c>
      <c r="V778">
        <v>770</v>
      </c>
      <c r="W778">
        <v>391.61880780655912</v>
      </c>
      <c r="AN778">
        <f>SMALL('Iter No Test'!$T$9:$T$1008,776)</f>
        <v>277.10596332168973</v>
      </c>
      <c r="AO778">
        <f>1/(COUNT('Iter No Test'!$T$9:$T$1008)-1)+$AO$777</f>
        <v>0.77577577577576484</v>
      </c>
      <c r="AQ778">
        <f>SMALL('Iter No Test'!$W$9:$W$5008,776)</f>
        <v>128.69258828983854</v>
      </c>
      <c r="AR778">
        <f>1/(COUNT('Iter No Test'!$W$9:$W$5008)-1)+$AR$777</f>
        <v>0.15503100620124094</v>
      </c>
    </row>
    <row r="779" spans="19:44">
      <c r="S779">
        <v>771</v>
      </c>
      <c r="T779">
        <v>270.68151409140296</v>
      </c>
      <c r="V779">
        <v>771</v>
      </c>
      <c r="W779">
        <v>150.58536090684274</v>
      </c>
      <c r="AN779">
        <f>SMALL('Iter No Test'!$T$9:$T$1008,777)</f>
        <v>278.00888160693421</v>
      </c>
      <c r="AO779">
        <f>1/(COUNT('Iter No Test'!$T$9:$T$1008)-1)+$AO$778</f>
        <v>0.77677677677676582</v>
      </c>
      <c r="AQ779">
        <f>SMALL('Iter No Test'!$W$9:$W$5008,777)</f>
        <v>128.97347045310585</v>
      </c>
      <c r="AR779">
        <f>1/(COUNT('Iter No Test'!$W$9:$W$5008)-1)+$AR$778</f>
        <v>0.15523104620924255</v>
      </c>
    </row>
    <row r="780" spans="19:44">
      <c r="S780">
        <v>772</v>
      </c>
      <c r="T780">
        <v>171.85267134243827</v>
      </c>
      <c r="V780">
        <v>772</v>
      </c>
      <c r="W780">
        <v>247.26304268117539</v>
      </c>
      <c r="AN780">
        <f>SMALL('Iter No Test'!$T$9:$T$1008,778)</f>
        <v>278.16343666060948</v>
      </c>
      <c r="AO780">
        <f>1/(COUNT('Iter No Test'!$T$9:$T$1008)-1)+$AO$779</f>
        <v>0.7777777777777668</v>
      </c>
      <c r="AQ780">
        <f>SMALL('Iter No Test'!$W$9:$W$5008,778)</f>
        <v>128.97567318698998</v>
      </c>
      <c r="AR780">
        <f>1/(COUNT('Iter No Test'!$W$9:$W$5008)-1)+$AR$779</f>
        <v>0.15543108621724416</v>
      </c>
    </row>
    <row r="781" spans="19:44">
      <c r="S781">
        <v>773</v>
      </c>
      <c r="T781">
        <v>253.03022345065591</v>
      </c>
      <c r="V781">
        <v>773</v>
      </c>
      <c r="W781">
        <v>211.7248330811689</v>
      </c>
      <c r="AN781">
        <f>SMALL('Iter No Test'!$T$9:$T$1008,779)</f>
        <v>278.36397146055054</v>
      </c>
      <c r="AO781">
        <f>1/(COUNT('Iter No Test'!$T$9:$T$1008)-1)+$AO$780</f>
        <v>0.77877877877876778</v>
      </c>
      <c r="AQ781">
        <f>SMALL('Iter No Test'!$W$9:$W$5008,779)</f>
        <v>129.03750986529846</v>
      </c>
      <c r="AR781">
        <f>1/(COUNT('Iter No Test'!$W$9:$W$5008)-1)+$AR$780</f>
        <v>0.15563112622524577</v>
      </c>
    </row>
    <row r="782" spans="19:44">
      <c r="S782">
        <v>774</v>
      </c>
      <c r="T782">
        <v>306.32679952997449</v>
      </c>
      <c r="V782">
        <v>774</v>
      </c>
      <c r="W782">
        <v>308.87953844374999</v>
      </c>
      <c r="AN782">
        <f>SMALL('Iter No Test'!$T$9:$T$1008,780)</f>
        <v>280.1668565259759</v>
      </c>
      <c r="AO782">
        <f>1/(COUNT('Iter No Test'!$T$9:$T$1008)-1)+$AO$781</f>
        <v>0.77977977977976876</v>
      </c>
      <c r="AQ782">
        <f>SMALL('Iter No Test'!$W$9:$W$5008,780)</f>
        <v>129.13908128408124</v>
      </c>
      <c r="AR782">
        <f>1/(COUNT('Iter No Test'!$W$9:$W$5008)-1)+$AR$781</f>
        <v>0.15583116623324739</v>
      </c>
    </row>
    <row r="783" spans="19:44">
      <c r="S783">
        <v>775</v>
      </c>
      <c r="T783">
        <v>311.5859977089209</v>
      </c>
      <c r="V783">
        <v>775</v>
      </c>
      <c r="W783">
        <v>279.78189370960069</v>
      </c>
      <c r="AN783">
        <f>SMALL('Iter No Test'!$T$9:$T$1008,781)</f>
        <v>280.20506738886843</v>
      </c>
      <c r="AO783">
        <f>1/(COUNT('Iter No Test'!$T$9:$T$1008)-1)+$AO$782</f>
        <v>0.78078078078076973</v>
      </c>
      <c r="AQ783">
        <f>SMALL('Iter No Test'!$W$9:$W$5008,781)</f>
        <v>129.16750801835209</v>
      </c>
      <c r="AR783">
        <f>1/(COUNT('Iter No Test'!$W$9:$W$5008)-1)+$AR$782</f>
        <v>0.156031206241249</v>
      </c>
    </row>
    <row r="784" spans="19:44">
      <c r="S784">
        <v>776</v>
      </c>
      <c r="T784">
        <v>291.4852089575071</v>
      </c>
      <c r="V784">
        <v>776</v>
      </c>
      <c r="W784">
        <v>179.33473593956555</v>
      </c>
      <c r="AN784">
        <f>SMALL('Iter No Test'!$T$9:$T$1008,782)</f>
        <v>280.53226279005412</v>
      </c>
      <c r="AO784">
        <f>1/(COUNT('Iter No Test'!$T$9:$T$1008)-1)+$AO$783</f>
        <v>0.78178178178177071</v>
      </c>
      <c r="AQ784">
        <f>SMALL('Iter No Test'!$W$9:$W$5008,782)</f>
        <v>129.17551495863958</v>
      </c>
      <c r="AR784">
        <f>1/(COUNT('Iter No Test'!$W$9:$W$5008)-1)+$AR$783</f>
        <v>0.15623124624925061</v>
      </c>
    </row>
    <row r="785" spans="19:44">
      <c r="S785">
        <v>777</v>
      </c>
      <c r="T785">
        <v>189.23364999267386</v>
      </c>
      <c r="V785">
        <v>777</v>
      </c>
      <c r="W785">
        <v>262.13994094926232</v>
      </c>
      <c r="AN785">
        <f>SMALL('Iter No Test'!$T$9:$T$1008,783)</f>
        <v>281.61219557148121</v>
      </c>
      <c r="AO785">
        <f>1/(COUNT('Iter No Test'!$T$9:$T$1008)-1)+$AO$784</f>
        <v>0.78278278278277169</v>
      </c>
      <c r="AQ785">
        <f>SMALL('Iter No Test'!$W$9:$W$5008,783)</f>
        <v>129.26008203591547</v>
      </c>
      <c r="AR785">
        <f>1/(COUNT('Iter No Test'!$W$9:$W$5008)-1)+$AR$784</f>
        <v>0.15643128625725222</v>
      </c>
    </row>
    <row r="786" spans="19:44">
      <c r="S786">
        <v>778</v>
      </c>
      <c r="T786">
        <v>164.22517843156749</v>
      </c>
      <c r="V786">
        <v>778</v>
      </c>
      <c r="W786">
        <v>201.36121261501995</v>
      </c>
      <c r="AN786">
        <f>SMALL('Iter No Test'!$T$9:$T$1008,784)</f>
        <v>281.89623947058396</v>
      </c>
      <c r="AO786">
        <f>1/(COUNT('Iter No Test'!$T$9:$T$1008)-1)+$AO$785</f>
        <v>0.78378378378377267</v>
      </c>
      <c r="AQ786">
        <f>SMALL('Iter No Test'!$W$9:$W$5008,784)</f>
        <v>129.26837710694494</v>
      </c>
      <c r="AR786">
        <f>1/(COUNT('Iter No Test'!$W$9:$W$5008)-1)+$AR$785</f>
        <v>0.15663132626525383</v>
      </c>
    </row>
    <row r="787" spans="19:44">
      <c r="S787">
        <v>779</v>
      </c>
      <c r="T787">
        <v>167.10925763230256</v>
      </c>
      <c r="V787">
        <v>779</v>
      </c>
      <c r="W787">
        <v>247.26152917412122</v>
      </c>
      <c r="AN787">
        <f>SMALL('Iter No Test'!$T$9:$T$1008,785)</f>
        <v>282.04473492849604</v>
      </c>
      <c r="AO787">
        <f>1/(COUNT('Iter No Test'!$T$9:$T$1008)-1)+$AO$786</f>
        <v>0.78478478478477365</v>
      </c>
      <c r="AQ787">
        <f>SMALL('Iter No Test'!$W$9:$W$5008,785)</f>
        <v>129.46124810915944</v>
      </c>
      <c r="AR787">
        <f>1/(COUNT('Iter No Test'!$W$9:$W$5008)-1)+$AR$786</f>
        <v>0.15683136627325545</v>
      </c>
    </row>
    <row r="788" spans="19:44">
      <c r="S788">
        <v>780</v>
      </c>
      <c r="T788">
        <v>252.24818924612404</v>
      </c>
      <c r="V788">
        <v>780</v>
      </c>
      <c r="W788">
        <v>74.658097603469358</v>
      </c>
      <c r="AN788">
        <f>SMALL('Iter No Test'!$T$9:$T$1008,786)</f>
        <v>282.26566894087193</v>
      </c>
      <c r="AO788">
        <f>1/(COUNT('Iter No Test'!$T$9:$T$1008)-1)+$AO$787</f>
        <v>0.78578578578577463</v>
      </c>
      <c r="AQ788">
        <f>SMALL('Iter No Test'!$W$9:$W$5008,786)</f>
        <v>129.47274996554412</v>
      </c>
      <c r="AR788">
        <f>1/(COUNT('Iter No Test'!$W$9:$W$5008)-1)+$AR$787</f>
        <v>0.15703140628125706</v>
      </c>
    </row>
    <row r="789" spans="19:44">
      <c r="S789">
        <v>781</v>
      </c>
      <c r="T789">
        <v>273.85223059779673</v>
      </c>
      <c r="V789">
        <v>781</v>
      </c>
      <c r="W789">
        <v>401.6090454310106</v>
      </c>
      <c r="AN789">
        <f>SMALL('Iter No Test'!$T$9:$T$1008,787)</f>
        <v>282.35147138223095</v>
      </c>
      <c r="AO789">
        <f>1/(COUNT('Iter No Test'!$T$9:$T$1008)-1)+$AO$788</f>
        <v>0.7867867867867756</v>
      </c>
      <c r="AQ789">
        <f>SMALL('Iter No Test'!$W$9:$W$5008,787)</f>
        <v>129.51161420770845</v>
      </c>
      <c r="AR789">
        <f>1/(COUNT('Iter No Test'!$W$9:$W$5008)-1)+$AR$788</f>
        <v>0.15723144628925867</v>
      </c>
    </row>
    <row r="790" spans="19:44">
      <c r="S790">
        <v>782</v>
      </c>
      <c r="T790">
        <v>494.31731835481798</v>
      </c>
      <c r="V790">
        <v>782</v>
      </c>
      <c r="W790">
        <v>182.06578118497731</v>
      </c>
      <c r="AN790">
        <f>SMALL('Iter No Test'!$T$9:$T$1008,788)</f>
        <v>282.40501191861642</v>
      </c>
      <c r="AO790">
        <f>1/(COUNT('Iter No Test'!$T$9:$T$1008)-1)+$AO$789</f>
        <v>0.78778778778777658</v>
      </c>
      <c r="AQ790">
        <f>SMALL('Iter No Test'!$W$9:$W$5008,788)</f>
        <v>129.66457752577571</v>
      </c>
      <c r="AR790">
        <f>1/(COUNT('Iter No Test'!$W$9:$W$5008)-1)+$AR$789</f>
        <v>0.15743148629726028</v>
      </c>
    </row>
    <row r="791" spans="19:44">
      <c r="S791">
        <v>783</v>
      </c>
      <c r="T791">
        <v>68.522027051511415</v>
      </c>
      <c r="V791">
        <v>783</v>
      </c>
      <c r="W791">
        <v>154.02338722080611</v>
      </c>
      <c r="AN791">
        <f>SMALL('Iter No Test'!$T$9:$T$1008,789)</f>
        <v>282.94669821740939</v>
      </c>
      <c r="AO791">
        <f>1/(COUNT('Iter No Test'!$T$9:$T$1008)-1)+$AO$790</f>
        <v>0.78878878878877756</v>
      </c>
      <c r="AQ791">
        <f>SMALL('Iter No Test'!$W$9:$W$5008,789)</f>
        <v>129.67134366470654</v>
      </c>
      <c r="AR791">
        <f>1/(COUNT('Iter No Test'!$W$9:$W$5008)-1)+$AR$790</f>
        <v>0.15763152630526189</v>
      </c>
    </row>
    <row r="792" spans="19:44">
      <c r="S792">
        <v>784</v>
      </c>
      <c r="T792">
        <v>79.925554879328757</v>
      </c>
      <c r="V792">
        <v>784</v>
      </c>
      <c r="W792">
        <v>561.35676327876195</v>
      </c>
      <c r="AN792">
        <f>SMALL('Iter No Test'!$T$9:$T$1008,790)</f>
        <v>283.62878972623173</v>
      </c>
      <c r="AO792">
        <f>1/(COUNT('Iter No Test'!$T$9:$T$1008)-1)+$AO$791</f>
        <v>0.78978978978977854</v>
      </c>
      <c r="AQ792">
        <f>SMALL('Iter No Test'!$W$9:$W$5008,790)</f>
        <v>129.76273098304358</v>
      </c>
      <c r="AR792">
        <f>1/(COUNT('Iter No Test'!$W$9:$W$5008)-1)+$AR$791</f>
        <v>0.1578315663132635</v>
      </c>
    </row>
    <row r="793" spans="19:44">
      <c r="S793">
        <v>785</v>
      </c>
      <c r="T793">
        <v>300.84307510640122</v>
      </c>
      <c r="V793">
        <v>785</v>
      </c>
      <c r="W793">
        <v>298.22543774711971</v>
      </c>
      <c r="AN793">
        <f>SMALL('Iter No Test'!$T$9:$T$1008,791)</f>
        <v>283.95774547388896</v>
      </c>
      <c r="AO793">
        <f>1/(COUNT('Iter No Test'!$T$9:$T$1008)-1)+$AO$792</f>
        <v>0.79079079079077952</v>
      </c>
      <c r="AQ793">
        <f>SMALL('Iter No Test'!$W$9:$W$5008,791)</f>
        <v>129.79502487578441</v>
      </c>
      <c r="AR793">
        <f>1/(COUNT('Iter No Test'!$W$9:$W$5008)-1)+$AR$792</f>
        <v>0.15803160632126512</v>
      </c>
    </row>
    <row r="794" spans="19:44">
      <c r="S794">
        <v>786</v>
      </c>
      <c r="T794">
        <v>53.165076439788365</v>
      </c>
      <c r="V794">
        <v>786</v>
      </c>
      <c r="W794">
        <v>306.58507412433323</v>
      </c>
      <c r="AN794">
        <f>SMALL('Iter No Test'!$T$9:$T$1008,792)</f>
        <v>284.26357591262126</v>
      </c>
      <c r="AO794">
        <f>1/(COUNT('Iter No Test'!$T$9:$T$1008)-1)+$AO$793</f>
        <v>0.7917917917917805</v>
      </c>
      <c r="AQ794">
        <f>SMALL('Iter No Test'!$W$9:$W$5008,792)</f>
        <v>129.80306601862168</v>
      </c>
      <c r="AR794">
        <f>1/(COUNT('Iter No Test'!$W$9:$W$5008)-1)+$AR$793</f>
        <v>0.15823164632926673</v>
      </c>
    </row>
    <row r="795" spans="19:44">
      <c r="S795">
        <v>787</v>
      </c>
      <c r="T795">
        <v>291.91510671987857</v>
      </c>
      <c r="V795">
        <v>787</v>
      </c>
      <c r="W795">
        <v>88.994064264104566</v>
      </c>
      <c r="AN795">
        <f>SMALL('Iter No Test'!$T$9:$T$1008,793)</f>
        <v>284.6332078200187</v>
      </c>
      <c r="AO795">
        <f>1/(COUNT('Iter No Test'!$T$9:$T$1008)-1)+$AO$794</f>
        <v>0.79279279279278148</v>
      </c>
      <c r="AQ795">
        <f>SMALL('Iter No Test'!$W$9:$W$5008,793)</f>
        <v>129.82736583252259</v>
      </c>
      <c r="AR795">
        <f>1/(COUNT('Iter No Test'!$W$9:$W$5008)-1)+$AR$794</f>
        <v>0.15843168633726834</v>
      </c>
    </row>
    <row r="796" spans="19:44">
      <c r="S796">
        <v>788</v>
      </c>
      <c r="T796">
        <v>198.66795613344217</v>
      </c>
      <c r="V796">
        <v>788</v>
      </c>
      <c r="W796">
        <v>159.48126934645637</v>
      </c>
      <c r="AN796">
        <f>SMALL('Iter No Test'!$T$9:$T$1008,794)</f>
        <v>285.04263362805909</v>
      </c>
      <c r="AO796">
        <f>1/(COUNT('Iter No Test'!$T$9:$T$1008)-1)+$AO$795</f>
        <v>0.79379379379378245</v>
      </c>
      <c r="AQ796">
        <f>SMALL('Iter No Test'!$W$9:$W$5008,794)</f>
        <v>129.84505021509406</v>
      </c>
      <c r="AR796">
        <f>1/(COUNT('Iter No Test'!$W$9:$W$5008)-1)+$AR$795</f>
        <v>0.15863172634526995</v>
      </c>
    </row>
    <row r="797" spans="19:44">
      <c r="S797">
        <v>789</v>
      </c>
      <c r="T797">
        <v>294.82648364074271</v>
      </c>
      <c r="V797">
        <v>789</v>
      </c>
      <c r="W797">
        <v>91.83832024672428</v>
      </c>
      <c r="AN797">
        <f>SMALL('Iter No Test'!$T$9:$T$1008,795)</f>
        <v>285.30631708638197</v>
      </c>
      <c r="AO797">
        <f>1/(COUNT('Iter No Test'!$T$9:$T$1008)-1)+$AO$796</f>
        <v>0.79479479479478343</v>
      </c>
      <c r="AQ797">
        <f>SMALL('Iter No Test'!$W$9:$W$5008,795)</f>
        <v>129.86433951043475</v>
      </c>
      <c r="AR797">
        <f>1/(COUNT('Iter No Test'!$W$9:$W$5008)-1)+$AR$796</f>
        <v>0.15883176635327156</v>
      </c>
    </row>
    <row r="798" spans="19:44">
      <c r="S798">
        <v>790</v>
      </c>
      <c r="T798">
        <v>111.33581860852593</v>
      </c>
      <c r="V798">
        <v>790</v>
      </c>
      <c r="W798">
        <v>308.73991376930587</v>
      </c>
      <c r="AN798">
        <f>SMALL('Iter No Test'!$T$9:$T$1008,796)</f>
        <v>285.30896778487386</v>
      </c>
      <c r="AO798">
        <f>1/(COUNT('Iter No Test'!$T$9:$T$1008)-1)+$AO$797</f>
        <v>0.79579579579578441</v>
      </c>
      <c r="AQ798">
        <f>SMALL('Iter No Test'!$W$9:$W$5008,796)</f>
        <v>129.89710765821701</v>
      </c>
      <c r="AR798">
        <f>1/(COUNT('Iter No Test'!$W$9:$W$5008)-1)+$AR$797</f>
        <v>0.15903180636127318</v>
      </c>
    </row>
    <row r="799" spans="19:44">
      <c r="S799">
        <v>791</v>
      </c>
      <c r="T799">
        <v>70.68604736800836</v>
      </c>
      <c r="V799">
        <v>791</v>
      </c>
      <c r="W799">
        <v>207.99648451217465</v>
      </c>
      <c r="AN799">
        <f>SMALL('Iter No Test'!$T$9:$T$1008,797)</f>
        <v>285.76951398992708</v>
      </c>
      <c r="AO799">
        <f>1/(COUNT('Iter No Test'!$T$9:$T$1008)-1)+$AO$798</f>
        <v>0.79679679679678539</v>
      </c>
      <c r="AQ799">
        <f>SMALL('Iter No Test'!$W$9:$W$5008,797)</f>
        <v>129.92467641709715</v>
      </c>
      <c r="AR799">
        <f>1/(COUNT('Iter No Test'!$W$9:$W$5008)-1)+$AR$798</f>
        <v>0.15923184636927479</v>
      </c>
    </row>
    <row r="800" spans="19:44">
      <c r="S800">
        <v>792</v>
      </c>
      <c r="T800">
        <v>251.83282032357147</v>
      </c>
      <c r="V800">
        <v>792</v>
      </c>
      <c r="W800">
        <v>232.52566142564652</v>
      </c>
      <c r="AN800">
        <f>SMALL('Iter No Test'!$T$9:$T$1008,798)</f>
        <v>286.01875249943578</v>
      </c>
      <c r="AO800">
        <f>1/(COUNT('Iter No Test'!$T$9:$T$1008)-1)+$AO$799</f>
        <v>0.79779779779778637</v>
      </c>
      <c r="AQ800">
        <f>SMALL('Iter No Test'!$W$9:$W$5008,798)</f>
        <v>129.97413610852158</v>
      </c>
      <c r="AR800">
        <f>1/(COUNT('Iter No Test'!$W$9:$W$5008)-1)+$AR$799</f>
        <v>0.1594318863772764</v>
      </c>
    </row>
    <row r="801" spans="19:44">
      <c r="S801">
        <v>793</v>
      </c>
      <c r="T801">
        <v>168.56489923123434</v>
      </c>
      <c r="V801">
        <v>793</v>
      </c>
      <c r="W801">
        <v>356.37414016670675</v>
      </c>
      <c r="AN801">
        <f>SMALL('Iter No Test'!$T$9:$T$1008,799)</f>
        <v>286.87815669334049</v>
      </c>
      <c r="AO801">
        <f>1/(COUNT('Iter No Test'!$T$9:$T$1008)-1)+$AO$800</f>
        <v>0.79879879879878735</v>
      </c>
      <c r="AQ801">
        <f>SMALL('Iter No Test'!$W$9:$W$5008,799)</f>
        <v>129.98834731142921</v>
      </c>
      <c r="AR801">
        <f>1/(COUNT('Iter No Test'!$W$9:$W$5008)-1)+$AR$800</f>
        <v>0.15963192638527801</v>
      </c>
    </row>
    <row r="802" spans="19:44">
      <c r="S802">
        <v>794</v>
      </c>
      <c r="T802">
        <v>348.99323380395094</v>
      </c>
      <c r="V802">
        <v>794</v>
      </c>
      <c r="W802">
        <v>189.51179171886764</v>
      </c>
      <c r="AN802">
        <f>SMALL('Iter No Test'!$T$9:$T$1008,800)</f>
        <v>286.89288321060735</v>
      </c>
      <c r="AO802">
        <f>1/(COUNT('Iter No Test'!$T$9:$T$1008)-1)+$AO$801</f>
        <v>0.79979979979978832</v>
      </c>
      <c r="AQ802">
        <f>SMALL('Iter No Test'!$W$9:$W$5008,800)</f>
        <v>130.06071570323556</v>
      </c>
      <c r="AR802">
        <f>1/(COUNT('Iter No Test'!$W$9:$W$5008)-1)+$AR$801</f>
        <v>0.15983196639327962</v>
      </c>
    </row>
    <row r="803" spans="19:44">
      <c r="S803">
        <v>795</v>
      </c>
      <c r="T803">
        <v>282.40501191861642</v>
      </c>
      <c r="V803">
        <v>795</v>
      </c>
      <c r="W803">
        <v>148.00044532752753</v>
      </c>
      <c r="AN803">
        <f>SMALL('Iter No Test'!$T$9:$T$1008,801)</f>
        <v>287.14134291233574</v>
      </c>
      <c r="AO803">
        <f>1/(COUNT('Iter No Test'!$T$9:$T$1008)-1)+$AO$802</f>
        <v>0.8008008008007893</v>
      </c>
      <c r="AQ803">
        <f>SMALL('Iter No Test'!$W$9:$W$5008,801)</f>
        <v>130.07729829519465</v>
      </c>
      <c r="AR803">
        <f>1/(COUNT('Iter No Test'!$W$9:$W$5008)-1)+$AR$802</f>
        <v>0.16003200640128123</v>
      </c>
    </row>
    <row r="804" spans="19:44">
      <c r="S804">
        <v>796</v>
      </c>
      <c r="T804">
        <v>185.72983561489889</v>
      </c>
      <c r="V804">
        <v>796</v>
      </c>
      <c r="W804">
        <v>234.17823013309822</v>
      </c>
      <c r="AN804">
        <f>SMALL('Iter No Test'!$T$9:$T$1008,802)</f>
        <v>287.17892494457374</v>
      </c>
      <c r="AO804">
        <f>1/(COUNT('Iter No Test'!$T$9:$T$1008)-1)+$AO$803</f>
        <v>0.80180180180179028</v>
      </c>
      <c r="AQ804">
        <f>SMALL('Iter No Test'!$W$9:$W$5008,802)</f>
        <v>130.07984775558873</v>
      </c>
      <c r="AR804">
        <f>1/(COUNT('Iter No Test'!$W$9:$W$5008)-1)+$AR$803</f>
        <v>0.16023204640928285</v>
      </c>
    </row>
    <row r="805" spans="19:44">
      <c r="S805">
        <v>797</v>
      </c>
      <c r="T805">
        <v>120.77757129072344</v>
      </c>
      <c r="V805">
        <v>797</v>
      </c>
      <c r="W805">
        <v>192.55643083947805</v>
      </c>
      <c r="AN805">
        <f>SMALL('Iter No Test'!$T$9:$T$1008,803)</f>
        <v>287.4481079366941</v>
      </c>
      <c r="AO805">
        <f>1/(COUNT('Iter No Test'!$T$9:$T$1008)-1)+$AO$804</f>
        <v>0.80280280280279126</v>
      </c>
      <c r="AQ805">
        <f>SMALL('Iter No Test'!$W$9:$W$5008,803)</f>
        <v>130.12196227936187</v>
      </c>
      <c r="AR805">
        <f>1/(COUNT('Iter No Test'!$W$9:$W$5008)-1)+$AR$804</f>
        <v>0.16043208641728446</v>
      </c>
    </row>
    <row r="806" spans="19:44">
      <c r="S806">
        <v>798</v>
      </c>
      <c r="T806">
        <v>180.34347113317565</v>
      </c>
      <c r="V806">
        <v>798</v>
      </c>
      <c r="W806">
        <v>188.07021639275754</v>
      </c>
      <c r="AN806">
        <f>SMALL('Iter No Test'!$T$9:$T$1008,804)</f>
        <v>287.50701730947401</v>
      </c>
      <c r="AO806">
        <f>1/(COUNT('Iter No Test'!$T$9:$T$1008)-1)+$AO$805</f>
        <v>0.80380380380379224</v>
      </c>
      <c r="AQ806">
        <f>SMALL('Iter No Test'!$W$9:$W$5008,804)</f>
        <v>130.20437021322564</v>
      </c>
      <c r="AR806">
        <f>1/(COUNT('Iter No Test'!$W$9:$W$5008)-1)+$AR$805</f>
        <v>0.16063212642528607</v>
      </c>
    </row>
    <row r="807" spans="19:44">
      <c r="S807">
        <v>799</v>
      </c>
      <c r="T807">
        <v>105.05820792202148</v>
      </c>
      <c r="V807">
        <v>799</v>
      </c>
      <c r="W807">
        <v>59.676661601537418</v>
      </c>
      <c r="AN807">
        <f>SMALL('Iter No Test'!$T$9:$T$1008,805)</f>
        <v>287.53094304314482</v>
      </c>
      <c r="AO807">
        <f>1/(COUNT('Iter No Test'!$T$9:$T$1008)-1)+$AO$806</f>
        <v>0.80480480480479322</v>
      </c>
      <c r="AQ807">
        <f>SMALL('Iter No Test'!$W$9:$W$5008,805)</f>
        <v>130.24097118375792</v>
      </c>
      <c r="AR807">
        <f>1/(COUNT('Iter No Test'!$W$9:$W$5008)-1)+$AR$806</f>
        <v>0.16083216643328768</v>
      </c>
    </row>
    <row r="808" spans="19:44">
      <c r="S808">
        <v>800</v>
      </c>
      <c r="T808">
        <v>314.55591191773726</v>
      </c>
      <c r="V808">
        <v>800</v>
      </c>
      <c r="W808">
        <v>42.682236013586035</v>
      </c>
      <c r="AN808">
        <f>SMALL('Iter No Test'!$T$9:$T$1008,806)</f>
        <v>287.62701262922781</v>
      </c>
      <c r="AO808">
        <f>1/(COUNT('Iter No Test'!$T$9:$T$1008)-1)+$AO$807</f>
        <v>0.8058058058057942</v>
      </c>
      <c r="AQ808">
        <f>SMALL('Iter No Test'!$W$9:$W$5008,806)</f>
        <v>130.25845284598188</v>
      </c>
      <c r="AR808">
        <f>1/(COUNT('Iter No Test'!$W$9:$W$5008)-1)+$AR$807</f>
        <v>0.16103220644128929</v>
      </c>
    </row>
    <row r="809" spans="19:44">
      <c r="S809">
        <v>801</v>
      </c>
      <c r="T809">
        <v>181.28031289441412</v>
      </c>
      <c r="V809">
        <v>801</v>
      </c>
      <c r="W809">
        <v>312.05480968307774</v>
      </c>
      <c r="AN809">
        <f>SMALL('Iter No Test'!$T$9:$T$1008,807)</f>
        <v>287.77225418136783</v>
      </c>
      <c r="AO809">
        <f>1/(COUNT('Iter No Test'!$T$9:$T$1008)-1)+$AO$808</f>
        <v>0.80680680680679517</v>
      </c>
      <c r="AQ809">
        <f>SMALL('Iter No Test'!$W$9:$W$5008,807)</f>
        <v>130.31637909012039</v>
      </c>
      <c r="AR809">
        <f>1/(COUNT('Iter No Test'!$W$9:$W$5008)-1)+$AR$808</f>
        <v>0.16123224644929091</v>
      </c>
    </row>
    <row r="810" spans="19:44">
      <c r="S810">
        <v>802</v>
      </c>
      <c r="T810">
        <v>213.75887023309636</v>
      </c>
      <c r="V810">
        <v>802</v>
      </c>
      <c r="W810">
        <v>116.64610795114986</v>
      </c>
      <c r="AN810">
        <f>SMALL('Iter No Test'!$T$9:$T$1008,808)</f>
        <v>287.81798518318288</v>
      </c>
      <c r="AO810">
        <f>1/(COUNT('Iter No Test'!$T$9:$T$1008)-1)+$AO$809</f>
        <v>0.80780780780779615</v>
      </c>
      <c r="AQ810">
        <f>SMALL('Iter No Test'!$W$9:$W$5008,808)</f>
        <v>130.34145879162622</v>
      </c>
      <c r="AR810">
        <f>1/(COUNT('Iter No Test'!$W$9:$W$5008)-1)+$AR$809</f>
        <v>0.16143228645729252</v>
      </c>
    </row>
    <row r="811" spans="19:44">
      <c r="S811">
        <v>803</v>
      </c>
      <c r="T811">
        <v>246.52682908144959</v>
      </c>
      <c r="V811">
        <v>803</v>
      </c>
      <c r="W811">
        <v>242.84415233074878</v>
      </c>
      <c r="AN811">
        <f>SMALL('Iter No Test'!$T$9:$T$1008,809)</f>
        <v>287.89716101421487</v>
      </c>
      <c r="AO811">
        <f>1/(COUNT('Iter No Test'!$T$9:$T$1008)-1)+$AO$810</f>
        <v>0.80880880880879713</v>
      </c>
      <c r="AQ811">
        <f>SMALL('Iter No Test'!$W$9:$W$5008,809)</f>
        <v>130.41631101956571</v>
      </c>
      <c r="AR811">
        <f>1/(COUNT('Iter No Test'!$W$9:$W$5008)-1)+$AR$810</f>
        <v>0.16163232646529413</v>
      </c>
    </row>
    <row r="812" spans="19:44">
      <c r="S812">
        <v>804</v>
      </c>
      <c r="T812">
        <v>223.16248379080923</v>
      </c>
      <c r="V812">
        <v>804</v>
      </c>
      <c r="W812">
        <v>136.01222735292612</v>
      </c>
      <c r="AN812">
        <f>SMALL('Iter No Test'!$T$9:$T$1008,810)</f>
        <v>288.23188975452786</v>
      </c>
      <c r="AO812">
        <f>1/(COUNT('Iter No Test'!$T$9:$T$1008)-1)+$AO$811</f>
        <v>0.80980980980979811</v>
      </c>
      <c r="AQ812">
        <f>SMALL('Iter No Test'!$W$9:$W$5008,810)</f>
        <v>130.46376029645023</v>
      </c>
      <c r="AR812">
        <f>1/(COUNT('Iter No Test'!$W$9:$W$5008)-1)+$AR$811</f>
        <v>0.16183236647329574</v>
      </c>
    </row>
    <row r="813" spans="19:44">
      <c r="S813">
        <v>805</v>
      </c>
      <c r="T813">
        <v>297.71887231561783</v>
      </c>
      <c r="V813">
        <v>805</v>
      </c>
      <c r="W813">
        <v>351.05032118257748</v>
      </c>
      <c r="AN813">
        <f>SMALL('Iter No Test'!$T$9:$T$1008,811)</f>
        <v>288.93042334564126</v>
      </c>
      <c r="AO813">
        <f>1/(COUNT('Iter No Test'!$T$9:$T$1008)-1)+$AO$812</f>
        <v>0.81081081081079909</v>
      </c>
      <c r="AQ813">
        <f>SMALL('Iter No Test'!$W$9:$W$5008,811)</f>
        <v>130.77172781280811</v>
      </c>
      <c r="AR813">
        <f>1/(COUNT('Iter No Test'!$W$9:$W$5008)-1)+$AR$812</f>
        <v>0.16203240648129735</v>
      </c>
    </row>
    <row r="814" spans="19:44">
      <c r="S814">
        <v>806</v>
      </c>
      <c r="T814">
        <v>324.38515122427987</v>
      </c>
      <c r="V814">
        <v>806</v>
      </c>
      <c r="W814">
        <v>295.69280343658545</v>
      </c>
      <c r="AN814">
        <f>SMALL('Iter No Test'!$T$9:$T$1008,812)</f>
        <v>288.9378457832247</v>
      </c>
      <c r="AO814">
        <f>1/(COUNT('Iter No Test'!$T$9:$T$1008)-1)+$AO$813</f>
        <v>0.81181181181180007</v>
      </c>
      <c r="AQ814">
        <f>SMALL('Iter No Test'!$W$9:$W$5008,812)</f>
        <v>130.90385860843975</v>
      </c>
      <c r="AR814">
        <f>1/(COUNT('Iter No Test'!$W$9:$W$5008)-1)+$AR$813</f>
        <v>0.16223244648929896</v>
      </c>
    </row>
    <row r="815" spans="19:44">
      <c r="S815">
        <v>807</v>
      </c>
      <c r="T815">
        <v>97.822443609815238</v>
      </c>
      <c r="V815">
        <v>807</v>
      </c>
      <c r="W815">
        <v>109.75639042409902</v>
      </c>
      <c r="AN815">
        <f>SMALL('Iter No Test'!$T$9:$T$1008,813)</f>
        <v>290.11470554040392</v>
      </c>
      <c r="AO815">
        <f>1/(COUNT('Iter No Test'!$T$9:$T$1008)-1)+$AO$814</f>
        <v>0.81281281281280104</v>
      </c>
      <c r="AQ815">
        <f>SMALL('Iter No Test'!$W$9:$W$5008,813)</f>
        <v>130.93841624789096</v>
      </c>
      <c r="AR815">
        <f>1/(COUNT('Iter No Test'!$W$9:$W$5008)-1)+$AR$814</f>
        <v>0.16243248649730058</v>
      </c>
    </row>
    <row r="816" spans="19:44">
      <c r="S816">
        <v>808</v>
      </c>
      <c r="T816">
        <v>144.49629572362716</v>
      </c>
      <c r="V816">
        <v>808</v>
      </c>
      <c r="W816">
        <v>369.35656682122647</v>
      </c>
      <c r="AN816">
        <f>SMALL('Iter No Test'!$T$9:$T$1008,814)</f>
        <v>290.44392430782204</v>
      </c>
      <c r="AO816">
        <f>1/(COUNT('Iter No Test'!$T$9:$T$1008)-1)+$AO$815</f>
        <v>0.81381381381380202</v>
      </c>
      <c r="AQ816">
        <f>SMALL('Iter No Test'!$W$9:$W$5008,814)</f>
        <v>131.04881853350884</v>
      </c>
      <c r="AR816">
        <f>1/(COUNT('Iter No Test'!$W$9:$W$5008)-1)+$AR$815</f>
        <v>0.16263252650530219</v>
      </c>
    </row>
    <row r="817" spans="19:44">
      <c r="S817">
        <v>809</v>
      </c>
      <c r="T817">
        <v>143.84795673483211</v>
      </c>
      <c r="V817">
        <v>809</v>
      </c>
      <c r="W817">
        <v>86.692467077018932</v>
      </c>
      <c r="AN817">
        <f>SMALL('Iter No Test'!$T$9:$T$1008,815)</f>
        <v>290.85329738528566</v>
      </c>
      <c r="AO817">
        <f>1/(COUNT('Iter No Test'!$T$9:$T$1008)-1)+$AO$816</f>
        <v>0.814814814814803</v>
      </c>
      <c r="AQ817">
        <f>SMALL('Iter No Test'!$W$9:$W$5008,815)</f>
        <v>131.09392031905927</v>
      </c>
      <c r="AR817">
        <f>1/(COUNT('Iter No Test'!$W$9:$W$5008)-1)+$AR$816</f>
        <v>0.1628325665133038</v>
      </c>
    </row>
    <row r="818" spans="19:44">
      <c r="S818">
        <v>810</v>
      </c>
      <c r="T818">
        <v>77.614512062864691</v>
      </c>
      <c r="V818">
        <v>810</v>
      </c>
      <c r="W818">
        <v>333.84430066389581</v>
      </c>
      <c r="AN818">
        <f>SMALL('Iter No Test'!$T$9:$T$1008,816)</f>
        <v>290.89241700824311</v>
      </c>
      <c r="AO818">
        <f>1/(COUNT('Iter No Test'!$T$9:$T$1008)-1)+$AO$817</f>
        <v>0.81581581581580398</v>
      </c>
      <c r="AQ818">
        <f>SMALL('Iter No Test'!$W$9:$W$5008,816)</f>
        <v>131.24812455395761</v>
      </c>
      <c r="AR818">
        <f>1/(COUNT('Iter No Test'!$W$9:$W$5008)-1)+$AR$817</f>
        <v>0.16303260652130541</v>
      </c>
    </row>
    <row r="819" spans="19:44">
      <c r="S819">
        <v>811</v>
      </c>
      <c r="T819">
        <v>253.31358366524302</v>
      </c>
      <c r="V819">
        <v>811</v>
      </c>
      <c r="W819">
        <v>114.83572025942783</v>
      </c>
      <c r="AN819">
        <f>SMALL('Iter No Test'!$T$9:$T$1008,817)</f>
        <v>291.17419430830267</v>
      </c>
      <c r="AO819">
        <f>1/(COUNT('Iter No Test'!$T$9:$T$1008)-1)+$AO$818</f>
        <v>0.81681681681680496</v>
      </c>
      <c r="AQ819">
        <f>SMALL('Iter No Test'!$W$9:$W$5008,817)</f>
        <v>131.37627880403184</v>
      </c>
      <c r="AR819">
        <f>1/(COUNT('Iter No Test'!$W$9:$W$5008)-1)+$AR$818</f>
        <v>0.16323264652930702</v>
      </c>
    </row>
    <row r="820" spans="19:44">
      <c r="S820">
        <v>812</v>
      </c>
      <c r="T820">
        <v>208.19703052667592</v>
      </c>
      <c r="V820">
        <v>812</v>
      </c>
      <c r="W820">
        <v>410.45671641150113</v>
      </c>
      <c r="AN820">
        <f>SMALL('Iter No Test'!$T$9:$T$1008,818)</f>
        <v>291.26868447392792</v>
      </c>
      <c r="AO820">
        <f>1/(COUNT('Iter No Test'!$T$9:$T$1008)-1)+$AO$819</f>
        <v>0.81781781781780594</v>
      </c>
      <c r="AQ820">
        <f>SMALL('Iter No Test'!$W$9:$W$5008,818)</f>
        <v>131.37784038911354</v>
      </c>
      <c r="AR820">
        <f>1/(COUNT('Iter No Test'!$W$9:$W$5008)-1)+$AR$819</f>
        <v>0.16343268653730864</v>
      </c>
    </row>
    <row r="821" spans="19:44">
      <c r="S821">
        <v>813</v>
      </c>
      <c r="T821">
        <v>210.75653982028794</v>
      </c>
      <c r="V821">
        <v>813</v>
      </c>
      <c r="W821">
        <v>104.10854623470667</v>
      </c>
      <c r="AN821">
        <f>SMALL('Iter No Test'!$T$9:$T$1008,819)</f>
        <v>291.4852089575071</v>
      </c>
      <c r="AO821">
        <f>1/(COUNT('Iter No Test'!$T$9:$T$1008)-1)+$AO$820</f>
        <v>0.81881881881880691</v>
      </c>
      <c r="AQ821">
        <f>SMALL('Iter No Test'!$W$9:$W$5008,819)</f>
        <v>131.55983183266198</v>
      </c>
      <c r="AR821">
        <f>1/(COUNT('Iter No Test'!$W$9:$W$5008)-1)+$AR$820</f>
        <v>0.16363272654531025</v>
      </c>
    </row>
    <row r="822" spans="19:44">
      <c r="S822">
        <v>814</v>
      </c>
      <c r="T822">
        <v>192.84616891776275</v>
      </c>
      <c r="V822">
        <v>814</v>
      </c>
      <c r="W822">
        <v>122.41698545514954</v>
      </c>
      <c r="AN822">
        <f>SMALL('Iter No Test'!$T$9:$T$1008,820)</f>
        <v>291.83720906807241</v>
      </c>
      <c r="AO822">
        <f>1/(COUNT('Iter No Test'!$T$9:$T$1008)-1)+$AO$821</f>
        <v>0.81981981981980789</v>
      </c>
      <c r="AQ822">
        <f>SMALL('Iter No Test'!$W$9:$W$5008,820)</f>
        <v>131.57558830464751</v>
      </c>
      <c r="AR822">
        <f>1/(COUNT('Iter No Test'!$W$9:$W$5008)-1)+$AR$821</f>
        <v>0.16383276655331186</v>
      </c>
    </row>
    <row r="823" spans="19:44">
      <c r="S823">
        <v>815</v>
      </c>
      <c r="T823">
        <v>215.78756701728068</v>
      </c>
      <c r="V823">
        <v>815</v>
      </c>
      <c r="W823">
        <v>342.03032125437159</v>
      </c>
      <c r="AN823">
        <f>SMALL('Iter No Test'!$T$9:$T$1008,821)</f>
        <v>291.91510671987857</v>
      </c>
      <c r="AO823">
        <f>1/(COUNT('Iter No Test'!$T$9:$T$1008)-1)+$AO$822</f>
        <v>0.82082082082080887</v>
      </c>
      <c r="AQ823">
        <f>SMALL('Iter No Test'!$W$9:$W$5008,821)</f>
        <v>131.63381348202492</v>
      </c>
      <c r="AR823">
        <f>1/(COUNT('Iter No Test'!$W$9:$W$5008)-1)+$AR$822</f>
        <v>0.16403280656131347</v>
      </c>
    </row>
    <row r="824" spans="19:44">
      <c r="S824">
        <v>816</v>
      </c>
      <c r="T824">
        <v>218.28261480669124</v>
      </c>
      <c r="V824">
        <v>816</v>
      </c>
      <c r="W824">
        <v>262.38641309330501</v>
      </c>
      <c r="AN824">
        <f>SMALL('Iter No Test'!$T$9:$T$1008,822)</f>
        <v>293.11001015654642</v>
      </c>
      <c r="AO824">
        <f>1/(COUNT('Iter No Test'!$T$9:$T$1008)-1)+$AO$823</f>
        <v>0.82182182182180985</v>
      </c>
      <c r="AQ824">
        <f>SMALL('Iter No Test'!$W$9:$W$5008,822)</f>
        <v>131.68904958504692</v>
      </c>
      <c r="AR824">
        <f>1/(COUNT('Iter No Test'!$W$9:$W$5008)-1)+$AR$823</f>
        <v>0.16423284656931508</v>
      </c>
    </row>
    <row r="825" spans="19:44">
      <c r="S825">
        <v>817</v>
      </c>
      <c r="T825">
        <v>286.87815669334049</v>
      </c>
      <c r="V825">
        <v>817</v>
      </c>
      <c r="W825">
        <v>120.82117478657391</v>
      </c>
      <c r="AN825">
        <f>SMALL('Iter No Test'!$T$9:$T$1008,823)</f>
        <v>293.25004946972399</v>
      </c>
      <c r="AO825">
        <f>1/(COUNT('Iter No Test'!$T$9:$T$1008)-1)+$AO$824</f>
        <v>0.82282282282281083</v>
      </c>
      <c r="AQ825">
        <f>SMALL('Iter No Test'!$W$9:$W$5008,823)</f>
        <v>131.90523072155605</v>
      </c>
      <c r="AR825">
        <f>1/(COUNT('Iter No Test'!$W$9:$W$5008)-1)+$AR$824</f>
        <v>0.16443288657731669</v>
      </c>
    </row>
    <row r="826" spans="19:44">
      <c r="S826">
        <v>818</v>
      </c>
      <c r="T826">
        <v>500.55830308538532</v>
      </c>
      <c r="V826">
        <v>818</v>
      </c>
      <c r="W826">
        <v>217.03151604522418</v>
      </c>
      <c r="AN826">
        <f>SMALL('Iter No Test'!$T$9:$T$1008,824)</f>
        <v>293.28949630856283</v>
      </c>
      <c r="AO826">
        <f>1/(COUNT('Iter No Test'!$T$9:$T$1008)-1)+$AO$825</f>
        <v>0.82382382382381181</v>
      </c>
      <c r="AQ826">
        <f>SMALL('Iter No Test'!$W$9:$W$5008,824)</f>
        <v>131.95308257493292</v>
      </c>
      <c r="AR826">
        <f>1/(COUNT('Iter No Test'!$W$9:$W$5008)-1)+$AR$825</f>
        <v>0.16463292658531831</v>
      </c>
    </row>
    <row r="827" spans="19:44">
      <c r="S827">
        <v>819</v>
      </c>
      <c r="T827">
        <v>275.11728962783081</v>
      </c>
      <c r="V827">
        <v>819</v>
      </c>
      <c r="W827">
        <v>87.418190190059747</v>
      </c>
      <c r="AN827">
        <f>SMALL('Iter No Test'!$T$9:$T$1008,825)</f>
        <v>293.36327010563139</v>
      </c>
      <c r="AO827">
        <f>1/(COUNT('Iter No Test'!$T$9:$T$1008)-1)+$AO$826</f>
        <v>0.82482482482481279</v>
      </c>
      <c r="AQ827">
        <f>SMALL('Iter No Test'!$W$9:$W$5008,825)</f>
        <v>131.99718533120998</v>
      </c>
      <c r="AR827">
        <f>1/(COUNT('Iter No Test'!$W$9:$W$5008)-1)+$AR$826</f>
        <v>0.16483296659331992</v>
      </c>
    </row>
    <row r="828" spans="19:44">
      <c r="S828">
        <v>820</v>
      </c>
      <c r="T828">
        <v>311.54289721674121</v>
      </c>
      <c r="V828">
        <v>820</v>
      </c>
      <c r="W828">
        <v>206.76629658298185</v>
      </c>
      <c r="AN828">
        <f>SMALL('Iter No Test'!$T$9:$T$1008,826)</f>
        <v>293.50610626487077</v>
      </c>
      <c r="AO828">
        <f>1/(COUNT('Iter No Test'!$T$9:$T$1008)-1)+$AO$827</f>
        <v>0.82582582582581376</v>
      </c>
      <c r="AQ828">
        <f>SMALL('Iter No Test'!$W$9:$W$5008,826)</f>
        <v>132.02968693843508</v>
      </c>
      <c r="AR828">
        <f>1/(COUNT('Iter No Test'!$W$9:$W$5008)-1)+$AR$827</f>
        <v>0.16503300660132153</v>
      </c>
    </row>
    <row r="829" spans="19:44">
      <c r="S829">
        <v>821</v>
      </c>
      <c r="T829">
        <v>213.55943878558108</v>
      </c>
      <c r="V829">
        <v>821</v>
      </c>
      <c r="W829">
        <v>295.49257171753658</v>
      </c>
      <c r="AN829">
        <f>SMALL('Iter No Test'!$T$9:$T$1008,827)</f>
        <v>293.66813597935061</v>
      </c>
      <c r="AO829">
        <f>1/(COUNT('Iter No Test'!$T$9:$T$1008)-1)+$AO$828</f>
        <v>0.82682682682681474</v>
      </c>
      <c r="AQ829">
        <f>SMALL('Iter No Test'!$W$9:$W$5008,827)</f>
        <v>132.1558552728581</v>
      </c>
      <c r="AR829">
        <f>1/(COUNT('Iter No Test'!$W$9:$W$5008)-1)+$AR$828</f>
        <v>0.16523304660932314</v>
      </c>
    </row>
    <row r="830" spans="19:44">
      <c r="S830">
        <v>822</v>
      </c>
      <c r="T830">
        <v>381.62176343716038</v>
      </c>
      <c r="V830">
        <v>822</v>
      </c>
      <c r="W830">
        <v>255.98460200219239</v>
      </c>
      <c r="AN830">
        <f>SMALL('Iter No Test'!$T$9:$T$1008,828)</f>
        <v>293.79241738086807</v>
      </c>
      <c r="AO830">
        <f>1/(COUNT('Iter No Test'!$T$9:$T$1008)-1)+$AO$829</f>
        <v>0.82782782782781572</v>
      </c>
      <c r="AQ830">
        <f>SMALL('Iter No Test'!$W$9:$W$5008,828)</f>
        <v>132.35406186502212</v>
      </c>
      <c r="AR830">
        <f>1/(COUNT('Iter No Test'!$W$9:$W$5008)-1)+$AR$829</f>
        <v>0.16543308661732475</v>
      </c>
    </row>
    <row r="831" spans="19:44">
      <c r="S831">
        <v>823</v>
      </c>
      <c r="T831">
        <v>72.539514212666205</v>
      </c>
      <c r="V831">
        <v>823</v>
      </c>
      <c r="W831">
        <v>160.92542925579548</v>
      </c>
      <c r="AN831">
        <f>SMALL('Iter No Test'!$T$9:$T$1008,829)</f>
        <v>293.87345026439812</v>
      </c>
      <c r="AO831">
        <f>1/(COUNT('Iter No Test'!$T$9:$T$1008)-1)+$AO$830</f>
        <v>0.8288288288288167</v>
      </c>
      <c r="AQ831">
        <f>SMALL('Iter No Test'!$W$9:$W$5008,829)</f>
        <v>132.38837164846643</v>
      </c>
      <c r="AR831">
        <f>1/(COUNT('Iter No Test'!$W$9:$W$5008)-1)+$AR$830</f>
        <v>0.16563312662532637</v>
      </c>
    </row>
    <row r="832" spans="19:44">
      <c r="S832">
        <v>824</v>
      </c>
      <c r="T832">
        <v>162.88604830161998</v>
      </c>
      <c r="V832">
        <v>824</v>
      </c>
      <c r="W832">
        <v>149.40537846889623</v>
      </c>
      <c r="AN832">
        <f>SMALL('Iter No Test'!$T$9:$T$1008,830)</f>
        <v>293.92738035503174</v>
      </c>
      <c r="AO832">
        <f>1/(COUNT('Iter No Test'!$T$9:$T$1008)-1)+$AO$831</f>
        <v>0.82982982982981768</v>
      </c>
      <c r="AQ832">
        <f>SMALL('Iter No Test'!$W$9:$W$5008,830)</f>
        <v>132.48730341184216</v>
      </c>
      <c r="AR832">
        <f>1/(COUNT('Iter No Test'!$W$9:$W$5008)-1)+$AR$831</f>
        <v>0.16583316663332798</v>
      </c>
    </row>
    <row r="833" spans="19:44">
      <c r="S833">
        <v>825</v>
      </c>
      <c r="T833">
        <v>394.48039159926662</v>
      </c>
      <c r="V833">
        <v>825</v>
      </c>
      <c r="W833">
        <v>205.21082198146078</v>
      </c>
      <c r="AN833">
        <f>SMALL('Iter No Test'!$T$9:$T$1008,831)</f>
        <v>294.07666895208865</v>
      </c>
      <c r="AO833">
        <f>1/(COUNT('Iter No Test'!$T$9:$T$1008)-1)+$AO$832</f>
        <v>0.83083083083081866</v>
      </c>
      <c r="AQ833">
        <f>SMALL('Iter No Test'!$W$9:$W$5008,831)</f>
        <v>132.52113403485581</v>
      </c>
      <c r="AR833">
        <f>1/(COUNT('Iter No Test'!$W$9:$W$5008)-1)+$AR$832</f>
        <v>0.16603320664132959</v>
      </c>
    </row>
    <row r="834" spans="19:44">
      <c r="S834">
        <v>826</v>
      </c>
      <c r="T834">
        <v>278.00888160693421</v>
      </c>
      <c r="V834">
        <v>826</v>
      </c>
      <c r="W834">
        <v>223.08774445988857</v>
      </c>
      <c r="AN834">
        <f>SMALL('Iter No Test'!$T$9:$T$1008,832)</f>
        <v>294.17665703047601</v>
      </c>
      <c r="AO834">
        <f>1/(COUNT('Iter No Test'!$T$9:$T$1008)-1)+$AO$833</f>
        <v>0.83183183183181963</v>
      </c>
      <c r="AQ834">
        <f>SMALL('Iter No Test'!$W$9:$W$5008,832)</f>
        <v>132.57610203454405</v>
      </c>
      <c r="AR834">
        <f>1/(COUNT('Iter No Test'!$W$9:$W$5008)-1)+$AR$833</f>
        <v>0.1662332466493312</v>
      </c>
    </row>
    <row r="835" spans="19:44">
      <c r="S835">
        <v>827</v>
      </c>
      <c r="T835">
        <v>187.30301878074528</v>
      </c>
      <c r="V835">
        <v>827</v>
      </c>
      <c r="W835">
        <v>166.77790896359386</v>
      </c>
      <c r="AN835">
        <f>SMALL('Iter No Test'!$T$9:$T$1008,833)</f>
        <v>294.22991565496096</v>
      </c>
      <c r="AO835">
        <f>1/(COUNT('Iter No Test'!$T$9:$T$1008)-1)+$AO$834</f>
        <v>0.83283283283282061</v>
      </c>
      <c r="AQ835">
        <f>SMALL('Iter No Test'!$W$9:$W$5008,833)</f>
        <v>132.64938978733778</v>
      </c>
      <c r="AR835">
        <f>1/(COUNT('Iter No Test'!$W$9:$W$5008)-1)+$AR$834</f>
        <v>0.16643328665733281</v>
      </c>
    </row>
    <row r="836" spans="19:44">
      <c r="S836">
        <v>828</v>
      </c>
      <c r="T836">
        <v>56.382774185963683</v>
      </c>
      <c r="V836">
        <v>828</v>
      </c>
      <c r="W836">
        <v>205.25382423234242</v>
      </c>
      <c r="AN836">
        <f>SMALL('Iter No Test'!$T$9:$T$1008,834)</f>
        <v>294.55099963664827</v>
      </c>
      <c r="AO836">
        <f>1/(COUNT('Iter No Test'!$T$9:$T$1008)-1)+$AO$835</f>
        <v>0.83383383383382159</v>
      </c>
      <c r="AQ836">
        <f>SMALL('Iter No Test'!$W$9:$W$5008,834)</f>
        <v>132.69986961536284</v>
      </c>
      <c r="AR836">
        <f>1/(COUNT('Iter No Test'!$W$9:$W$5008)-1)+$AR$835</f>
        <v>0.16663332666533442</v>
      </c>
    </row>
    <row r="837" spans="19:44">
      <c r="S837">
        <v>829</v>
      </c>
      <c r="T837">
        <v>254.2431885857518</v>
      </c>
      <c r="V837">
        <v>829</v>
      </c>
      <c r="W837">
        <v>158.75420192328255</v>
      </c>
      <c r="AN837">
        <f>SMALL('Iter No Test'!$T$9:$T$1008,835)</f>
        <v>294.62409791516586</v>
      </c>
      <c r="AO837">
        <f>1/(COUNT('Iter No Test'!$T$9:$T$1008)-1)+$AO$836</f>
        <v>0.83483483483482257</v>
      </c>
      <c r="AQ837">
        <f>SMALL('Iter No Test'!$W$9:$W$5008,835)</f>
        <v>132.75951955291248</v>
      </c>
      <c r="AR837">
        <f>1/(COUNT('Iter No Test'!$W$9:$W$5008)-1)+$AR$836</f>
        <v>0.16683336667333604</v>
      </c>
    </row>
    <row r="838" spans="19:44">
      <c r="S838">
        <v>830</v>
      </c>
      <c r="T838">
        <v>237.27383478864243</v>
      </c>
      <c r="V838">
        <v>830</v>
      </c>
      <c r="W838">
        <v>255.71800643130436</v>
      </c>
      <c r="AN838">
        <f>SMALL('Iter No Test'!$T$9:$T$1008,836)</f>
        <v>294.82648364074271</v>
      </c>
      <c r="AO838">
        <f>1/(COUNT('Iter No Test'!$T$9:$T$1008)-1)+$AO$837</f>
        <v>0.83583583583582355</v>
      </c>
      <c r="AQ838">
        <f>SMALL('Iter No Test'!$W$9:$W$5008,836)</f>
        <v>132.81249227029218</v>
      </c>
      <c r="AR838">
        <f>1/(COUNT('Iter No Test'!$W$9:$W$5008)-1)+$AR$837</f>
        <v>0.16703340668133765</v>
      </c>
    </row>
    <row r="839" spans="19:44">
      <c r="S839">
        <v>831</v>
      </c>
      <c r="T839">
        <v>376.33149445645313</v>
      </c>
      <c r="V839">
        <v>831</v>
      </c>
      <c r="W839">
        <v>82.32904252469389</v>
      </c>
      <c r="AN839">
        <f>SMALL('Iter No Test'!$T$9:$T$1008,837)</f>
        <v>295.66921024258204</v>
      </c>
      <c r="AO839">
        <f>1/(COUNT('Iter No Test'!$T$9:$T$1008)-1)+$AO$838</f>
        <v>0.83683683683682453</v>
      </c>
      <c r="AQ839">
        <f>SMALL('Iter No Test'!$W$9:$W$5008,837)</f>
        <v>132.86536398698826</v>
      </c>
      <c r="AR839">
        <f>1/(COUNT('Iter No Test'!$W$9:$W$5008)-1)+$AR$838</f>
        <v>0.16723344668933926</v>
      </c>
    </row>
    <row r="840" spans="19:44">
      <c r="S840">
        <v>832</v>
      </c>
      <c r="T840">
        <v>110.68921427764145</v>
      </c>
      <c r="V840">
        <v>832</v>
      </c>
      <c r="W840">
        <v>237.98761107777048</v>
      </c>
      <c r="AN840">
        <f>SMALL('Iter No Test'!$T$9:$T$1008,838)</f>
        <v>295.83610394899739</v>
      </c>
      <c r="AO840">
        <f>1/(COUNT('Iter No Test'!$T$9:$T$1008)-1)+$AO$839</f>
        <v>0.83783783783782551</v>
      </c>
      <c r="AQ840">
        <f>SMALL('Iter No Test'!$W$9:$W$5008,838)</f>
        <v>132.963599083041</v>
      </c>
      <c r="AR840">
        <f>1/(COUNT('Iter No Test'!$W$9:$W$5008)-1)+$AR$839</f>
        <v>0.16743348669734087</v>
      </c>
    </row>
    <row r="841" spans="19:44">
      <c r="S841">
        <v>833</v>
      </c>
      <c r="T841">
        <v>186.0388647424256</v>
      </c>
      <c r="V841">
        <v>833</v>
      </c>
      <c r="W841">
        <v>111.48837472862863</v>
      </c>
      <c r="AN841">
        <f>SMALL('Iter No Test'!$T$9:$T$1008,839)</f>
        <v>296.51908327893329</v>
      </c>
      <c r="AO841">
        <f>1/(COUNT('Iter No Test'!$T$9:$T$1008)-1)+$AO$840</f>
        <v>0.83883883883882648</v>
      </c>
      <c r="AQ841">
        <f>SMALL('Iter No Test'!$W$9:$W$5008,839)</f>
        <v>133.14581661934091</v>
      </c>
      <c r="AR841">
        <f>1/(COUNT('Iter No Test'!$W$9:$W$5008)-1)+$AR$840</f>
        <v>0.16763352670534248</v>
      </c>
    </row>
    <row r="842" spans="19:44">
      <c r="S842">
        <v>834</v>
      </c>
      <c r="T842">
        <v>237.4978632321685</v>
      </c>
      <c r="V842">
        <v>834</v>
      </c>
      <c r="W842">
        <v>85.169480794139446</v>
      </c>
      <c r="AN842">
        <f>SMALL('Iter No Test'!$T$9:$T$1008,840)</f>
        <v>296.80787615273181</v>
      </c>
      <c r="AO842">
        <f>1/(COUNT('Iter No Test'!$T$9:$T$1008)-1)+$AO$841</f>
        <v>0.83983983983982746</v>
      </c>
      <c r="AQ842">
        <f>SMALL('Iter No Test'!$W$9:$W$5008,840)</f>
        <v>133.17263167176162</v>
      </c>
      <c r="AR842">
        <f>1/(COUNT('Iter No Test'!$W$9:$W$5008)-1)+$AR$841</f>
        <v>0.1678335667133441</v>
      </c>
    </row>
    <row r="843" spans="19:44">
      <c r="S843">
        <v>835</v>
      </c>
      <c r="T843">
        <v>228.00264987233393</v>
      </c>
      <c r="V843">
        <v>835</v>
      </c>
      <c r="W843">
        <v>359.66189995503237</v>
      </c>
      <c r="AN843">
        <f>SMALL('Iter No Test'!$T$9:$T$1008,841)</f>
        <v>297.68289749897872</v>
      </c>
      <c r="AO843">
        <f>1/(COUNT('Iter No Test'!$T$9:$T$1008)-1)+$AO$842</f>
        <v>0.84084084084082844</v>
      </c>
      <c r="AQ843">
        <f>SMALL('Iter No Test'!$W$9:$W$5008,841)</f>
        <v>133.1787566527978</v>
      </c>
      <c r="AR843">
        <f>1/(COUNT('Iter No Test'!$W$9:$W$5008)-1)+$AR$842</f>
        <v>0.16803360672134571</v>
      </c>
    </row>
    <row r="844" spans="19:44">
      <c r="S844">
        <v>836</v>
      </c>
      <c r="T844">
        <v>107.92045843280928</v>
      </c>
      <c r="V844">
        <v>836</v>
      </c>
      <c r="W844">
        <v>170.09592846903084</v>
      </c>
      <c r="AN844">
        <f>SMALL('Iter No Test'!$T$9:$T$1008,842)</f>
        <v>297.71887231561783</v>
      </c>
      <c r="AO844">
        <f>1/(COUNT('Iter No Test'!$T$9:$T$1008)-1)+$AO$843</f>
        <v>0.84184184184182942</v>
      </c>
      <c r="AQ844">
        <f>SMALL('Iter No Test'!$W$9:$W$5008,842)</f>
        <v>133.19536950255966</v>
      </c>
      <c r="AR844">
        <f>1/(COUNT('Iter No Test'!$W$9:$W$5008)-1)+$AR$843</f>
        <v>0.16823364672934732</v>
      </c>
    </row>
    <row r="845" spans="19:44">
      <c r="S845">
        <v>837</v>
      </c>
      <c r="T845">
        <v>246.50459869532833</v>
      </c>
      <c r="V845">
        <v>837</v>
      </c>
      <c r="W845">
        <v>462.1777470096996</v>
      </c>
      <c r="AN845">
        <f>SMALL('Iter No Test'!$T$9:$T$1008,843)</f>
        <v>297.76503530409343</v>
      </c>
      <c r="AO845">
        <f>1/(COUNT('Iter No Test'!$T$9:$T$1008)-1)+$AO$844</f>
        <v>0.8428428428428304</v>
      </c>
      <c r="AQ845">
        <f>SMALL('Iter No Test'!$W$9:$W$5008,843)</f>
        <v>133.2002520137915</v>
      </c>
      <c r="AR845">
        <f>1/(COUNT('Iter No Test'!$W$9:$W$5008)-1)+$AR$844</f>
        <v>0.16843368673734893</v>
      </c>
    </row>
    <row r="846" spans="19:44">
      <c r="S846">
        <v>838</v>
      </c>
      <c r="T846">
        <v>272.11944099226218</v>
      </c>
      <c r="V846">
        <v>838</v>
      </c>
      <c r="W846">
        <v>181.59552191163732</v>
      </c>
      <c r="AN846">
        <f>SMALL('Iter No Test'!$T$9:$T$1008,844)</f>
        <v>299.35452257605232</v>
      </c>
      <c r="AO846">
        <f>1/(COUNT('Iter No Test'!$T$9:$T$1008)-1)+$AO$845</f>
        <v>0.84384384384383138</v>
      </c>
      <c r="AQ846">
        <f>SMALL('Iter No Test'!$W$9:$W$5008,844)</f>
        <v>133.22214382470861</v>
      </c>
      <c r="AR846">
        <f>1/(COUNT('Iter No Test'!$W$9:$W$5008)-1)+$AR$845</f>
        <v>0.16863372674535054</v>
      </c>
    </row>
    <row r="847" spans="19:44">
      <c r="S847">
        <v>839</v>
      </c>
      <c r="T847">
        <v>87.32124347252136</v>
      </c>
      <c r="V847">
        <v>839</v>
      </c>
      <c r="W847">
        <v>319.34821771081317</v>
      </c>
      <c r="AN847">
        <f>SMALL('Iter No Test'!$T$9:$T$1008,845)</f>
        <v>300.13800327615542</v>
      </c>
      <c r="AO847">
        <f>1/(COUNT('Iter No Test'!$T$9:$T$1008)-1)+$AO$846</f>
        <v>0.84484484484483235</v>
      </c>
      <c r="AQ847">
        <f>SMALL('Iter No Test'!$W$9:$W$5008,845)</f>
        <v>133.2350692524987</v>
      </c>
      <c r="AR847">
        <f>1/(COUNT('Iter No Test'!$W$9:$W$5008)-1)+$AR$846</f>
        <v>0.16883376675335215</v>
      </c>
    </row>
    <row r="848" spans="19:44">
      <c r="S848">
        <v>840</v>
      </c>
      <c r="T848">
        <v>125.91111653553031</v>
      </c>
      <c r="V848">
        <v>840</v>
      </c>
      <c r="W848">
        <v>271.25578245678457</v>
      </c>
      <c r="AN848">
        <f>SMALL('Iter No Test'!$T$9:$T$1008,846)</f>
        <v>300.1757882960145</v>
      </c>
      <c r="AO848">
        <f>1/(COUNT('Iter No Test'!$T$9:$T$1008)-1)+$AO$847</f>
        <v>0.84584584584583333</v>
      </c>
      <c r="AQ848">
        <f>SMALL('Iter No Test'!$W$9:$W$5008,846)</f>
        <v>133.26110065605059</v>
      </c>
      <c r="AR848">
        <f>1/(COUNT('Iter No Test'!$W$9:$W$5008)-1)+$AR$847</f>
        <v>0.16903380676135377</v>
      </c>
    </row>
    <row r="849" spans="19:44">
      <c r="S849">
        <v>841</v>
      </c>
      <c r="T849">
        <v>274.10370636538937</v>
      </c>
      <c r="V849">
        <v>841</v>
      </c>
      <c r="W849">
        <v>225.15783854780264</v>
      </c>
      <c r="AN849">
        <f>SMALL('Iter No Test'!$T$9:$T$1008,847)</f>
        <v>300.64803749954604</v>
      </c>
      <c r="AO849">
        <f>1/(COUNT('Iter No Test'!$T$9:$T$1008)-1)+$AO$848</f>
        <v>0.84684684684683431</v>
      </c>
      <c r="AQ849">
        <f>SMALL('Iter No Test'!$W$9:$W$5008,847)</f>
        <v>133.27599573694837</v>
      </c>
      <c r="AR849">
        <f>1/(COUNT('Iter No Test'!$W$9:$W$5008)-1)+$AR$848</f>
        <v>0.16923384676935538</v>
      </c>
    </row>
    <row r="850" spans="19:44">
      <c r="S850">
        <v>842</v>
      </c>
      <c r="T850">
        <v>188.34972375440324</v>
      </c>
      <c r="V850">
        <v>842</v>
      </c>
      <c r="W850">
        <v>457.13796258618606</v>
      </c>
      <c r="AN850">
        <f>SMALL('Iter No Test'!$T$9:$T$1008,848)</f>
        <v>300.84307510640122</v>
      </c>
      <c r="AO850">
        <f>1/(COUNT('Iter No Test'!$T$9:$T$1008)-1)+$AO$849</f>
        <v>0.84784784784783529</v>
      </c>
      <c r="AQ850">
        <f>SMALL('Iter No Test'!$W$9:$W$5008,848)</f>
        <v>133.36773775542883</v>
      </c>
      <c r="AR850">
        <f>1/(COUNT('Iter No Test'!$W$9:$W$5008)-1)+$AR$849</f>
        <v>0.16943388677735699</v>
      </c>
    </row>
    <row r="851" spans="19:44">
      <c r="S851">
        <v>843</v>
      </c>
      <c r="T851">
        <v>162.74154787143789</v>
      </c>
      <c r="V851">
        <v>843</v>
      </c>
      <c r="W851">
        <v>284.27258483517642</v>
      </c>
      <c r="AN851">
        <f>SMALL('Iter No Test'!$T$9:$T$1008,849)</f>
        <v>301.72324295901922</v>
      </c>
      <c r="AO851">
        <f>1/(COUNT('Iter No Test'!$T$9:$T$1008)-1)+$AO$850</f>
        <v>0.84884884884883627</v>
      </c>
      <c r="AQ851">
        <f>SMALL('Iter No Test'!$W$9:$W$5008,849)</f>
        <v>133.37442078468644</v>
      </c>
      <c r="AR851">
        <f>1/(COUNT('Iter No Test'!$W$9:$W$5008)-1)+$AR$850</f>
        <v>0.1696339267853586</v>
      </c>
    </row>
    <row r="852" spans="19:44">
      <c r="S852">
        <v>844</v>
      </c>
      <c r="T852">
        <v>146.35930364513408</v>
      </c>
      <c r="V852">
        <v>844</v>
      </c>
      <c r="W852">
        <v>218.96632199243348</v>
      </c>
      <c r="AN852">
        <f>SMALL('Iter No Test'!$T$9:$T$1008,850)</f>
        <v>302.00110771112463</v>
      </c>
      <c r="AO852">
        <f>1/(COUNT('Iter No Test'!$T$9:$T$1008)-1)+$AO$851</f>
        <v>0.84984984984983725</v>
      </c>
      <c r="AQ852">
        <f>SMALL('Iter No Test'!$W$9:$W$5008,850)</f>
        <v>133.38265766104442</v>
      </c>
      <c r="AR852">
        <f>1/(COUNT('Iter No Test'!$W$9:$W$5008)-1)+$AR$851</f>
        <v>0.16983396679336021</v>
      </c>
    </row>
    <row r="853" spans="19:44">
      <c r="S853">
        <v>845</v>
      </c>
      <c r="T853">
        <v>167.96707015234159</v>
      </c>
      <c r="V853">
        <v>845</v>
      </c>
      <c r="W853">
        <v>210.58127126211244</v>
      </c>
      <c r="AN853">
        <f>SMALL('Iter No Test'!$T$9:$T$1008,851)</f>
        <v>302.15662420947928</v>
      </c>
      <c r="AO853">
        <f>1/(COUNT('Iter No Test'!$T$9:$T$1008)-1)+$AO$852</f>
        <v>0.85085085085083823</v>
      </c>
      <c r="AQ853">
        <f>SMALL('Iter No Test'!$W$9:$W$5008,851)</f>
        <v>133.40209231521806</v>
      </c>
      <c r="AR853">
        <f>1/(COUNT('Iter No Test'!$W$9:$W$5008)-1)+$AR$852</f>
        <v>0.17003400680136183</v>
      </c>
    </row>
    <row r="854" spans="19:44">
      <c r="S854">
        <v>846</v>
      </c>
      <c r="T854">
        <v>307.38849540540252</v>
      </c>
      <c r="V854">
        <v>846</v>
      </c>
      <c r="W854">
        <v>265.02472446587308</v>
      </c>
      <c r="AN854">
        <f>SMALL('Iter No Test'!$T$9:$T$1008,852)</f>
        <v>302.42535757920996</v>
      </c>
      <c r="AO854">
        <f>1/(COUNT('Iter No Test'!$T$9:$T$1008)-1)+$AO$853</f>
        <v>0.8518518518518392</v>
      </c>
      <c r="AQ854">
        <f>SMALL('Iter No Test'!$W$9:$W$5008,852)</f>
        <v>133.43073459569658</v>
      </c>
      <c r="AR854">
        <f>1/(COUNT('Iter No Test'!$W$9:$W$5008)-1)+$AR$853</f>
        <v>0.17023404680936344</v>
      </c>
    </row>
    <row r="855" spans="19:44">
      <c r="S855">
        <v>847</v>
      </c>
      <c r="T855">
        <v>275.82575467562719</v>
      </c>
      <c r="V855">
        <v>847</v>
      </c>
      <c r="W855">
        <v>150.76806363802075</v>
      </c>
      <c r="AN855">
        <f>SMALL('Iter No Test'!$T$9:$T$1008,853)</f>
        <v>302.4994603322408</v>
      </c>
      <c r="AO855">
        <f>1/(COUNT('Iter No Test'!$T$9:$T$1008)-1)+$AO$854</f>
        <v>0.85285285285284018</v>
      </c>
      <c r="AQ855">
        <f>SMALL('Iter No Test'!$W$9:$W$5008,853)</f>
        <v>133.55196231526071</v>
      </c>
      <c r="AR855">
        <f>1/(COUNT('Iter No Test'!$W$9:$W$5008)-1)+$AR$854</f>
        <v>0.17043408681736505</v>
      </c>
    </row>
    <row r="856" spans="19:44">
      <c r="S856">
        <v>848</v>
      </c>
      <c r="T856">
        <v>409.84768083734286</v>
      </c>
      <c r="V856">
        <v>848</v>
      </c>
      <c r="W856">
        <v>172.87209357042423</v>
      </c>
      <c r="AN856">
        <f>SMALL('Iter No Test'!$T$9:$T$1008,854)</f>
        <v>302.62630195733806</v>
      </c>
      <c r="AO856">
        <f>1/(COUNT('Iter No Test'!$T$9:$T$1008)-1)+$AO$855</f>
        <v>0.85385385385384116</v>
      </c>
      <c r="AQ856">
        <f>SMALL('Iter No Test'!$W$9:$W$5008,854)</f>
        <v>133.56880966797485</v>
      </c>
      <c r="AR856">
        <f>1/(COUNT('Iter No Test'!$W$9:$W$5008)-1)+$AR$855</f>
        <v>0.17063412682536666</v>
      </c>
    </row>
    <row r="857" spans="19:44">
      <c r="S857">
        <v>849</v>
      </c>
      <c r="T857">
        <v>221.40946226758439</v>
      </c>
      <c r="V857">
        <v>849</v>
      </c>
      <c r="W857">
        <v>205.73807074784006</v>
      </c>
      <c r="AN857">
        <f>SMALL('Iter No Test'!$T$9:$T$1008,855)</f>
        <v>303.45174126738925</v>
      </c>
      <c r="AO857">
        <f>1/(COUNT('Iter No Test'!$T$9:$T$1008)-1)+$AO$856</f>
        <v>0.85485485485484214</v>
      </c>
      <c r="AQ857">
        <f>SMALL('Iter No Test'!$W$9:$W$5008,855)</f>
        <v>133.57184797972201</v>
      </c>
      <c r="AR857">
        <f>1/(COUNT('Iter No Test'!$W$9:$W$5008)-1)+$AR$856</f>
        <v>0.17083416683336827</v>
      </c>
    </row>
    <row r="858" spans="19:44">
      <c r="S858">
        <v>850</v>
      </c>
      <c r="T858">
        <v>310.57986559153966</v>
      </c>
      <c r="V858">
        <v>850</v>
      </c>
      <c r="W858">
        <v>276.92351963136576</v>
      </c>
      <c r="AN858">
        <f>SMALL('Iter No Test'!$T$9:$T$1008,856)</f>
        <v>303.73748715074396</v>
      </c>
      <c r="AO858">
        <f>1/(COUNT('Iter No Test'!$T$9:$T$1008)-1)+$AO$857</f>
        <v>0.85585585585584312</v>
      </c>
      <c r="AQ858">
        <f>SMALL('Iter No Test'!$W$9:$W$5008,856)</f>
        <v>133.58498422033185</v>
      </c>
      <c r="AR858">
        <f>1/(COUNT('Iter No Test'!$W$9:$W$5008)-1)+$AR$857</f>
        <v>0.17103420684136988</v>
      </c>
    </row>
    <row r="859" spans="19:44">
      <c r="S859">
        <v>851</v>
      </c>
      <c r="T859">
        <v>282.04473492849604</v>
      </c>
      <c r="V859">
        <v>851</v>
      </c>
      <c r="W859">
        <v>102.76038930744913</v>
      </c>
      <c r="AN859">
        <f>SMALL('Iter No Test'!$T$9:$T$1008,857)</f>
        <v>304.47068321639313</v>
      </c>
      <c r="AO859">
        <f>1/(COUNT('Iter No Test'!$T$9:$T$1008)-1)+$AO$858</f>
        <v>0.8568568568568441</v>
      </c>
      <c r="AQ859">
        <f>SMALL('Iter No Test'!$W$9:$W$5008,857)</f>
        <v>133.69485671998632</v>
      </c>
      <c r="AR859">
        <f>1/(COUNT('Iter No Test'!$W$9:$W$5008)-1)+$AR$858</f>
        <v>0.1712342468493715</v>
      </c>
    </row>
    <row r="860" spans="19:44">
      <c r="S860">
        <v>852</v>
      </c>
      <c r="T860">
        <v>199.6958101058334</v>
      </c>
      <c r="V860">
        <v>852</v>
      </c>
      <c r="W860">
        <v>128.41129396824414</v>
      </c>
      <c r="AN860">
        <f>SMALL('Iter No Test'!$T$9:$T$1008,858)</f>
        <v>305.11809413308902</v>
      </c>
      <c r="AO860">
        <f>1/(COUNT('Iter No Test'!$T$9:$T$1008)-1)+$AO$859</f>
        <v>0.85785785785784507</v>
      </c>
      <c r="AQ860">
        <f>SMALL('Iter No Test'!$W$9:$W$5008,858)</f>
        <v>133.86462275618982</v>
      </c>
      <c r="AR860">
        <f>1/(COUNT('Iter No Test'!$W$9:$W$5008)-1)+$AR$859</f>
        <v>0.17143428685737311</v>
      </c>
    </row>
    <row r="861" spans="19:44">
      <c r="S861">
        <v>853</v>
      </c>
      <c r="T861">
        <v>393.55614227172589</v>
      </c>
      <c r="V861">
        <v>853</v>
      </c>
      <c r="W861">
        <v>372.83030622768968</v>
      </c>
      <c r="AN861">
        <f>SMALL('Iter No Test'!$T$9:$T$1008,859)</f>
        <v>305.95634746619203</v>
      </c>
      <c r="AO861">
        <f>1/(COUNT('Iter No Test'!$T$9:$T$1008)-1)+$AO$860</f>
        <v>0.85885885885884605</v>
      </c>
      <c r="AQ861">
        <f>SMALL('Iter No Test'!$W$9:$W$5008,859)</f>
        <v>133.86756473209633</v>
      </c>
      <c r="AR861">
        <f>1/(COUNT('Iter No Test'!$W$9:$W$5008)-1)+$AR$860</f>
        <v>0.17163432686537472</v>
      </c>
    </row>
    <row r="862" spans="19:44">
      <c r="S862">
        <v>854</v>
      </c>
      <c r="T862">
        <v>248.98814839163771</v>
      </c>
      <c r="V862">
        <v>854</v>
      </c>
      <c r="W862">
        <v>140.18051692619142</v>
      </c>
      <c r="AN862">
        <f>SMALL('Iter No Test'!$T$9:$T$1008,860)</f>
        <v>306.05523240130162</v>
      </c>
      <c r="AO862">
        <f>1/(COUNT('Iter No Test'!$T$9:$T$1008)-1)+$AO$861</f>
        <v>0.85985985985984703</v>
      </c>
      <c r="AQ862">
        <f>SMALL('Iter No Test'!$W$9:$W$5008,860)</f>
        <v>133.95126968072128</v>
      </c>
      <c r="AR862">
        <f>1/(COUNT('Iter No Test'!$W$9:$W$5008)-1)+$AR$861</f>
        <v>0.17183436687337633</v>
      </c>
    </row>
    <row r="863" spans="19:44">
      <c r="S863">
        <v>855</v>
      </c>
      <c r="T863">
        <v>66.67133275996909</v>
      </c>
      <c r="V863">
        <v>855</v>
      </c>
      <c r="W863">
        <v>138.12564358329115</v>
      </c>
      <c r="AN863">
        <f>SMALL('Iter No Test'!$T$9:$T$1008,861)</f>
        <v>306.10289941252768</v>
      </c>
      <c r="AO863">
        <f>1/(COUNT('Iter No Test'!$T$9:$T$1008)-1)+$AO$862</f>
        <v>0.86086086086084801</v>
      </c>
      <c r="AQ863">
        <f>SMALL('Iter No Test'!$W$9:$W$5008,861)</f>
        <v>133.97545392118496</v>
      </c>
      <c r="AR863">
        <f>1/(COUNT('Iter No Test'!$W$9:$W$5008)-1)+$AR$862</f>
        <v>0.17203440688137794</v>
      </c>
    </row>
    <row r="864" spans="19:44">
      <c r="S864">
        <v>856</v>
      </c>
      <c r="T864">
        <v>189.72103600808472</v>
      </c>
      <c r="V864">
        <v>856</v>
      </c>
      <c r="W864">
        <v>200.21011367730634</v>
      </c>
      <c r="AN864">
        <f>SMALL('Iter No Test'!$T$9:$T$1008,862)</f>
        <v>306.32679952997449</v>
      </c>
      <c r="AO864">
        <f>1/(COUNT('Iter No Test'!$T$9:$T$1008)-1)+$AO$863</f>
        <v>0.86186186186184899</v>
      </c>
      <c r="AQ864">
        <f>SMALL('Iter No Test'!$W$9:$W$5008,862)</f>
        <v>134.00736725769471</v>
      </c>
      <c r="AR864">
        <f>1/(COUNT('Iter No Test'!$W$9:$W$5008)-1)+$AR$863</f>
        <v>0.17223444688937956</v>
      </c>
    </row>
    <row r="865" spans="19:44">
      <c r="S865">
        <v>857</v>
      </c>
      <c r="T865">
        <v>98.911690317081707</v>
      </c>
      <c r="V865">
        <v>857</v>
      </c>
      <c r="W865">
        <v>233.30954507653385</v>
      </c>
      <c r="AN865">
        <f>SMALL('Iter No Test'!$T$9:$T$1008,863)</f>
        <v>306.8125182684999</v>
      </c>
      <c r="AO865">
        <f>1/(COUNT('Iter No Test'!$T$9:$T$1008)-1)+$AO$864</f>
        <v>0.86286286286284997</v>
      </c>
      <c r="AQ865">
        <f>SMALL('Iter No Test'!$W$9:$W$5008,863)</f>
        <v>134.05641938403028</v>
      </c>
      <c r="AR865">
        <f>1/(COUNT('Iter No Test'!$W$9:$W$5008)-1)+$AR$864</f>
        <v>0.17243448689738117</v>
      </c>
    </row>
    <row r="866" spans="19:44">
      <c r="S866">
        <v>858</v>
      </c>
      <c r="T866">
        <v>262.21778092073009</v>
      </c>
      <c r="V866">
        <v>858</v>
      </c>
      <c r="W866">
        <v>271.5058429153961</v>
      </c>
      <c r="AN866">
        <f>SMALL('Iter No Test'!$T$9:$T$1008,864)</f>
        <v>306.91925516310505</v>
      </c>
      <c r="AO866">
        <f>1/(COUNT('Iter No Test'!$T$9:$T$1008)-1)+$AO$865</f>
        <v>0.86386386386385094</v>
      </c>
      <c r="AQ866">
        <f>SMALL('Iter No Test'!$W$9:$W$5008,864)</f>
        <v>134.05786719639542</v>
      </c>
      <c r="AR866">
        <f>1/(COUNT('Iter No Test'!$W$9:$W$5008)-1)+$AR$865</f>
        <v>0.17263452690538278</v>
      </c>
    </row>
    <row r="867" spans="19:44">
      <c r="S867">
        <v>859</v>
      </c>
      <c r="T867">
        <v>213.39291656764129</v>
      </c>
      <c r="V867">
        <v>859</v>
      </c>
      <c r="W867">
        <v>263.0892222209032</v>
      </c>
      <c r="AN867">
        <f>SMALL('Iter No Test'!$T$9:$T$1008,865)</f>
        <v>307.38849540540252</v>
      </c>
      <c r="AO867">
        <f>1/(COUNT('Iter No Test'!$T$9:$T$1008)-1)+$AO$866</f>
        <v>0.86486486486485192</v>
      </c>
      <c r="AQ867">
        <f>SMALL('Iter No Test'!$W$9:$W$5008,865)</f>
        <v>134.08679725831493</v>
      </c>
      <c r="AR867">
        <f>1/(COUNT('Iter No Test'!$W$9:$W$5008)-1)+$AR$866</f>
        <v>0.17283456691338439</v>
      </c>
    </row>
    <row r="868" spans="19:44">
      <c r="S868">
        <v>860</v>
      </c>
      <c r="T868">
        <v>236.49201790625182</v>
      </c>
      <c r="V868">
        <v>860</v>
      </c>
      <c r="W868">
        <v>212.8668463733548</v>
      </c>
      <c r="AN868">
        <f>SMALL('Iter No Test'!$T$9:$T$1008,866)</f>
        <v>307.85665012460629</v>
      </c>
      <c r="AO868">
        <f>1/(COUNT('Iter No Test'!$T$9:$T$1008)-1)+$AO$867</f>
        <v>0.8658658658658529</v>
      </c>
      <c r="AQ868">
        <f>SMALL('Iter No Test'!$W$9:$W$5008,866)</f>
        <v>134.10412714470482</v>
      </c>
      <c r="AR868">
        <f>1/(COUNT('Iter No Test'!$W$9:$W$5008)-1)+$AR$867</f>
        <v>0.173034606921386</v>
      </c>
    </row>
    <row r="869" spans="19:44">
      <c r="S869">
        <v>861</v>
      </c>
      <c r="T869">
        <v>316.97169424457945</v>
      </c>
      <c r="V869">
        <v>861</v>
      </c>
      <c r="W869">
        <v>279.79174443127226</v>
      </c>
      <c r="AN869">
        <f>SMALL('Iter No Test'!$T$9:$T$1008,867)</f>
        <v>308.36966402767024</v>
      </c>
      <c r="AO869">
        <f>1/(COUNT('Iter No Test'!$T$9:$T$1008)-1)+$AO$868</f>
        <v>0.86686686686685388</v>
      </c>
      <c r="AQ869">
        <f>SMALL('Iter No Test'!$W$9:$W$5008,867)</f>
        <v>134.17248879861438</v>
      </c>
      <c r="AR869">
        <f>1/(COUNT('Iter No Test'!$W$9:$W$5008)-1)+$AR$868</f>
        <v>0.17323464692938761</v>
      </c>
    </row>
    <row r="870" spans="19:44">
      <c r="S870">
        <v>862</v>
      </c>
      <c r="T870">
        <v>101.94629501406385</v>
      </c>
      <c r="V870">
        <v>862</v>
      </c>
      <c r="W870">
        <v>253.14643685106347</v>
      </c>
      <c r="AN870">
        <f>SMALL('Iter No Test'!$T$9:$T$1008,868)</f>
        <v>308.99150345091186</v>
      </c>
      <c r="AO870">
        <f>1/(COUNT('Iter No Test'!$T$9:$T$1008)-1)+$AO$869</f>
        <v>0.86786786786785486</v>
      </c>
      <c r="AQ870">
        <f>SMALL('Iter No Test'!$W$9:$W$5008,868)</f>
        <v>134.31898357831466</v>
      </c>
      <c r="AR870">
        <f>1/(COUNT('Iter No Test'!$W$9:$W$5008)-1)+$AR$869</f>
        <v>0.17343468693738923</v>
      </c>
    </row>
    <row r="871" spans="19:44">
      <c r="S871">
        <v>863</v>
      </c>
      <c r="T871">
        <v>198.50855946818561</v>
      </c>
      <c r="V871">
        <v>863</v>
      </c>
      <c r="W871">
        <v>245.93980239509565</v>
      </c>
      <c r="AN871">
        <f>SMALL('Iter No Test'!$T$9:$T$1008,869)</f>
        <v>309.13546640077425</v>
      </c>
      <c r="AO871">
        <f>1/(COUNT('Iter No Test'!$T$9:$T$1008)-1)+$AO$870</f>
        <v>0.86886886886885584</v>
      </c>
      <c r="AQ871">
        <f>SMALL('Iter No Test'!$W$9:$W$5008,869)</f>
        <v>134.41341331049733</v>
      </c>
      <c r="AR871">
        <f>1/(COUNT('Iter No Test'!$W$9:$W$5008)-1)+$AR$870</f>
        <v>0.17363472694539084</v>
      </c>
    </row>
    <row r="872" spans="19:44">
      <c r="S872">
        <v>864</v>
      </c>
      <c r="T872">
        <v>73.714632638345805</v>
      </c>
      <c r="V872">
        <v>864</v>
      </c>
      <c r="W872">
        <v>179.94883945580668</v>
      </c>
      <c r="AN872">
        <f>SMALL('Iter No Test'!$T$9:$T$1008,870)</f>
        <v>309.49443642400195</v>
      </c>
      <c r="AO872">
        <f>1/(COUNT('Iter No Test'!$T$9:$T$1008)-1)+$AO$871</f>
        <v>0.86986986986985682</v>
      </c>
      <c r="AQ872">
        <f>SMALL('Iter No Test'!$W$9:$W$5008,870)</f>
        <v>134.48126157660496</v>
      </c>
      <c r="AR872">
        <f>1/(COUNT('Iter No Test'!$W$9:$W$5008)-1)+$AR$871</f>
        <v>0.17383476695339245</v>
      </c>
    </row>
    <row r="873" spans="19:44">
      <c r="S873">
        <v>865</v>
      </c>
      <c r="T873">
        <v>266.15023718843588</v>
      </c>
      <c r="V873">
        <v>865</v>
      </c>
      <c r="W873">
        <v>183.2169031960845</v>
      </c>
      <c r="AN873">
        <f>SMALL('Iter No Test'!$T$9:$T$1008,871)</f>
        <v>310.21245303573232</v>
      </c>
      <c r="AO873">
        <f>1/(COUNT('Iter No Test'!$T$9:$T$1008)-1)+$AO$872</f>
        <v>0.87087087087085779</v>
      </c>
      <c r="AQ873">
        <f>SMALL('Iter No Test'!$W$9:$W$5008,871)</f>
        <v>134.51209151053675</v>
      </c>
      <c r="AR873">
        <f>1/(COUNT('Iter No Test'!$W$9:$W$5008)-1)+$AR$872</f>
        <v>0.17403480696139406</v>
      </c>
    </row>
    <row r="874" spans="19:44">
      <c r="S874">
        <v>866</v>
      </c>
      <c r="T874">
        <v>218.8519589081038</v>
      </c>
      <c r="V874">
        <v>866</v>
      </c>
      <c r="W874">
        <v>293.91379332314563</v>
      </c>
      <c r="AN874">
        <f>SMALL('Iter No Test'!$T$9:$T$1008,872)</f>
        <v>310.41757869717969</v>
      </c>
      <c r="AO874">
        <f>1/(COUNT('Iter No Test'!$T$9:$T$1008)-1)+$AO$873</f>
        <v>0.87187187187185877</v>
      </c>
      <c r="AQ874">
        <f>SMALL('Iter No Test'!$W$9:$W$5008,872)</f>
        <v>134.5446408127616</v>
      </c>
      <c r="AR874">
        <f>1/(COUNT('Iter No Test'!$W$9:$W$5008)-1)+$AR$873</f>
        <v>0.17423484696939567</v>
      </c>
    </row>
    <row r="875" spans="19:44">
      <c r="S875">
        <v>867</v>
      </c>
      <c r="T875">
        <v>224.6353528852533</v>
      </c>
      <c r="V875">
        <v>867</v>
      </c>
      <c r="W875">
        <v>641.98320384530416</v>
      </c>
      <c r="AN875">
        <f>SMALL('Iter No Test'!$T$9:$T$1008,873)</f>
        <v>310.57986559153966</v>
      </c>
      <c r="AO875">
        <f>1/(COUNT('Iter No Test'!$T$9:$T$1008)-1)+$AO$874</f>
        <v>0.87287287287285975</v>
      </c>
      <c r="AQ875">
        <f>SMALL('Iter No Test'!$W$9:$W$5008,873)</f>
        <v>134.6013122409644</v>
      </c>
      <c r="AR875">
        <f>1/(COUNT('Iter No Test'!$W$9:$W$5008)-1)+$AR$874</f>
        <v>0.17443488697739729</v>
      </c>
    </row>
    <row r="876" spans="19:44">
      <c r="S876">
        <v>868</v>
      </c>
      <c r="T876">
        <v>314.57390291376123</v>
      </c>
      <c r="V876">
        <v>868</v>
      </c>
      <c r="W876">
        <v>362.69629439440598</v>
      </c>
      <c r="AN876">
        <f>SMALL('Iter No Test'!$T$9:$T$1008,874)</f>
        <v>310.65795825813944</v>
      </c>
      <c r="AO876">
        <f>1/(COUNT('Iter No Test'!$T$9:$T$1008)-1)+$AO$875</f>
        <v>0.87387387387386073</v>
      </c>
      <c r="AQ876">
        <f>SMALL('Iter No Test'!$W$9:$W$5008,874)</f>
        <v>134.65424044727501</v>
      </c>
      <c r="AR876">
        <f>1/(COUNT('Iter No Test'!$W$9:$W$5008)-1)+$AR$875</f>
        <v>0.1746349269853989</v>
      </c>
    </row>
    <row r="877" spans="19:44">
      <c r="S877">
        <v>869</v>
      </c>
      <c r="T877">
        <v>134.74433885497416</v>
      </c>
      <c r="V877">
        <v>869</v>
      </c>
      <c r="W877">
        <v>306.87937748124847</v>
      </c>
      <c r="AN877">
        <f>SMALL('Iter No Test'!$T$9:$T$1008,875)</f>
        <v>310.73325952027005</v>
      </c>
      <c r="AO877">
        <f>1/(COUNT('Iter No Test'!$T$9:$T$1008)-1)+$AO$876</f>
        <v>0.87487487487486171</v>
      </c>
      <c r="AQ877">
        <f>SMALL('Iter No Test'!$W$9:$W$5008,875)</f>
        <v>134.6662901951984</v>
      </c>
      <c r="AR877">
        <f>1/(COUNT('Iter No Test'!$W$9:$W$5008)-1)+$AR$876</f>
        <v>0.17483496699340051</v>
      </c>
    </row>
    <row r="878" spans="19:44">
      <c r="S878">
        <v>870</v>
      </c>
      <c r="T878">
        <v>227.34097418486567</v>
      </c>
      <c r="V878">
        <v>870</v>
      </c>
      <c r="W878">
        <v>169.96130315366347</v>
      </c>
      <c r="AN878">
        <f>SMALL('Iter No Test'!$T$9:$T$1008,876)</f>
        <v>311.54289721674121</v>
      </c>
      <c r="AO878">
        <f>1/(COUNT('Iter No Test'!$T$9:$T$1008)-1)+$AO$877</f>
        <v>0.87587587587586269</v>
      </c>
      <c r="AQ878">
        <f>SMALL('Iter No Test'!$W$9:$W$5008,876)</f>
        <v>134.72871768594584</v>
      </c>
      <c r="AR878">
        <f>1/(COUNT('Iter No Test'!$W$9:$W$5008)-1)+$AR$877</f>
        <v>0.17503500700140212</v>
      </c>
    </row>
    <row r="879" spans="19:44">
      <c r="S879">
        <v>871</v>
      </c>
      <c r="T879">
        <v>348.97646652912397</v>
      </c>
      <c r="V879">
        <v>871</v>
      </c>
      <c r="W879">
        <v>254.21290166225657</v>
      </c>
      <c r="AN879">
        <f>SMALL('Iter No Test'!$T$9:$T$1008,877)</f>
        <v>311.54510740145554</v>
      </c>
      <c r="AO879">
        <f>1/(COUNT('Iter No Test'!$T$9:$T$1008)-1)+$AO$878</f>
        <v>0.87687687687686366</v>
      </c>
      <c r="AQ879">
        <f>SMALL('Iter No Test'!$W$9:$W$5008,877)</f>
        <v>134.74136767354196</v>
      </c>
      <c r="AR879">
        <f>1/(COUNT('Iter No Test'!$W$9:$W$5008)-1)+$AR$878</f>
        <v>0.17523504700940373</v>
      </c>
    </row>
    <row r="880" spans="19:44">
      <c r="S880">
        <v>872</v>
      </c>
      <c r="T880">
        <v>147.69565881895522</v>
      </c>
      <c r="V880">
        <v>872</v>
      </c>
      <c r="W880">
        <v>246.82982258123852</v>
      </c>
      <c r="AN880">
        <f>SMALL('Iter No Test'!$T$9:$T$1008,878)</f>
        <v>311.5859977089209</v>
      </c>
      <c r="AO880">
        <f>1/(COUNT('Iter No Test'!$T$9:$T$1008)-1)+$AO$879</f>
        <v>0.87787787787786464</v>
      </c>
      <c r="AQ880">
        <f>SMALL('Iter No Test'!$W$9:$W$5008,878)</f>
        <v>134.81992406223065</v>
      </c>
      <c r="AR880">
        <f>1/(COUNT('Iter No Test'!$W$9:$W$5008)-1)+$AR$879</f>
        <v>0.17543508701740534</v>
      </c>
    </row>
    <row r="881" spans="19:44">
      <c r="S881">
        <v>873</v>
      </c>
      <c r="T881">
        <v>281.61219557148121</v>
      </c>
      <c r="V881">
        <v>873</v>
      </c>
      <c r="W881">
        <v>232.73666318717696</v>
      </c>
      <c r="AN881">
        <f>SMALL('Iter No Test'!$T$9:$T$1008,879)</f>
        <v>312.05969684348855</v>
      </c>
      <c r="AO881">
        <f>1/(COUNT('Iter No Test'!$T$9:$T$1008)-1)+$AO$880</f>
        <v>0.87887887887886562</v>
      </c>
      <c r="AQ881">
        <f>SMALL('Iter No Test'!$W$9:$W$5008,879)</f>
        <v>134.90899093360628</v>
      </c>
      <c r="AR881">
        <f>1/(COUNT('Iter No Test'!$W$9:$W$5008)-1)+$AR$880</f>
        <v>0.17563512702540696</v>
      </c>
    </row>
    <row r="882" spans="19:44">
      <c r="S882">
        <v>874</v>
      </c>
      <c r="T882">
        <v>84.441398847903329</v>
      </c>
      <c r="V882">
        <v>874</v>
      </c>
      <c r="W882">
        <v>199.96954949263102</v>
      </c>
      <c r="AN882">
        <f>SMALL('Iter No Test'!$T$9:$T$1008,880)</f>
        <v>312.85355336874528</v>
      </c>
      <c r="AO882">
        <f>1/(COUNT('Iter No Test'!$T$9:$T$1008)-1)+$AO$881</f>
        <v>0.8798798798798666</v>
      </c>
      <c r="AQ882">
        <f>SMALL('Iter No Test'!$W$9:$W$5008,880)</f>
        <v>134.9274760770675</v>
      </c>
      <c r="AR882">
        <f>1/(COUNT('Iter No Test'!$W$9:$W$5008)-1)+$AR$881</f>
        <v>0.17583516703340857</v>
      </c>
    </row>
    <row r="883" spans="19:44">
      <c r="S883">
        <v>875</v>
      </c>
      <c r="T883">
        <v>287.62701262922781</v>
      </c>
      <c r="V883">
        <v>875</v>
      </c>
      <c r="W883">
        <v>101.17662469661735</v>
      </c>
      <c r="AN883">
        <f>SMALL('Iter No Test'!$T$9:$T$1008,881)</f>
        <v>312.85765726361308</v>
      </c>
      <c r="AO883">
        <f>1/(COUNT('Iter No Test'!$T$9:$T$1008)-1)+$AO$882</f>
        <v>0.88088088088086758</v>
      </c>
      <c r="AQ883">
        <f>SMALL('Iter No Test'!$W$9:$W$5008,881)</f>
        <v>135.02215058504788</v>
      </c>
      <c r="AR883">
        <f>1/(COUNT('Iter No Test'!$W$9:$W$5008)-1)+$AR$882</f>
        <v>0.17603520704141018</v>
      </c>
    </row>
    <row r="884" spans="19:44">
      <c r="S884">
        <v>876</v>
      </c>
      <c r="T884">
        <v>107.70231671071548</v>
      </c>
      <c r="V884">
        <v>876</v>
      </c>
      <c r="W884">
        <v>131.04881853350884</v>
      </c>
      <c r="AN884">
        <f>SMALL('Iter No Test'!$T$9:$T$1008,882)</f>
        <v>312.86551725421208</v>
      </c>
      <c r="AO884">
        <f>1/(COUNT('Iter No Test'!$T$9:$T$1008)-1)+$AO$883</f>
        <v>0.88188188188186856</v>
      </c>
      <c r="AQ884">
        <f>SMALL('Iter No Test'!$W$9:$W$5008,882)</f>
        <v>135.09102676273761</v>
      </c>
      <c r="AR884">
        <f>1/(COUNT('Iter No Test'!$W$9:$W$5008)-1)+$AR$883</f>
        <v>0.17623524704941179</v>
      </c>
    </row>
    <row r="885" spans="19:44">
      <c r="S885">
        <v>877</v>
      </c>
      <c r="T885">
        <v>273.03404552747463</v>
      </c>
      <c r="V885">
        <v>877</v>
      </c>
      <c r="W885">
        <v>137.48913862530043</v>
      </c>
      <c r="AN885">
        <f>SMALL('Iter No Test'!$T$9:$T$1008,883)</f>
        <v>313.10989801847336</v>
      </c>
      <c r="AO885">
        <f>1/(COUNT('Iter No Test'!$T$9:$T$1008)-1)+$AO$884</f>
        <v>0.88288288288286954</v>
      </c>
      <c r="AQ885">
        <f>SMALL('Iter No Test'!$W$9:$W$5008,883)</f>
        <v>135.12901533527688</v>
      </c>
      <c r="AR885">
        <f>1/(COUNT('Iter No Test'!$W$9:$W$5008)-1)+$AR$884</f>
        <v>0.1764352870574134</v>
      </c>
    </row>
    <row r="886" spans="19:44">
      <c r="S886">
        <v>878</v>
      </c>
      <c r="T886">
        <v>119.01957416084889</v>
      </c>
      <c r="V886">
        <v>878</v>
      </c>
      <c r="W886">
        <v>367.72713874548589</v>
      </c>
      <c r="AN886">
        <f>SMALL('Iter No Test'!$T$9:$T$1008,884)</f>
        <v>314.55591191773726</v>
      </c>
      <c r="AO886">
        <f>1/(COUNT('Iter No Test'!$T$9:$T$1008)-1)+$AO$885</f>
        <v>0.88388388388387051</v>
      </c>
      <c r="AQ886">
        <f>SMALL('Iter No Test'!$W$9:$W$5008,884)</f>
        <v>135.19594078752309</v>
      </c>
      <c r="AR886">
        <f>1/(COUNT('Iter No Test'!$W$9:$W$5008)-1)+$AR$885</f>
        <v>0.17663532706541502</v>
      </c>
    </row>
    <row r="887" spans="19:44">
      <c r="S887">
        <v>879</v>
      </c>
      <c r="T887">
        <v>203.60820330762334</v>
      </c>
      <c r="V887">
        <v>879</v>
      </c>
      <c r="W887">
        <v>258.02034896271311</v>
      </c>
      <c r="AN887">
        <f>SMALL('Iter No Test'!$T$9:$T$1008,885)</f>
        <v>314.57390291376123</v>
      </c>
      <c r="AO887">
        <f>1/(COUNT('Iter No Test'!$T$9:$T$1008)-1)+$AO$886</f>
        <v>0.88488488488487149</v>
      </c>
      <c r="AQ887">
        <f>SMALL('Iter No Test'!$W$9:$W$5008,885)</f>
        <v>135.29256583173148</v>
      </c>
      <c r="AR887">
        <f>1/(COUNT('Iter No Test'!$W$9:$W$5008)-1)+$AR$886</f>
        <v>0.17683536707341663</v>
      </c>
    </row>
    <row r="888" spans="19:44">
      <c r="S888">
        <v>880</v>
      </c>
      <c r="T888">
        <v>248.54650936781448</v>
      </c>
      <c r="V888">
        <v>880</v>
      </c>
      <c r="W888">
        <v>128.24314233602922</v>
      </c>
      <c r="AN888">
        <f>SMALL('Iter No Test'!$T$9:$T$1008,886)</f>
        <v>314.99697828460364</v>
      </c>
      <c r="AO888">
        <f>1/(COUNT('Iter No Test'!$T$9:$T$1008)-1)+$AO$887</f>
        <v>0.88588588588587247</v>
      </c>
      <c r="AQ888">
        <f>SMALL('Iter No Test'!$W$9:$W$5008,886)</f>
        <v>135.2958001063852</v>
      </c>
      <c r="AR888">
        <f>1/(COUNT('Iter No Test'!$W$9:$W$5008)-1)+$AR$887</f>
        <v>0.17703540708141824</v>
      </c>
    </row>
    <row r="889" spans="19:44">
      <c r="S889">
        <v>881</v>
      </c>
      <c r="T889">
        <v>221.20891259853747</v>
      </c>
      <c r="V889">
        <v>881</v>
      </c>
      <c r="W889">
        <v>261.19282238283085</v>
      </c>
      <c r="AN889">
        <f>SMALL('Iter No Test'!$T$9:$T$1008,887)</f>
        <v>315.70361598038482</v>
      </c>
      <c r="AO889">
        <f>1/(COUNT('Iter No Test'!$T$9:$T$1008)-1)+$AO$888</f>
        <v>0.88688688688687345</v>
      </c>
      <c r="AQ889">
        <f>SMALL('Iter No Test'!$W$9:$W$5008,887)</f>
        <v>135.39434165951408</v>
      </c>
      <c r="AR889">
        <f>1/(COUNT('Iter No Test'!$W$9:$W$5008)-1)+$AR$888</f>
        <v>0.17723544708941985</v>
      </c>
    </row>
    <row r="890" spans="19:44">
      <c r="S890">
        <v>882</v>
      </c>
      <c r="T890">
        <v>380.69564544947309</v>
      </c>
      <c r="V890">
        <v>882</v>
      </c>
      <c r="W890">
        <v>135.80652881453031</v>
      </c>
      <c r="AN890">
        <f>SMALL('Iter No Test'!$T$9:$T$1008,888)</f>
        <v>316.31755005652815</v>
      </c>
      <c r="AO890">
        <f>1/(COUNT('Iter No Test'!$T$9:$T$1008)-1)+$AO$889</f>
        <v>0.88788788788787443</v>
      </c>
      <c r="AQ890">
        <f>SMALL('Iter No Test'!$W$9:$W$5008,888)</f>
        <v>135.5580029009937</v>
      </c>
      <c r="AR890">
        <f>1/(COUNT('Iter No Test'!$W$9:$W$5008)-1)+$AR$889</f>
        <v>0.17743548709742146</v>
      </c>
    </row>
    <row r="891" spans="19:44">
      <c r="S891">
        <v>883</v>
      </c>
      <c r="T891">
        <v>372.06390111892381</v>
      </c>
      <c r="V891">
        <v>883</v>
      </c>
      <c r="W891">
        <v>372.78732749525307</v>
      </c>
      <c r="AN891">
        <f>SMALL('Iter No Test'!$T$9:$T$1008,889)</f>
        <v>316.97169424457945</v>
      </c>
      <c r="AO891">
        <f>1/(COUNT('Iter No Test'!$T$9:$T$1008)-1)+$AO$890</f>
        <v>0.88888888888887541</v>
      </c>
      <c r="AQ891">
        <f>SMALL('Iter No Test'!$W$9:$W$5008,889)</f>
        <v>135.60139013211921</v>
      </c>
      <c r="AR891">
        <f>1/(COUNT('Iter No Test'!$W$9:$W$5008)-1)+$AR$890</f>
        <v>0.17763552710542307</v>
      </c>
    </row>
    <row r="892" spans="19:44">
      <c r="S892">
        <v>884</v>
      </c>
      <c r="T892">
        <v>258.19191119225604</v>
      </c>
      <c r="V892">
        <v>884</v>
      </c>
      <c r="W892">
        <v>275.76272326015282</v>
      </c>
      <c r="AN892">
        <f>SMALL('Iter No Test'!$T$9:$T$1008,890)</f>
        <v>317.48753071218266</v>
      </c>
      <c r="AO892">
        <f>1/(COUNT('Iter No Test'!$T$9:$T$1008)-1)+$AO$891</f>
        <v>0.88988988988987638</v>
      </c>
      <c r="AQ892">
        <f>SMALL('Iter No Test'!$W$9:$W$5008,890)</f>
        <v>135.65499408016615</v>
      </c>
      <c r="AR892">
        <f>1/(COUNT('Iter No Test'!$W$9:$W$5008)-1)+$AR$891</f>
        <v>0.17783556711342469</v>
      </c>
    </row>
    <row r="893" spans="19:44">
      <c r="S893">
        <v>885</v>
      </c>
      <c r="T893">
        <v>575.40246067141879</v>
      </c>
      <c r="V893">
        <v>885</v>
      </c>
      <c r="W893">
        <v>359.05027610810896</v>
      </c>
      <c r="AN893">
        <f>SMALL('Iter No Test'!$T$9:$T$1008,891)</f>
        <v>317.54843589239982</v>
      </c>
      <c r="AO893">
        <f>1/(COUNT('Iter No Test'!$T$9:$T$1008)-1)+$AO$892</f>
        <v>0.89089089089087736</v>
      </c>
      <c r="AQ893">
        <f>SMALL('Iter No Test'!$W$9:$W$5008,891)</f>
        <v>135.66434263740805</v>
      </c>
      <c r="AR893">
        <f>1/(COUNT('Iter No Test'!$W$9:$W$5008)-1)+$AR$892</f>
        <v>0.1780356071214263</v>
      </c>
    </row>
    <row r="894" spans="19:44">
      <c r="S894">
        <v>886</v>
      </c>
      <c r="T894">
        <v>318.88069921383078</v>
      </c>
      <c r="V894">
        <v>886</v>
      </c>
      <c r="W894">
        <v>318.15667213646213</v>
      </c>
      <c r="AN894">
        <f>SMALL('Iter No Test'!$T$9:$T$1008,892)</f>
        <v>317.7832945627066</v>
      </c>
      <c r="AO894">
        <f>1/(COUNT('Iter No Test'!$T$9:$T$1008)-1)+$AO$893</f>
        <v>0.89189189189187834</v>
      </c>
      <c r="AQ894">
        <f>SMALL('Iter No Test'!$W$9:$W$5008,892)</f>
        <v>135.68073794305695</v>
      </c>
      <c r="AR894">
        <f>1/(COUNT('Iter No Test'!$W$9:$W$5008)-1)+$AR$893</f>
        <v>0.17823564712942791</v>
      </c>
    </row>
    <row r="895" spans="19:44">
      <c r="S895">
        <v>887</v>
      </c>
      <c r="T895">
        <v>305.11809413308902</v>
      </c>
      <c r="V895">
        <v>887</v>
      </c>
      <c r="W895">
        <v>155.35514015193331</v>
      </c>
      <c r="AN895">
        <f>SMALL('Iter No Test'!$T$9:$T$1008,893)</f>
        <v>318.81968884808413</v>
      </c>
      <c r="AO895">
        <f>1/(COUNT('Iter No Test'!$T$9:$T$1008)-1)+$AO$894</f>
        <v>0.89289289289287932</v>
      </c>
      <c r="AQ895">
        <f>SMALL('Iter No Test'!$W$9:$W$5008,893)</f>
        <v>135.73516633566487</v>
      </c>
      <c r="AR895">
        <f>1/(COUNT('Iter No Test'!$W$9:$W$5008)-1)+$AR$894</f>
        <v>0.17843568713742952</v>
      </c>
    </row>
    <row r="896" spans="19:44">
      <c r="S896">
        <v>888</v>
      </c>
      <c r="T896">
        <v>293.50610626487077</v>
      </c>
      <c r="V896">
        <v>888</v>
      </c>
      <c r="W896">
        <v>188.63727052265801</v>
      </c>
      <c r="AN896">
        <f>SMALL('Iter No Test'!$T$9:$T$1008,894)</f>
        <v>318.88069921383078</v>
      </c>
      <c r="AO896">
        <f>1/(COUNT('Iter No Test'!$T$9:$T$1008)-1)+$AO$895</f>
        <v>0.8938938938938803</v>
      </c>
      <c r="AQ896">
        <f>SMALL('Iter No Test'!$W$9:$W$5008,894)</f>
        <v>135.73573057687423</v>
      </c>
      <c r="AR896">
        <f>1/(COUNT('Iter No Test'!$W$9:$W$5008)-1)+$AR$895</f>
        <v>0.17863572714543113</v>
      </c>
    </row>
    <row r="897" spans="19:44">
      <c r="S897">
        <v>889</v>
      </c>
      <c r="T897">
        <v>240.66934771729854</v>
      </c>
      <c r="V897">
        <v>889</v>
      </c>
      <c r="W897">
        <v>161.12337765794035</v>
      </c>
      <c r="AN897">
        <f>SMALL('Iter No Test'!$T$9:$T$1008,895)</f>
        <v>318.96782269265486</v>
      </c>
      <c r="AO897">
        <f>1/(COUNT('Iter No Test'!$T$9:$T$1008)-1)+$AO$896</f>
        <v>0.89489489489488128</v>
      </c>
      <c r="AQ897">
        <f>SMALL('Iter No Test'!$W$9:$W$5008,895)</f>
        <v>135.76887987213246</v>
      </c>
      <c r="AR897">
        <f>1/(COUNT('Iter No Test'!$W$9:$W$5008)-1)+$AR$896</f>
        <v>0.17883576715343275</v>
      </c>
    </row>
    <row r="898" spans="19:44">
      <c r="S898">
        <v>890</v>
      </c>
      <c r="T898">
        <v>240.79668536004152</v>
      </c>
      <c r="V898">
        <v>890</v>
      </c>
      <c r="W898">
        <v>112.42627458684967</v>
      </c>
      <c r="AN898">
        <f>SMALL('Iter No Test'!$T$9:$T$1008,896)</f>
        <v>319.13295689090569</v>
      </c>
      <c r="AO898">
        <f>1/(COUNT('Iter No Test'!$T$9:$T$1008)-1)+$AO$897</f>
        <v>0.89589589589588225</v>
      </c>
      <c r="AQ898">
        <f>SMALL('Iter No Test'!$W$9:$W$5008,896)</f>
        <v>135.80652881453031</v>
      </c>
      <c r="AR898">
        <f>1/(COUNT('Iter No Test'!$W$9:$W$5008)-1)+$AR$897</f>
        <v>0.17903580716143436</v>
      </c>
    </row>
    <row r="899" spans="19:44">
      <c r="S899">
        <v>891</v>
      </c>
      <c r="T899">
        <v>224.08231792364606</v>
      </c>
      <c r="V899">
        <v>891</v>
      </c>
      <c r="W899">
        <v>155.04177137928821</v>
      </c>
      <c r="AN899">
        <f>SMALL('Iter No Test'!$T$9:$T$1008,897)</f>
        <v>319.72681763527169</v>
      </c>
      <c r="AO899">
        <f>1/(COUNT('Iter No Test'!$T$9:$T$1008)-1)+$AO$898</f>
        <v>0.89689689689688323</v>
      </c>
      <c r="AQ899">
        <f>SMALL('Iter No Test'!$W$9:$W$5008,897)</f>
        <v>135.81496468581321</v>
      </c>
      <c r="AR899">
        <f>1/(COUNT('Iter No Test'!$W$9:$W$5008)-1)+$AR$898</f>
        <v>0.17923584716943597</v>
      </c>
    </row>
    <row r="900" spans="19:44">
      <c r="S900">
        <v>892</v>
      </c>
      <c r="T900">
        <v>211.49475282736444</v>
      </c>
      <c r="V900">
        <v>892</v>
      </c>
      <c r="W900">
        <v>136.72757892370959</v>
      </c>
      <c r="AN900">
        <f>SMALL('Iter No Test'!$T$9:$T$1008,898)</f>
        <v>319.86253745988233</v>
      </c>
      <c r="AO900">
        <f>1/(COUNT('Iter No Test'!$T$9:$T$1008)-1)+$AO$899</f>
        <v>0.89789789789788421</v>
      </c>
      <c r="AQ900">
        <f>SMALL('Iter No Test'!$W$9:$W$5008,898)</f>
        <v>135.84635499621373</v>
      </c>
      <c r="AR900">
        <f>1/(COUNT('Iter No Test'!$W$9:$W$5008)-1)+$AR$899</f>
        <v>0.17943588717743758</v>
      </c>
    </row>
    <row r="901" spans="19:44">
      <c r="S901">
        <v>893</v>
      </c>
      <c r="T901">
        <v>197.17274794874925</v>
      </c>
      <c r="V901">
        <v>893</v>
      </c>
      <c r="W901">
        <v>213.5178650037852</v>
      </c>
      <c r="AN901">
        <f>SMALL('Iter No Test'!$T$9:$T$1008,899)</f>
        <v>319.91703468513276</v>
      </c>
      <c r="AO901">
        <f>1/(COUNT('Iter No Test'!$T$9:$T$1008)-1)+$AO$900</f>
        <v>0.89889889889888519</v>
      </c>
      <c r="AQ901">
        <f>SMALL('Iter No Test'!$W$9:$W$5008,899)</f>
        <v>135.84882606977413</v>
      </c>
      <c r="AR901">
        <f>1/(COUNT('Iter No Test'!$W$9:$W$5008)-1)+$AR$900</f>
        <v>0.17963592718543919</v>
      </c>
    </row>
    <row r="902" spans="19:44">
      <c r="S902">
        <v>894</v>
      </c>
      <c r="T902">
        <v>264.53577204158933</v>
      </c>
      <c r="V902">
        <v>894</v>
      </c>
      <c r="W902">
        <v>121.90491010602425</v>
      </c>
      <c r="AN902">
        <f>SMALL('Iter No Test'!$T$9:$T$1008,900)</f>
        <v>320.09558455672465</v>
      </c>
      <c r="AO902">
        <f>1/(COUNT('Iter No Test'!$T$9:$T$1008)-1)+$AO$901</f>
        <v>0.89989989989988617</v>
      </c>
      <c r="AQ902">
        <f>SMALL('Iter No Test'!$W$9:$W$5008,900)</f>
        <v>135.88171201719211</v>
      </c>
      <c r="AR902">
        <f>1/(COUNT('Iter No Test'!$W$9:$W$5008)-1)+$AR$901</f>
        <v>0.1798359671934408</v>
      </c>
    </row>
    <row r="903" spans="19:44">
      <c r="S903">
        <v>895</v>
      </c>
      <c r="T903">
        <v>124.09816592398165</v>
      </c>
      <c r="V903">
        <v>895</v>
      </c>
      <c r="W903">
        <v>248.60634785799002</v>
      </c>
      <c r="AN903">
        <f>SMALL('Iter No Test'!$T$9:$T$1008,901)</f>
        <v>320.25811301917383</v>
      </c>
      <c r="AO903">
        <f>1/(COUNT('Iter No Test'!$T$9:$T$1008)-1)+$AO$902</f>
        <v>0.90090090090088715</v>
      </c>
      <c r="AQ903">
        <f>SMALL('Iter No Test'!$W$9:$W$5008,901)</f>
        <v>135.92901479687788</v>
      </c>
      <c r="AR903">
        <f>1/(COUNT('Iter No Test'!$W$9:$W$5008)-1)+$AR$902</f>
        <v>0.18003600720144242</v>
      </c>
    </row>
    <row r="904" spans="19:44">
      <c r="S904">
        <v>896</v>
      </c>
      <c r="T904">
        <v>287.89716101421487</v>
      </c>
      <c r="V904">
        <v>896</v>
      </c>
      <c r="W904">
        <v>230.80695595904689</v>
      </c>
      <c r="AN904">
        <f>SMALL('Iter No Test'!$T$9:$T$1008,902)</f>
        <v>321.37261527183557</v>
      </c>
      <c r="AO904">
        <f>1/(COUNT('Iter No Test'!$T$9:$T$1008)-1)+$AO$903</f>
        <v>0.90190190190188813</v>
      </c>
      <c r="AQ904">
        <f>SMALL('Iter No Test'!$W$9:$W$5008,902)</f>
        <v>135.93501401324957</v>
      </c>
      <c r="AR904">
        <f>1/(COUNT('Iter No Test'!$W$9:$W$5008)-1)+$AR$903</f>
        <v>0.18023604720944403</v>
      </c>
    </row>
    <row r="905" spans="19:44">
      <c r="S905">
        <v>897</v>
      </c>
      <c r="T905">
        <v>213.82076822451438</v>
      </c>
      <c r="V905">
        <v>897</v>
      </c>
      <c r="W905">
        <v>364.84417213634799</v>
      </c>
      <c r="AN905">
        <f>SMALL('Iter No Test'!$T$9:$T$1008,903)</f>
        <v>321.57883555335621</v>
      </c>
      <c r="AO905">
        <f>1/(COUNT('Iter No Test'!$T$9:$T$1008)-1)+$AO$904</f>
        <v>0.9029029029028891</v>
      </c>
      <c r="AQ905">
        <f>SMALL('Iter No Test'!$W$9:$W$5008,903)</f>
        <v>135.93929571211132</v>
      </c>
      <c r="AR905">
        <f>1/(COUNT('Iter No Test'!$W$9:$W$5008)-1)+$AR$904</f>
        <v>0.18043608721744564</v>
      </c>
    </row>
    <row r="906" spans="19:44">
      <c r="S906">
        <v>898</v>
      </c>
      <c r="T906">
        <v>146.5120541401314</v>
      </c>
      <c r="V906">
        <v>898</v>
      </c>
      <c r="W906">
        <v>108.89764024069237</v>
      </c>
      <c r="AN906">
        <f>SMALL('Iter No Test'!$T$9:$T$1008,904)</f>
        <v>322.10790510002471</v>
      </c>
      <c r="AO906">
        <f>1/(COUNT('Iter No Test'!$T$9:$T$1008)-1)+$AO$905</f>
        <v>0.90390390390389008</v>
      </c>
      <c r="AQ906">
        <f>SMALL('Iter No Test'!$W$9:$W$5008,904)</f>
        <v>135.97502083726673</v>
      </c>
      <c r="AR906">
        <f>1/(COUNT('Iter No Test'!$W$9:$W$5008)-1)+$AR$905</f>
        <v>0.18063612722544725</v>
      </c>
    </row>
    <row r="907" spans="19:44">
      <c r="S907">
        <v>899</v>
      </c>
      <c r="T907">
        <v>202.70513305686413</v>
      </c>
      <c r="V907">
        <v>899</v>
      </c>
      <c r="W907">
        <v>294.95778442132087</v>
      </c>
      <c r="AN907">
        <f>SMALL('Iter No Test'!$T$9:$T$1008,905)</f>
        <v>322.4792551398607</v>
      </c>
      <c r="AO907">
        <f>1/(COUNT('Iter No Test'!$T$9:$T$1008)-1)+$AO$906</f>
        <v>0.90490490490489106</v>
      </c>
      <c r="AQ907">
        <f>SMALL('Iter No Test'!$W$9:$W$5008,905)</f>
        <v>135.99968290425119</v>
      </c>
      <c r="AR907">
        <f>1/(COUNT('Iter No Test'!$W$9:$W$5008)-1)+$AR$906</f>
        <v>0.18083616723344886</v>
      </c>
    </row>
    <row r="908" spans="19:44">
      <c r="S908">
        <v>900</v>
      </c>
      <c r="T908">
        <v>293.28949630856283</v>
      </c>
      <c r="V908">
        <v>900</v>
      </c>
      <c r="W908">
        <v>127.09906495790682</v>
      </c>
      <c r="AN908">
        <f>SMALL('Iter No Test'!$T$9:$T$1008,906)</f>
        <v>322.65121562211721</v>
      </c>
      <c r="AO908">
        <f>1/(COUNT('Iter No Test'!$T$9:$T$1008)-1)+$AO$907</f>
        <v>0.90590590590589204</v>
      </c>
      <c r="AQ908">
        <f>SMALL('Iter No Test'!$W$9:$W$5008,906)</f>
        <v>136.01222735292612</v>
      </c>
      <c r="AR908">
        <f>1/(COUNT('Iter No Test'!$W$9:$W$5008)-1)+$AR$907</f>
        <v>0.18103620724145048</v>
      </c>
    </row>
    <row r="909" spans="19:44">
      <c r="S909">
        <v>901</v>
      </c>
      <c r="T909">
        <v>152.23228876952982</v>
      </c>
      <c r="V909">
        <v>901</v>
      </c>
      <c r="W909">
        <v>314.63446341484621</v>
      </c>
      <c r="AN909">
        <f>SMALL('Iter No Test'!$T$9:$T$1008,907)</f>
        <v>323.95600286524302</v>
      </c>
      <c r="AO909">
        <f>1/(COUNT('Iter No Test'!$T$9:$T$1008)-1)+$AO$908</f>
        <v>0.90690690690689302</v>
      </c>
      <c r="AQ909">
        <f>SMALL('Iter No Test'!$W$9:$W$5008,907)</f>
        <v>136.02659894215893</v>
      </c>
      <c r="AR909">
        <f>1/(COUNT('Iter No Test'!$W$9:$W$5008)-1)+$AR$908</f>
        <v>0.18123624724945209</v>
      </c>
    </row>
    <row r="910" spans="19:44">
      <c r="S910">
        <v>902</v>
      </c>
      <c r="T910">
        <v>333.68528436144572</v>
      </c>
      <c r="V910">
        <v>902</v>
      </c>
      <c r="W910">
        <v>345.09843172631014</v>
      </c>
      <c r="AN910">
        <f>SMALL('Iter No Test'!$T$9:$T$1008,908)</f>
        <v>324.27544107944044</v>
      </c>
      <c r="AO910">
        <f>1/(COUNT('Iter No Test'!$T$9:$T$1008)-1)+$AO$909</f>
        <v>0.907907907907894</v>
      </c>
      <c r="AQ910">
        <f>SMALL('Iter No Test'!$W$9:$W$5008,908)</f>
        <v>136.38199608085787</v>
      </c>
      <c r="AR910">
        <f>1/(COUNT('Iter No Test'!$W$9:$W$5008)-1)+$AR$909</f>
        <v>0.1814362872574537</v>
      </c>
    </row>
    <row r="911" spans="19:44">
      <c r="S911">
        <v>903</v>
      </c>
      <c r="T911">
        <v>226.07048116095584</v>
      </c>
      <c r="V911">
        <v>903</v>
      </c>
      <c r="W911">
        <v>160.52991983898727</v>
      </c>
      <c r="AN911">
        <f>SMALL('Iter No Test'!$T$9:$T$1008,909)</f>
        <v>324.38515122427987</v>
      </c>
      <c r="AO911">
        <f>1/(COUNT('Iter No Test'!$T$9:$T$1008)-1)+$AO$910</f>
        <v>0.90890890890889497</v>
      </c>
      <c r="AQ911">
        <f>SMALL('Iter No Test'!$W$9:$W$5008,909)</f>
        <v>136.45939186863416</v>
      </c>
      <c r="AR911">
        <f>1/(COUNT('Iter No Test'!$W$9:$W$5008)-1)+$AR$910</f>
        <v>0.18163632726545531</v>
      </c>
    </row>
    <row r="912" spans="19:44">
      <c r="S912">
        <v>904</v>
      </c>
      <c r="T912">
        <v>190.4641405158838</v>
      </c>
      <c r="V912">
        <v>904</v>
      </c>
      <c r="W912">
        <v>247.37513848613511</v>
      </c>
      <c r="AN912">
        <f>SMALL('Iter No Test'!$T$9:$T$1008,910)</f>
        <v>324.73305857186449</v>
      </c>
      <c r="AO912">
        <f>1/(COUNT('Iter No Test'!$T$9:$T$1008)-1)+$AO$911</f>
        <v>0.90990990990989595</v>
      </c>
      <c r="AQ912">
        <f>SMALL('Iter No Test'!$W$9:$W$5008,910)</f>
        <v>136.62725893453384</v>
      </c>
      <c r="AR912">
        <f>1/(COUNT('Iter No Test'!$W$9:$W$5008)-1)+$AR$911</f>
        <v>0.18183636727345692</v>
      </c>
    </row>
    <row r="913" spans="19:44">
      <c r="S913">
        <v>905</v>
      </c>
      <c r="T913">
        <v>53.932655004378205</v>
      </c>
      <c r="V913">
        <v>905</v>
      </c>
      <c r="W913">
        <v>220.98962264521583</v>
      </c>
      <c r="AN913">
        <f>SMALL('Iter No Test'!$T$9:$T$1008,911)</f>
        <v>324.80105124469469</v>
      </c>
      <c r="AO913">
        <f>1/(COUNT('Iter No Test'!$T$9:$T$1008)-1)+$AO$912</f>
        <v>0.91091091091089693</v>
      </c>
      <c r="AQ913">
        <f>SMALL('Iter No Test'!$W$9:$W$5008,911)</f>
        <v>136.65744542550374</v>
      </c>
      <c r="AR913">
        <f>1/(COUNT('Iter No Test'!$W$9:$W$5008)-1)+$AR$912</f>
        <v>0.18203640728145853</v>
      </c>
    </row>
    <row r="914" spans="19:44">
      <c r="S914">
        <v>906</v>
      </c>
      <c r="T914">
        <v>112.35021949587356</v>
      </c>
      <c r="V914">
        <v>906</v>
      </c>
      <c r="W914">
        <v>138.02686504914371</v>
      </c>
      <c r="AN914">
        <f>SMALL('Iter No Test'!$T$9:$T$1008,912)</f>
        <v>326.72762181348673</v>
      </c>
      <c r="AO914">
        <f>1/(COUNT('Iter No Test'!$T$9:$T$1008)-1)+$AO$913</f>
        <v>0.91191191191189791</v>
      </c>
      <c r="AQ914">
        <f>SMALL('Iter No Test'!$W$9:$W$5008,912)</f>
        <v>136.67330631104383</v>
      </c>
      <c r="AR914">
        <f>1/(COUNT('Iter No Test'!$W$9:$W$5008)-1)+$AR$913</f>
        <v>0.18223644728946015</v>
      </c>
    </row>
    <row r="915" spans="19:44">
      <c r="S915">
        <v>907</v>
      </c>
      <c r="T915">
        <v>255.65438828983503</v>
      </c>
      <c r="V915">
        <v>907</v>
      </c>
      <c r="W915">
        <v>198.18723323353163</v>
      </c>
      <c r="AN915">
        <f>SMALL('Iter No Test'!$T$9:$T$1008,913)</f>
        <v>327.29604043682389</v>
      </c>
      <c r="AO915">
        <f>1/(COUNT('Iter No Test'!$T$9:$T$1008)-1)+$AO$914</f>
        <v>0.91291291291289889</v>
      </c>
      <c r="AQ915">
        <f>SMALL('Iter No Test'!$W$9:$W$5008,913)</f>
        <v>136.72757892370959</v>
      </c>
      <c r="AR915">
        <f>1/(COUNT('Iter No Test'!$W$9:$W$5008)-1)+$AR$914</f>
        <v>0.18243648729746176</v>
      </c>
    </row>
    <row r="916" spans="19:44">
      <c r="S916">
        <v>908</v>
      </c>
      <c r="T916">
        <v>256.78147060545291</v>
      </c>
      <c r="V916">
        <v>908</v>
      </c>
      <c r="W916">
        <v>28.610308963344067</v>
      </c>
      <c r="AN916">
        <f>SMALL('Iter No Test'!$T$9:$T$1008,914)</f>
        <v>328.70035916696577</v>
      </c>
      <c r="AO916">
        <f>1/(COUNT('Iter No Test'!$T$9:$T$1008)-1)+$AO$915</f>
        <v>0.91391391391389987</v>
      </c>
      <c r="AQ916">
        <f>SMALL('Iter No Test'!$W$9:$W$5008,914)</f>
        <v>136.74250072130852</v>
      </c>
      <c r="AR916">
        <f>1/(COUNT('Iter No Test'!$W$9:$W$5008)-1)+$AR$915</f>
        <v>0.18263652730546337</v>
      </c>
    </row>
    <row r="917" spans="19:44">
      <c r="S917">
        <v>909</v>
      </c>
      <c r="T917">
        <v>339.06852512033788</v>
      </c>
      <c r="V917">
        <v>909</v>
      </c>
      <c r="W917">
        <v>154.07856280068447</v>
      </c>
      <c r="AN917">
        <f>SMALL('Iter No Test'!$T$9:$T$1008,915)</f>
        <v>329.16263511253982</v>
      </c>
      <c r="AO917">
        <f>1/(COUNT('Iter No Test'!$T$9:$T$1008)-1)+$AO$916</f>
        <v>0.91491491491490085</v>
      </c>
      <c r="AQ917">
        <f>SMALL('Iter No Test'!$W$9:$W$5008,915)</f>
        <v>136.77936157010103</v>
      </c>
      <c r="AR917">
        <f>1/(COUNT('Iter No Test'!$W$9:$W$5008)-1)+$AR$916</f>
        <v>0.18283656731346498</v>
      </c>
    </row>
    <row r="918" spans="19:44">
      <c r="S918">
        <v>910</v>
      </c>
      <c r="T918">
        <v>265.88086272614231</v>
      </c>
      <c r="V918">
        <v>910</v>
      </c>
      <c r="W918">
        <v>250.58159464493036</v>
      </c>
      <c r="AN918">
        <f>SMALL('Iter No Test'!$T$9:$T$1008,916)</f>
        <v>331.28114139509165</v>
      </c>
      <c r="AO918">
        <f>1/(COUNT('Iter No Test'!$T$9:$T$1008)-1)+$AO$917</f>
        <v>0.91591591591590182</v>
      </c>
      <c r="AQ918">
        <f>SMALL('Iter No Test'!$W$9:$W$5008,916)</f>
        <v>136.82913084091126</v>
      </c>
      <c r="AR918">
        <f>1/(COUNT('Iter No Test'!$W$9:$W$5008)-1)+$AR$917</f>
        <v>0.18303660732146659</v>
      </c>
    </row>
    <row r="919" spans="19:44">
      <c r="S919">
        <v>911</v>
      </c>
      <c r="T919">
        <v>265.98166693418591</v>
      </c>
      <c r="V919">
        <v>911</v>
      </c>
      <c r="W919">
        <v>153.67376177372191</v>
      </c>
      <c r="AN919">
        <f>SMALL('Iter No Test'!$T$9:$T$1008,917)</f>
        <v>332.02492129210077</v>
      </c>
      <c r="AO919">
        <f>1/(COUNT('Iter No Test'!$T$9:$T$1008)-1)+$AO$918</f>
        <v>0.9169169169169028</v>
      </c>
      <c r="AQ919">
        <f>SMALL('Iter No Test'!$W$9:$W$5008,917)</f>
        <v>137.03210668033063</v>
      </c>
      <c r="AR919">
        <f>1/(COUNT('Iter No Test'!$W$9:$W$5008)-1)+$AR$918</f>
        <v>0.18323664732946821</v>
      </c>
    </row>
    <row r="920" spans="19:44">
      <c r="S920">
        <v>912</v>
      </c>
      <c r="T920">
        <v>246.15710251991351</v>
      </c>
      <c r="V920">
        <v>912</v>
      </c>
      <c r="W920">
        <v>184.68202185346149</v>
      </c>
      <c r="AN920">
        <f>SMALL('Iter No Test'!$T$9:$T$1008,918)</f>
        <v>333.52016615586876</v>
      </c>
      <c r="AO920">
        <f>1/(COUNT('Iter No Test'!$T$9:$T$1008)-1)+$AO$919</f>
        <v>0.91791791791790378</v>
      </c>
      <c r="AQ920">
        <f>SMALL('Iter No Test'!$W$9:$W$5008,918)</f>
        <v>137.06039563063393</v>
      </c>
      <c r="AR920">
        <f>1/(COUNT('Iter No Test'!$W$9:$W$5008)-1)+$AR$919</f>
        <v>0.18343668733746982</v>
      </c>
    </row>
    <row r="921" spans="19:44">
      <c r="S921">
        <v>913</v>
      </c>
      <c r="T921">
        <v>425.45475399275773</v>
      </c>
      <c r="V921">
        <v>913</v>
      </c>
      <c r="W921">
        <v>233.08147291761395</v>
      </c>
      <c r="AN921">
        <f>SMALL('Iter No Test'!$T$9:$T$1008,919)</f>
        <v>333.5352147683011</v>
      </c>
      <c r="AO921">
        <f>1/(COUNT('Iter No Test'!$T$9:$T$1008)-1)+$AO$920</f>
        <v>0.91891891891890476</v>
      </c>
      <c r="AQ921">
        <f>SMALL('Iter No Test'!$W$9:$W$5008,919)</f>
        <v>137.06346117049057</v>
      </c>
      <c r="AR921">
        <f>1/(COUNT('Iter No Test'!$W$9:$W$5008)-1)+$AR$920</f>
        <v>0.18363672734547143</v>
      </c>
    </row>
    <row r="922" spans="19:44">
      <c r="S922">
        <v>914</v>
      </c>
      <c r="T922">
        <v>310.21245303573232</v>
      </c>
      <c r="V922">
        <v>914</v>
      </c>
      <c r="W922">
        <v>170.62952060966336</v>
      </c>
      <c r="AN922">
        <f>SMALL('Iter No Test'!$T$9:$T$1008,920)</f>
        <v>333.60397241208273</v>
      </c>
      <c r="AO922">
        <f>1/(COUNT('Iter No Test'!$T$9:$T$1008)-1)+$AO$921</f>
        <v>0.91991991991990574</v>
      </c>
      <c r="AQ922">
        <f>SMALL('Iter No Test'!$W$9:$W$5008,920)</f>
        <v>137.08359878738975</v>
      </c>
      <c r="AR922">
        <f>1/(COUNT('Iter No Test'!$W$9:$W$5008)-1)+$AR$921</f>
        <v>0.18383676735347304</v>
      </c>
    </row>
    <row r="923" spans="19:44">
      <c r="S923">
        <v>915</v>
      </c>
      <c r="T923">
        <v>171.52999458599092</v>
      </c>
      <c r="V923">
        <v>915</v>
      </c>
      <c r="W923">
        <v>236.98895661323886</v>
      </c>
      <c r="AN923">
        <f>SMALL('Iter No Test'!$T$9:$T$1008,921)</f>
        <v>333.68528436144572</v>
      </c>
      <c r="AO923">
        <f>1/(COUNT('Iter No Test'!$T$9:$T$1008)-1)+$AO$922</f>
        <v>0.92092092092090672</v>
      </c>
      <c r="AQ923">
        <f>SMALL('Iter No Test'!$W$9:$W$5008,921)</f>
        <v>137.08893042566459</v>
      </c>
      <c r="AR923">
        <f>1/(COUNT('Iter No Test'!$W$9:$W$5008)-1)+$AR$922</f>
        <v>0.18403680736147465</v>
      </c>
    </row>
    <row r="924" spans="19:44">
      <c r="S924">
        <v>916</v>
      </c>
      <c r="T924">
        <v>355.72241245900869</v>
      </c>
      <c r="V924">
        <v>916</v>
      </c>
      <c r="W924">
        <v>152.62225472522343</v>
      </c>
      <c r="AN924">
        <f>SMALL('Iter No Test'!$T$9:$T$1008,922)</f>
        <v>334.09996670568523</v>
      </c>
      <c r="AO924">
        <f>1/(COUNT('Iter No Test'!$T$9:$T$1008)-1)+$AO$923</f>
        <v>0.92192192192190769</v>
      </c>
      <c r="AQ924">
        <f>SMALL('Iter No Test'!$W$9:$W$5008,922)</f>
        <v>137.08945370228003</v>
      </c>
      <c r="AR924">
        <f>1/(COUNT('Iter No Test'!$W$9:$W$5008)-1)+$AR$923</f>
        <v>0.18423684736947626</v>
      </c>
    </row>
    <row r="925" spans="19:44">
      <c r="S925">
        <v>917</v>
      </c>
      <c r="T925">
        <v>99.997611869120362</v>
      </c>
      <c r="V925">
        <v>917</v>
      </c>
      <c r="W925">
        <v>277.20788105469205</v>
      </c>
      <c r="AN925">
        <f>SMALL('Iter No Test'!$T$9:$T$1008,923)</f>
        <v>334.67653569554886</v>
      </c>
      <c r="AO925">
        <f>1/(COUNT('Iter No Test'!$T$9:$T$1008)-1)+$AO$924</f>
        <v>0.92292292292290867</v>
      </c>
      <c r="AQ925">
        <f>SMALL('Iter No Test'!$W$9:$W$5008,923)</f>
        <v>137.1829630737343</v>
      </c>
      <c r="AR925">
        <f>1/(COUNT('Iter No Test'!$W$9:$W$5008)-1)+$AR$924</f>
        <v>0.18443688737747788</v>
      </c>
    </row>
    <row r="926" spans="19:44">
      <c r="S926">
        <v>918</v>
      </c>
      <c r="T926">
        <v>139.72155297706914</v>
      </c>
      <c r="V926">
        <v>918</v>
      </c>
      <c r="W926">
        <v>164.54570865142597</v>
      </c>
      <c r="AN926">
        <f>SMALL('Iter No Test'!$T$9:$T$1008,924)</f>
        <v>338.85780409482084</v>
      </c>
      <c r="AO926">
        <f>1/(COUNT('Iter No Test'!$T$9:$T$1008)-1)+$AO$925</f>
        <v>0.92392392392390965</v>
      </c>
      <c r="AQ926">
        <f>SMALL('Iter No Test'!$W$9:$W$5008,924)</f>
        <v>137.21781838541941</v>
      </c>
      <c r="AR926">
        <f>1/(COUNT('Iter No Test'!$W$9:$W$5008)-1)+$AR$925</f>
        <v>0.18463692738547949</v>
      </c>
    </row>
    <row r="927" spans="19:44">
      <c r="S927">
        <v>919</v>
      </c>
      <c r="T927">
        <v>294.17665703047601</v>
      </c>
      <c r="V927">
        <v>919</v>
      </c>
      <c r="W927">
        <v>250.78383700066027</v>
      </c>
      <c r="AN927">
        <f>SMALL('Iter No Test'!$T$9:$T$1008,925)</f>
        <v>339.06852512033788</v>
      </c>
      <c r="AO927">
        <f>1/(COUNT('Iter No Test'!$T$9:$T$1008)-1)+$AO$926</f>
        <v>0.92492492492491063</v>
      </c>
      <c r="AQ927">
        <f>SMALL('Iter No Test'!$W$9:$W$5008,925)</f>
        <v>137.24935597178387</v>
      </c>
      <c r="AR927">
        <f>1/(COUNT('Iter No Test'!$W$9:$W$5008)-1)+$AR$926</f>
        <v>0.1848369673934811</v>
      </c>
    </row>
    <row r="928" spans="19:44">
      <c r="S928">
        <v>920</v>
      </c>
      <c r="T928">
        <v>94.771558358368083</v>
      </c>
      <c r="V928">
        <v>920</v>
      </c>
      <c r="W928">
        <v>136.45939186863416</v>
      </c>
      <c r="AN928">
        <f>SMALL('Iter No Test'!$T$9:$T$1008,926)</f>
        <v>341.59680080815127</v>
      </c>
      <c r="AO928">
        <f>1/(COUNT('Iter No Test'!$T$9:$T$1008)-1)+$AO$927</f>
        <v>0.92592592592591161</v>
      </c>
      <c r="AQ928">
        <f>SMALL('Iter No Test'!$W$9:$W$5008,926)</f>
        <v>137.37816408979643</v>
      </c>
      <c r="AR928">
        <f>1/(COUNT('Iter No Test'!$W$9:$W$5008)-1)+$AR$927</f>
        <v>0.18503700740148271</v>
      </c>
    </row>
    <row r="929" spans="19:44">
      <c r="S929">
        <v>921</v>
      </c>
      <c r="T929">
        <v>60.485985332276343</v>
      </c>
      <c r="V929">
        <v>921</v>
      </c>
      <c r="W929">
        <v>60.848688071792907</v>
      </c>
      <c r="AN929">
        <f>SMALL('Iter No Test'!$T$9:$T$1008,927)</f>
        <v>342.71333085533917</v>
      </c>
      <c r="AO929">
        <f>1/(COUNT('Iter No Test'!$T$9:$T$1008)-1)+$AO$928</f>
        <v>0.92692692692691259</v>
      </c>
      <c r="AQ929">
        <f>SMALL('Iter No Test'!$W$9:$W$5008,927)</f>
        <v>137.4152103859781</v>
      </c>
      <c r="AR929">
        <f>1/(COUNT('Iter No Test'!$W$9:$W$5008)-1)+$AR$928</f>
        <v>0.18523704740948432</v>
      </c>
    </row>
    <row r="930" spans="19:44">
      <c r="S930">
        <v>922</v>
      </c>
      <c r="T930">
        <v>-12.192275639518584</v>
      </c>
      <c r="V930">
        <v>922</v>
      </c>
      <c r="W930">
        <v>157.330298971274</v>
      </c>
      <c r="AN930">
        <f>SMALL('Iter No Test'!$T$9:$T$1008,928)</f>
        <v>342.83894769982015</v>
      </c>
      <c r="AO930">
        <f>1/(COUNT('Iter No Test'!$T$9:$T$1008)-1)+$AO$929</f>
        <v>0.92792792792791357</v>
      </c>
      <c r="AQ930">
        <f>SMALL('Iter No Test'!$W$9:$W$5008,928)</f>
        <v>137.48913862530043</v>
      </c>
      <c r="AR930">
        <f>1/(COUNT('Iter No Test'!$W$9:$W$5008)-1)+$AR$929</f>
        <v>0.18543708741748594</v>
      </c>
    </row>
    <row r="931" spans="19:44">
      <c r="S931">
        <v>923</v>
      </c>
      <c r="T931">
        <v>287.17892494457374</v>
      </c>
      <c r="V931">
        <v>923</v>
      </c>
      <c r="W931">
        <v>160.32451532756184</v>
      </c>
      <c r="AN931">
        <f>SMALL('Iter No Test'!$T$9:$T$1008,929)</f>
        <v>343.02909295220616</v>
      </c>
      <c r="AO931">
        <f>1/(COUNT('Iter No Test'!$T$9:$T$1008)-1)+$AO$930</f>
        <v>0.92892892892891454</v>
      </c>
      <c r="AQ931">
        <f>SMALL('Iter No Test'!$W$9:$W$5008,929)</f>
        <v>137.50041944677739</v>
      </c>
      <c r="AR931">
        <f>1/(COUNT('Iter No Test'!$W$9:$W$5008)-1)+$AR$930</f>
        <v>0.18563712742548755</v>
      </c>
    </row>
    <row r="932" spans="19:44">
      <c r="S932">
        <v>924</v>
      </c>
      <c r="T932">
        <v>392.93796465796333</v>
      </c>
      <c r="V932">
        <v>924</v>
      </c>
      <c r="W932">
        <v>139.32967253160018</v>
      </c>
      <c r="AN932">
        <f>SMALL('Iter No Test'!$T$9:$T$1008,930)</f>
        <v>343.40552812040528</v>
      </c>
      <c r="AO932">
        <f>1/(COUNT('Iter No Test'!$T$9:$T$1008)-1)+$AO$931</f>
        <v>0.92992992992991552</v>
      </c>
      <c r="AQ932">
        <f>SMALL('Iter No Test'!$W$9:$W$5008,930)</f>
        <v>137.58494850746078</v>
      </c>
      <c r="AR932">
        <f>1/(COUNT('Iter No Test'!$W$9:$W$5008)-1)+$AR$931</f>
        <v>0.18583716743348916</v>
      </c>
    </row>
    <row r="933" spans="19:44">
      <c r="S933">
        <v>925</v>
      </c>
      <c r="T933">
        <v>319.72681763527169</v>
      </c>
      <c r="V933">
        <v>925</v>
      </c>
      <c r="W933">
        <v>149.66869823285057</v>
      </c>
      <c r="AN933">
        <f>SMALL('Iter No Test'!$T$9:$T$1008,931)</f>
        <v>345.83100352638581</v>
      </c>
      <c r="AO933">
        <f>1/(COUNT('Iter No Test'!$T$9:$T$1008)-1)+$AO$932</f>
        <v>0.9309309309309165</v>
      </c>
      <c r="AQ933">
        <f>SMALL('Iter No Test'!$W$9:$W$5008,931)</f>
        <v>137.71233561611044</v>
      </c>
      <c r="AR933">
        <f>1/(COUNT('Iter No Test'!$W$9:$W$5008)-1)+$AR$932</f>
        <v>0.18603720744149077</v>
      </c>
    </row>
    <row r="934" spans="19:44">
      <c r="S934">
        <v>926</v>
      </c>
      <c r="T934">
        <v>48.943766570404847</v>
      </c>
      <c r="V934">
        <v>926</v>
      </c>
      <c r="W934">
        <v>339.63385703802851</v>
      </c>
      <c r="AN934">
        <f>SMALL('Iter No Test'!$T$9:$T$1008,932)</f>
        <v>346.07560633273891</v>
      </c>
      <c r="AO934">
        <f>1/(COUNT('Iter No Test'!$T$9:$T$1008)-1)+$AO$933</f>
        <v>0.93193193193191748</v>
      </c>
      <c r="AQ934">
        <f>SMALL('Iter No Test'!$W$9:$W$5008,932)</f>
        <v>137.80834393262501</v>
      </c>
      <c r="AR934">
        <f>1/(COUNT('Iter No Test'!$W$9:$W$5008)-1)+$AR$933</f>
        <v>0.18623724744949238</v>
      </c>
    </row>
    <row r="935" spans="19:44">
      <c r="S935">
        <v>927</v>
      </c>
      <c r="T935">
        <v>243.27715027407936</v>
      </c>
      <c r="V935">
        <v>927</v>
      </c>
      <c r="W935">
        <v>212.27246125623782</v>
      </c>
      <c r="AN935">
        <f>SMALL('Iter No Test'!$T$9:$T$1008,933)</f>
        <v>346.49927383837593</v>
      </c>
      <c r="AO935">
        <f>1/(COUNT('Iter No Test'!$T$9:$T$1008)-1)+$AO$934</f>
        <v>0.93293293293291846</v>
      </c>
      <c r="AQ935">
        <f>SMALL('Iter No Test'!$W$9:$W$5008,933)</f>
        <v>137.8469408190131</v>
      </c>
      <c r="AR935">
        <f>1/(COUNT('Iter No Test'!$W$9:$W$5008)-1)+$AR$934</f>
        <v>0.18643728745749399</v>
      </c>
    </row>
    <row r="936" spans="19:44">
      <c r="S936">
        <v>928</v>
      </c>
      <c r="T936">
        <v>93.73805435361389</v>
      </c>
      <c r="V936">
        <v>928</v>
      </c>
      <c r="W936">
        <v>308.59139324015166</v>
      </c>
      <c r="AN936">
        <f>SMALL('Iter No Test'!$T$9:$T$1008,934)</f>
        <v>348.97646652912397</v>
      </c>
      <c r="AO936">
        <f>1/(COUNT('Iter No Test'!$T$9:$T$1008)-1)+$AO$935</f>
        <v>0.93393393393391944</v>
      </c>
      <c r="AQ936">
        <f>SMALL('Iter No Test'!$W$9:$W$5008,934)</f>
        <v>137.8571191298189</v>
      </c>
      <c r="AR936">
        <f>1/(COUNT('Iter No Test'!$W$9:$W$5008)-1)+$AR$935</f>
        <v>0.18663732746549561</v>
      </c>
    </row>
    <row r="937" spans="19:44">
      <c r="S937">
        <v>929</v>
      </c>
      <c r="T937">
        <v>216.7801599567407</v>
      </c>
      <c r="V937">
        <v>929</v>
      </c>
      <c r="W937">
        <v>189.39749470098855</v>
      </c>
      <c r="AN937">
        <f>SMALL('Iter No Test'!$T$9:$T$1008,935)</f>
        <v>348.99323380395094</v>
      </c>
      <c r="AO937">
        <f>1/(COUNT('Iter No Test'!$T$9:$T$1008)-1)+$AO$936</f>
        <v>0.93493493493492041</v>
      </c>
      <c r="AQ937">
        <f>SMALL('Iter No Test'!$W$9:$W$5008,935)</f>
        <v>137.91822513140403</v>
      </c>
      <c r="AR937">
        <f>1/(COUNT('Iter No Test'!$W$9:$W$5008)-1)+$AR$936</f>
        <v>0.18683736747349722</v>
      </c>
    </row>
    <row r="938" spans="19:44">
      <c r="S938">
        <v>930</v>
      </c>
      <c r="T938">
        <v>256.42394307388372</v>
      </c>
      <c r="V938">
        <v>930</v>
      </c>
      <c r="W938">
        <v>196.69727438814587</v>
      </c>
      <c r="AN938">
        <f>SMALL('Iter No Test'!$T$9:$T$1008,936)</f>
        <v>350.21894989153816</v>
      </c>
      <c r="AO938">
        <f>1/(COUNT('Iter No Test'!$T$9:$T$1008)-1)+$AO$937</f>
        <v>0.93593593593592139</v>
      </c>
      <c r="AQ938">
        <f>SMALL('Iter No Test'!$W$9:$W$5008,936)</f>
        <v>137.98314912417777</v>
      </c>
      <c r="AR938">
        <f>1/(COUNT('Iter No Test'!$W$9:$W$5008)-1)+$AR$937</f>
        <v>0.18703740748149883</v>
      </c>
    </row>
    <row r="939" spans="19:44">
      <c r="S939">
        <v>931</v>
      </c>
      <c r="T939">
        <v>311.54510740145554</v>
      </c>
      <c r="V939">
        <v>931</v>
      </c>
      <c r="W939">
        <v>264.13584029839268</v>
      </c>
      <c r="AN939">
        <f>SMALL('Iter No Test'!$T$9:$T$1008,937)</f>
        <v>352.88947938676881</v>
      </c>
      <c r="AO939">
        <f>1/(COUNT('Iter No Test'!$T$9:$T$1008)-1)+$AO$938</f>
        <v>0.93693693693692237</v>
      </c>
      <c r="AQ939">
        <f>SMALL('Iter No Test'!$W$9:$W$5008,937)</f>
        <v>138.02686504914371</v>
      </c>
      <c r="AR939">
        <f>1/(COUNT('Iter No Test'!$W$9:$W$5008)-1)+$AR$938</f>
        <v>0.18723744748950044</v>
      </c>
    </row>
    <row r="940" spans="19:44">
      <c r="S940">
        <v>932</v>
      </c>
      <c r="T940">
        <v>169.02479789577015</v>
      </c>
      <c r="V940">
        <v>932</v>
      </c>
      <c r="W940">
        <v>191.16477300734755</v>
      </c>
      <c r="AN940">
        <f>SMALL('Iter No Test'!$T$9:$T$1008,938)</f>
        <v>353.46620897937271</v>
      </c>
      <c r="AO940">
        <f>1/(COUNT('Iter No Test'!$T$9:$T$1008)-1)+$AO$939</f>
        <v>0.93793793793792335</v>
      </c>
      <c r="AQ940">
        <f>SMALL('Iter No Test'!$W$9:$W$5008,938)</f>
        <v>138.05606353737676</v>
      </c>
      <c r="AR940">
        <f>1/(COUNT('Iter No Test'!$W$9:$W$5008)-1)+$AR$939</f>
        <v>0.18743748749750205</v>
      </c>
    </row>
    <row r="941" spans="19:44">
      <c r="S941">
        <v>933</v>
      </c>
      <c r="T941">
        <v>107.18103296926023</v>
      </c>
      <c r="V941">
        <v>933</v>
      </c>
      <c r="W941">
        <v>302.71596011960457</v>
      </c>
      <c r="AN941">
        <f>SMALL('Iter No Test'!$T$9:$T$1008,939)</f>
        <v>354.30274610110558</v>
      </c>
      <c r="AO941">
        <f>1/(COUNT('Iter No Test'!$T$9:$T$1008)-1)+$AO$940</f>
        <v>0.93893893893892433</v>
      </c>
      <c r="AQ941">
        <f>SMALL('Iter No Test'!$W$9:$W$5008,939)</f>
        <v>138.12564358329115</v>
      </c>
      <c r="AR941">
        <f>1/(COUNT('Iter No Test'!$W$9:$W$5008)-1)+$AR$940</f>
        <v>0.18763752750550367</v>
      </c>
    </row>
    <row r="942" spans="19:44">
      <c r="S942">
        <v>934</v>
      </c>
      <c r="T942">
        <v>384.37785891984885</v>
      </c>
      <c r="V942">
        <v>934</v>
      </c>
      <c r="W942">
        <v>142.22413449694946</v>
      </c>
      <c r="AN942">
        <f>SMALL('Iter No Test'!$T$9:$T$1008,940)</f>
        <v>355.72241245900869</v>
      </c>
      <c r="AO942">
        <f>1/(COUNT('Iter No Test'!$T$9:$T$1008)-1)+$AO$941</f>
        <v>0.93993993993992531</v>
      </c>
      <c r="AQ942">
        <f>SMALL('Iter No Test'!$W$9:$W$5008,940)</f>
        <v>138.13885047321719</v>
      </c>
      <c r="AR942">
        <f>1/(COUNT('Iter No Test'!$W$9:$W$5008)-1)+$AR$941</f>
        <v>0.18783756751350528</v>
      </c>
    </row>
    <row r="943" spans="19:44">
      <c r="S943">
        <v>935</v>
      </c>
      <c r="T943">
        <v>302.15662420947928</v>
      </c>
      <c r="V943">
        <v>935</v>
      </c>
      <c r="W943">
        <v>117.80446245119407</v>
      </c>
      <c r="AN943">
        <f>SMALL('Iter No Test'!$T$9:$T$1008,941)</f>
        <v>356.01065909129642</v>
      </c>
      <c r="AO943">
        <f>1/(COUNT('Iter No Test'!$T$9:$T$1008)-1)+$AO$942</f>
        <v>0.94094094094092628</v>
      </c>
      <c r="AQ943">
        <f>SMALL('Iter No Test'!$W$9:$W$5008,941)</f>
        <v>138.25535533669796</v>
      </c>
      <c r="AR943">
        <f>1/(COUNT('Iter No Test'!$W$9:$W$5008)-1)+$AR$942</f>
        <v>0.18803760752150689</v>
      </c>
    </row>
    <row r="944" spans="19:44">
      <c r="S944">
        <v>936</v>
      </c>
      <c r="T944">
        <v>160.39732480526089</v>
      </c>
      <c r="V944">
        <v>936</v>
      </c>
      <c r="W944">
        <v>366.79869402377813</v>
      </c>
      <c r="AN944">
        <f>SMALL('Iter No Test'!$T$9:$T$1008,942)</f>
        <v>356.50493172883091</v>
      </c>
      <c r="AO944">
        <f>1/(COUNT('Iter No Test'!$T$9:$T$1008)-1)+$AO$943</f>
        <v>0.94194194194192726</v>
      </c>
      <c r="AQ944">
        <f>SMALL('Iter No Test'!$W$9:$W$5008,942)</f>
        <v>138.46490497892015</v>
      </c>
      <c r="AR944">
        <f>1/(COUNT('Iter No Test'!$W$9:$W$5008)-1)+$AR$943</f>
        <v>0.1882376475295085</v>
      </c>
    </row>
    <row r="945" spans="19:44">
      <c r="S945">
        <v>937</v>
      </c>
      <c r="T945">
        <v>67.664168314352011</v>
      </c>
      <c r="V945">
        <v>937</v>
      </c>
      <c r="W945">
        <v>228.79833175275303</v>
      </c>
      <c r="AN945">
        <f>SMALL('Iter No Test'!$T$9:$T$1008,943)</f>
        <v>359.11327896281659</v>
      </c>
      <c r="AO945">
        <f>1/(COUNT('Iter No Test'!$T$9:$T$1008)-1)+$AO$944</f>
        <v>0.94294294294292824</v>
      </c>
      <c r="AQ945">
        <f>SMALL('Iter No Test'!$W$9:$W$5008,943)</f>
        <v>138.47297783314298</v>
      </c>
      <c r="AR945">
        <f>1/(COUNT('Iter No Test'!$W$9:$W$5008)-1)+$AR$944</f>
        <v>0.18843768753751011</v>
      </c>
    </row>
    <row r="946" spans="19:44">
      <c r="S946">
        <v>938</v>
      </c>
      <c r="T946">
        <v>229.4300426566339</v>
      </c>
      <c r="V946">
        <v>938</v>
      </c>
      <c r="W946">
        <v>218.93446020009122</v>
      </c>
      <c r="AN946">
        <f>SMALL('Iter No Test'!$T$9:$T$1008,944)</f>
        <v>361.41790065725331</v>
      </c>
      <c r="AO946">
        <f>1/(COUNT('Iter No Test'!$T$9:$T$1008)-1)+$AO$945</f>
        <v>0.94394394394392922</v>
      </c>
      <c r="AQ946">
        <f>SMALL('Iter No Test'!$W$9:$W$5008,944)</f>
        <v>138.51548765972996</v>
      </c>
      <c r="AR946">
        <f>1/(COUNT('Iter No Test'!$W$9:$W$5008)-1)+$AR$945</f>
        <v>0.18863772754551172</v>
      </c>
    </row>
    <row r="947" spans="19:44">
      <c r="S947">
        <v>939</v>
      </c>
      <c r="T947">
        <v>333.60397241208273</v>
      </c>
      <c r="V947">
        <v>939</v>
      </c>
      <c r="W947">
        <v>160.52329657819433</v>
      </c>
      <c r="AN947">
        <f>SMALL('Iter No Test'!$T$9:$T$1008,945)</f>
        <v>362.4816545985135</v>
      </c>
      <c r="AO947">
        <f>1/(COUNT('Iter No Test'!$T$9:$T$1008)-1)+$AO$946</f>
        <v>0.9449449449449302</v>
      </c>
      <c r="AQ947">
        <f>SMALL('Iter No Test'!$W$9:$W$5008,945)</f>
        <v>138.51753223323715</v>
      </c>
      <c r="AR947">
        <f>1/(COUNT('Iter No Test'!$W$9:$W$5008)-1)+$AR$946</f>
        <v>0.18883776755351334</v>
      </c>
    </row>
    <row r="948" spans="19:44">
      <c r="S948">
        <v>940</v>
      </c>
      <c r="T948">
        <v>149.07498549653121</v>
      </c>
      <c r="V948">
        <v>940</v>
      </c>
      <c r="W948">
        <v>186.84531489597623</v>
      </c>
      <c r="AN948">
        <f>SMALL('Iter No Test'!$T$9:$T$1008,946)</f>
        <v>362.89209935723261</v>
      </c>
      <c r="AO948">
        <f>1/(COUNT('Iter No Test'!$T$9:$T$1008)-1)+$AO$947</f>
        <v>0.94594594594593118</v>
      </c>
      <c r="AQ948">
        <f>SMALL('Iter No Test'!$W$9:$W$5008,946)</f>
        <v>138.52087954831725</v>
      </c>
      <c r="AR948">
        <f>1/(COUNT('Iter No Test'!$W$9:$W$5008)-1)+$AR$947</f>
        <v>0.18903780756151495</v>
      </c>
    </row>
    <row r="949" spans="19:44">
      <c r="S949">
        <v>941</v>
      </c>
      <c r="T949">
        <v>194.19547057767625</v>
      </c>
      <c r="V949">
        <v>941</v>
      </c>
      <c r="W949">
        <v>217.93815703976708</v>
      </c>
      <c r="AN949">
        <f>SMALL('Iter No Test'!$T$9:$T$1008,947)</f>
        <v>363.24486442434835</v>
      </c>
      <c r="AO949">
        <f>1/(COUNT('Iter No Test'!$T$9:$T$1008)-1)+$AO$948</f>
        <v>0.94694694694693216</v>
      </c>
      <c r="AQ949">
        <f>SMALL('Iter No Test'!$W$9:$W$5008,947)</f>
        <v>138.52538595025374</v>
      </c>
      <c r="AR949">
        <f>1/(COUNT('Iter No Test'!$W$9:$W$5008)-1)+$AR$948</f>
        <v>0.18923784756951656</v>
      </c>
    </row>
    <row r="950" spans="19:44">
      <c r="S950">
        <v>942</v>
      </c>
      <c r="T950">
        <v>144.58106328775858</v>
      </c>
      <c r="V950">
        <v>942</v>
      </c>
      <c r="W950">
        <v>163.72016879055204</v>
      </c>
      <c r="AN950">
        <f>SMALL('Iter No Test'!$T$9:$T$1008,948)</f>
        <v>364.332095363137</v>
      </c>
      <c r="AO950">
        <f>1/(COUNT('Iter No Test'!$T$9:$T$1008)-1)+$AO$949</f>
        <v>0.94794794794793313</v>
      </c>
      <c r="AQ950">
        <f>SMALL('Iter No Test'!$W$9:$W$5008,948)</f>
        <v>138.53176964500088</v>
      </c>
      <c r="AR950">
        <f>1/(COUNT('Iter No Test'!$W$9:$W$5008)-1)+$AR$949</f>
        <v>0.18943788757751817</v>
      </c>
    </row>
    <row r="951" spans="19:44">
      <c r="S951">
        <v>943</v>
      </c>
      <c r="T951">
        <v>218.15789493995271</v>
      </c>
      <c r="V951">
        <v>943</v>
      </c>
      <c r="W951">
        <v>118.10213771927161</v>
      </c>
      <c r="AN951">
        <f>SMALL('Iter No Test'!$T$9:$T$1008,949)</f>
        <v>366.12492771441191</v>
      </c>
      <c r="AO951">
        <f>1/(COUNT('Iter No Test'!$T$9:$T$1008)-1)+$AO$950</f>
        <v>0.94894894894893411</v>
      </c>
      <c r="AQ951">
        <f>SMALL('Iter No Test'!$W$9:$W$5008,949)</f>
        <v>138.64315437815588</v>
      </c>
      <c r="AR951">
        <f>1/(COUNT('Iter No Test'!$W$9:$W$5008)-1)+$AR$950</f>
        <v>0.18963792758551978</v>
      </c>
    </row>
    <row r="952" spans="19:44">
      <c r="S952">
        <v>944</v>
      </c>
      <c r="T952">
        <v>333.5352147683011</v>
      </c>
      <c r="V952">
        <v>944</v>
      </c>
      <c r="W952">
        <v>238.78821585091794</v>
      </c>
      <c r="AN952">
        <f>SMALL('Iter No Test'!$T$9:$T$1008,950)</f>
        <v>367.13254410101041</v>
      </c>
      <c r="AO952">
        <f>1/(COUNT('Iter No Test'!$T$9:$T$1008)-1)+$AO$951</f>
        <v>0.94994994994993509</v>
      </c>
      <c r="AQ952">
        <f>SMALL('Iter No Test'!$W$9:$W$5008,950)</f>
        <v>138.6672824143497</v>
      </c>
      <c r="AR952">
        <f>1/(COUNT('Iter No Test'!$W$9:$W$5008)-1)+$AR$951</f>
        <v>0.1898379675935214</v>
      </c>
    </row>
    <row r="953" spans="19:44">
      <c r="S953">
        <v>945</v>
      </c>
      <c r="T953">
        <v>211.04980994436789</v>
      </c>
      <c r="V953">
        <v>945</v>
      </c>
      <c r="W953">
        <v>167.73554313350022</v>
      </c>
      <c r="AN953">
        <f>SMALL('Iter No Test'!$T$9:$T$1008,951)</f>
        <v>367.94699780055919</v>
      </c>
      <c r="AO953">
        <f>1/(COUNT('Iter No Test'!$T$9:$T$1008)-1)+$AO$952</f>
        <v>0.95095095095093607</v>
      </c>
      <c r="AQ953">
        <f>SMALL('Iter No Test'!$W$9:$W$5008,951)</f>
        <v>138.72503958778759</v>
      </c>
      <c r="AR953">
        <f>1/(COUNT('Iter No Test'!$W$9:$W$5008)-1)+$AR$952</f>
        <v>0.19003800760152301</v>
      </c>
    </row>
    <row r="954" spans="19:44">
      <c r="S954">
        <v>946</v>
      </c>
      <c r="T954">
        <v>278.36397146055054</v>
      </c>
      <c r="V954">
        <v>946</v>
      </c>
      <c r="W954">
        <v>164.57782908285762</v>
      </c>
      <c r="AN954">
        <f>SMALL('Iter No Test'!$T$9:$T$1008,952)</f>
        <v>369.68917156804014</v>
      </c>
      <c r="AO954">
        <f>1/(COUNT('Iter No Test'!$T$9:$T$1008)-1)+$AO$953</f>
        <v>0.95195195195193705</v>
      </c>
      <c r="AQ954">
        <f>SMALL('Iter No Test'!$W$9:$W$5008,952)</f>
        <v>138.73290530452601</v>
      </c>
      <c r="AR954">
        <f>1/(COUNT('Iter No Test'!$W$9:$W$5008)-1)+$AR$953</f>
        <v>0.19023804760952462</v>
      </c>
    </row>
    <row r="955" spans="19:44">
      <c r="S955">
        <v>947</v>
      </c>
      <c r="T955">
        <v>255.20735589161561</v>
      </c>
      <c r="V955">
        <v>947</v>
      </c>
      <c r="W955">
        <v>189.48655061198116</v>
      </c>
      <c r="AN955">
        <f>SMALL('Iter No Test'!$T$9:$T$1008,953)</f>
        <v>372.06390111892381</v>
      </c>
      <c r="AO955">
        <f>1/(COUNT('Iter No Test'!$T$9:$T$1008)-1)+$AO$954</f>
        <v>0.95295295295293803</v>
      </c>
      <c r="AQ955">
        <f>SMALL('Iter No Test'!$W$9:$W$5008,953)</f>
        <v>138.75365982555138</v>
      </c>
      <c r="AR955">
        <f>1/(COUNT('Iter No Test'!$W$9:$W$5008)-1)+$AR$954</f>
        <v>0.19043808761752623</v>
      </c>
    </row>
    <row r="956" spans="19:44">
      <c r="S956">
        <v>948</v>
      </c>
      <c r="T956">
        <v>246.82848326232218</v>
      </c>
      <c r="V956">
        <v>948</v>
      </c>
      <c r="W956">
        <v>140.21785874125973</v>
      </c>
      <c r="AN956">
        <f>SMALL('Iter No Test'!$T$9:$T$1008,954)</f>
        <v>372.3297038134138</v>
      </c>
      <c r="AO956">
        <f>1/(COUNT('Iter No Test'!$T$9:$T$1008)-1)+$AO$955</f>
        <v>0.953953953953939</v>
      </c>
      <c r="AQ956">
        <f>SMALL('Iter No Test'!$W$9:$W$5008,954)</f>
        <v>138.81645798026059</v>
      </c>
      <c r="AR956">
        <f>1/(COUNT('Iter No Test'!$W$9:$W$5008)-1)+$AR$955</f>
        <v>0.19063812762552784</v>
      </c>
    </row>
    <row r="957" spans="19:44">
      <c r="S957">
        <v>949</v>
      </c>
      <c r="T957">
        <v>267.47829443784684</v>
      </c>
      <c r="V957">
        <v>949</v>
      </c>
      <c r="W957">
        <v>236.36460148505117</v>
      </c>
      <c r="AN957">
        <f>SMALL('Iter No Test'!$T$9:$T$1008,955)</f>
        <v>372.97618641819531</v>
      </c>
      <c r="AO957">
        <f>1/(COUNT('Iter No Test'!$T$9:$T$1008)-1)+$AO$956</f>
        <v>0.95495495495493998</v>
      </c>
      <c r="AQ957">
        <f>SMALL('Iter No Test'!$W$9:$W$5008,955)</f>
        <v>138.90014339126051</v>
      </c>
      <c r="AR957">
        <f>1/(COUNT('Iter No Test'!$W$9:$W$5008)-1)+$AR$956</f>
        <v>0.19083816763352945</v>
      </c>
    </row>
    <row r="958" spans="19:44">
      <c r="S958">
        <v>950</v>
      </c>
      <c r="T958">
        <v>186.39338730154554</v>
      </c>
      <c r="V958">
        <v>950</v>
      </c>
      <c r="W958">
        <v>222.04773022120571</v>
      </c>
      <c r="AN958">
        <f>SMALL('Iter No Test'!$T$9:$T$1008,956)</f>
        <v>376.33149445645313</v>
      </c>
      <c r="AO958">
        <f>1/(COUNT('Iter No Test'!$T$9:$T$1008)-1)+$AO$957</f>
        <v>0.95595595595594096</v>
      </c>
      <c r="AQ958">
        <f>SMALL('Iter No Test'!$W$9:$W$5008,956)</f>
        <v>139.32967253160018</v>
      </c>
      <c r="AR958">
        <f>1/(COUNT('Iter No Test'!$W$9:$W$5008)-1)+$AR$957</f>
        <v>0.19103820764153107</v>
      </c>
    </row>
    <row r="959" spans="19:44">
      <c r="S959">
        <v>951</v>
      </c>
      <c r="T959">
        <v>144.31433762507442</v>
      </c>
      <c r="V959">
        <v>951</v>
      </c>
      <c r="W959">
        <v>505.84751083300358</v>
      </c>
      <c r="AN959">
        <f>SMALL('Iter No Test'!$T$9:$T$1008,957)</f>
        <v>377.72580525465145</v>
      </c>
      <c r="AO959">
        <f>1/(COUNT('Iter No Test'!$T$9:$T$1008)-1)+$AO$958</f>
        <v>0.95695695695694194</v>
      </c>
      <c r="AQ959">
        <f>SMALL('Iter No Test'!$W$9:$W$5008,957)</f>
        <v>139.45100214103809</v>
      </c>
      <c r="AR959">
        <f>1/(COUNT('Iter No Test'!$W$9:$W$5008)-1)+$AR$958</f>
        <v>0.19123824764953268</v>
      </c>
    </row>
    <row r="960" spans="19:44">
      <c r="S960">
        <v>952</v>
      </c>
      <c r="T960">
        <v>266.11240311311997</v>
      </c>
      <c r="V960">
        <v>952</v>
      </c>
      <c r="W960">
        <v>208.73986754076583</v>
      </c>
      <c r="AN960">
        <f>SMALL('Iter No Test'!$T$9:$T$1008,958)</f>
        <v>378.23961959585517</v>
      </c>
      <c r="AO960">
        <f>1/(COUNT('Iter No Test'!$T$9:$T$1008)-1)+$AO$959</f>
        <v>0.95795795795794292</v>
      </c>
      <c r="AQ960">
        <f>SMALL('Iter No Test'!$W$9:$W$5008,958)</f>
        <v>139.49273157345471</v>
      </c>
      <c r="AR960">
        <f>1/(COUNT('Iter No Test'!$W$9:$W$5008)-1)+$AR$959</f>
        <v>0.19143828765753429</v>
      </c>
    </row>
    <row r="961" spans="19:44">
      <c r="S961">
        <v>953</v>
      </c>
      <c r="T961">
        <v>202.85973282313938</v>
      </c>
      <c r="V961">
        <v>953</v>
      </c>
      <c r="W961">
        <v>262.06473547777557</v>
      </c>
      <c r="AN961">
        <f>SMALL('Iter No Test'!$T$9:$T$1008,959)</f>
        <v>378.90339576323595</v>
      </c>
      <c r="AO961">
        <f>1/(COUNT('Iter No Test'!$T$9:$T$1008)-1)+$AO$960</f>
        <v>0.9589589589589439</v>
      </c>
      <c r="AQ961">
        <f>SMALL('Iter No Test'!$W$9:$W$5008,959)</f>
        <v>139.5147155604061</v>
      </c>
      <c r="AR961">
        <f>1/(COUNT('Iter No Test'!$W$9:$W$5008)-1)+$AR$960</f>
        <v>0.1916383276655359</v>
      </c>
    </row>
    <row r="962" spans="19:44">
      <c r="S962">
        <v>954</v>
      </c>
      <c r="T962">
        <v>244.96432998106806</v>
      </c>
      <c r="V962">
        <v>954</v>
      </c>
      <c r="W962">
        <v>214.13920090329594</v>
      </c>
      <c r="AN962">
        <f>SMALL('Iter No Test'!$T$9:$T$1008,960)</f>
        <v>379.67726292319179</v>
      </c>
      <c r="AO962">
        <f>1/(COUNT('Iter No Test'!$T$9:$T$1008)-1)+$AO$961</f>
        <v>0.95995995995994488</v>
      </c>
      <c r="AQ962">
        <f>SMALL('Iter No Test'!$W$9:$W$5008,960)</f>
        <v>139.56943865973619</v>
      </c>
      <c r="AR962">
        <f>1/(COUNT('Iter No Test'!$W$9:$W$5008)-1)+$AR$961</f>
        <v>0.19183836767353751</v>
      </c>
    </row>
    <row r="963" spans="19:44">
      <c r="S963">
        <v>955</v>
      </c>
      <c r="T963">
        <v>258.23292508870026</v>
      </c>
      <c r="V963">
        <v>955</v>
      </c>
      <c r="W963">
        <v>91.292885510629475</v>
      </c>
      <c r="AN963">
        <f>SMALL('Iter No Test'!$T$9:$T$1008,961)</f>
        <v>380.69564544947309</v>
      </c>
      <c r="AO963">
        <f>1/(COUNT('Iter No Test'!$T$9:$T$1008)-1)+$AO$962</f>
        <v>0.96096096096094585</v>
      </c>
      <c r="AQ963">
        <f>SMALL('Iter No Test'!$W$9:$W$5008,961)</f>
        <v>139.60490930463837</v>
      </c>
      <c r="AR963">
        <f>1/(COUNT('Iter No Test'!$W$9:$W$5008)-1)+$AR$962</f>
        <v>0.19203840768153912</v>
      </c>
    </row>
    <row r="964" spans="19:44">
      <c r="S964">
        <v>956</v>
      </c>
      <c r="T964">
        <v>201.42970108833052</v>
      </c>
      <c r="V964">
        <v>956</v>
      </c>
      <c r="W964">
        <v>262.40162882837308</v>
      </c>
      <c r="AN964">
        <f>SMALL('Iter No Test'!$T$9:$T$1008,962)</f>
        <v>381.62176343716038</v>
      </c>
      <c r="AO964">
        <f>1/(COUNT('Iter No Test'!$T$9:$T$1008)-1)+$AO$963</f>
        <v>0.96196196196194683</v>
      </c>
      <c r="AQ964">
        <f>SMALL('Iter No Test'!$W$9:$W$5008,962)</f>
        <v>139.6693163837578</v>
      </c>
      <c r="AR964">
        <f>1/(COUNT('Iter No Test'!$W$9:$W$5008)-1)+$AR$963</f>
        <v>0.19223844768954074</v>
      </c>
    </row>
    <row r="965" spans="19:44">
      <c r="S965">
        <v>957</v>
      </c>
      <c r="T965">
        <v>111.0034643539268</v>
      </c>
      <c r="V965">
        <v>957</v>
      </c>
      <c r="W965">
        <v>13.486631766823052</v>
      </c>
      <c r="AN965">
        <f>SMALL('Iter No Test'!$T$9:$T$1008,963)</f>
        <v>381.71696368184411</v>
      </c>
      <c r="AO965">
        <f>1/(COUNT('Iter No Test'!$T$9:$T$1008)-1)+$AO$964</f>
        <v>0.96296296296294781</v>
      </c>
      <c r="AQ965">
        <f>SMALL('Iter No Test'!$W$9:$W$5008,963)</f>
        <v>139.75038630720923</v>
      </c>
      <c r="AR965">
        <f>1/(COUNT('Iter No Test'!$W$9:$W$5008)-1)+$AR$964</f>
        <v>0.19243848769754235</v>
      </c>
    </row>
    <row r="966" spans="19:44">
      <c r="S966">
        <v>958</v>
      </c>
      <c r="T966">
        <v>147.41777656252847</v>
      </c>
      <c r="V966">
        <v>958</v>
      </c>
      <c r="W966">
        <v>232.00621861429062</v>
      </c>
      <c r="AN966">
        <f>SMALL('Iter No Test'!$T$9:$T$1008,964)</f>
        <v>382.5092550585556</v>
      </c>
      <c r="AO966">
        <f>1/(COUNT('Iter No Test'!$T$9:$T$1008)-1)+$AO$965</f>
        <v>0.96396396396394879</v>
      </c>
      <c r="AQ966">
        <f>SMALL('Iter No Test'!$W$9:$W$5008,964)</f>
        <v>139.77596295543046</v>
      </c>
      <c r="AR966">
        <f>1/(COUNT('Iter No Test'!$W$9:$W$5008)-1)+$AR$965</f>
        <v>0.19263852770554396</v>
      </c>
    </row>
    <row r="967" spans="19:44">
      <c r="S967">
        <v>959</v>
      </c>
      <c r="T967">
        <v>157.72231731041433</v>
      </c>
      <c r="V967">
        <v>959</v>
      </c>
      <c r="W967">
        <v>164.28524478677576</v>
      </c>
      <c r="AN967">
        <f>SMALL('Iter No Test'!$T$9:$T$1008,965)</f>
        <v>384.37785891984885</v>
      </c>
      <c r="AO967">
        <f>1/(COUNT('Iter No Test'!$T$9:$T$1008)-1)+$AO$966</f>
        <v>0.96496496496494977</v>
      </c>
      <c r="AQ967">
        <f>SMALL('Iter No Test'!$W$9:$W$5008,965)</f>
        <v>139.82880098912582</v>
      </c>
      <c r="AR967">
        <f>1/(COUNT('Iter No Test'!$W$9:$W$5008)-1)+$AR$966</f>
        <v>0.19283856771354557</v>
      </c>
    </row>
    <row r="968" spans="19:44">
      <c r="S968">
        <v>960</v>
      </c>
      <c r="T968">
        <v>249.45214170844696</v>
      </c>
      <c r="V968">
        <v>960</v>
      </c>
      <c r="W968">
        <v>197.10136749487228</v>
      </c>
      <c r="AN968">
        <f>SMALL('Iter No Test'!$T$9:$T$1008,966)</f>
        <v>384.50224426323985</v>
      </c>
      <c r="AO968">
        <f>1/(COUNT('Iter No Test'!$T$9:$T$1008)-1)+$AO$967</f>
        <v>0.96596596596595075</v>
      </c>
      <c r="AQ968">
        <f>SMALL('Iter No Test'!$W$9:$W$5008,966)</f>
        <v>139.83929561995777</v>
      </c>
      <c r="AR968">
        <f>1/(COUNT('Iter No Test'!$W$9:$W$5008)-1)+$AR$967</f>
        <v>0.19303860772154718</v>
      </c>
    </row>
    <row r="969" spans="19:44">
      <c r="S969">
        <v>961</v>
      </c>
      <c r="T969">
        <v>199.91872441962283</v>
      </c>
      <c r="V969">
        <v>961</v>
      </c>
      <c r="W969">
        <v>189.11245905475673</v>
      </c>
      <c r="AN969">
        <f>SMALL('Iter No Test'!$T$9:$T$1008,967)</f>
        <v>384.88296277765778</v>
      </c>
      <c r="AO969">
        <f>1/(COUNT('Iter No Test'!$T$9:$T$1008)-1)+$AO$968</f>
        <v>0.96696696696695172</v>
      </c>
      <c r="AQ969">
        <f>SMALL('Iter No Test'!$W$9:$W$5008,967)</f>
        <v>139.90145071944121</v>
      </c>
      <c r="AR969">
        <f>1/(COUNT('Iter No Test'!$W$9:$W$5008)-1)+$AR$968</f>
        <v>0.1932386477295488</v>
      </c>
    </row>
    <row r="970" spans="19:44">
      <c r="S970">
        <v>962</v>
      </c>
      <c r="T970">
        <v>165.20461176062818</v>
      </c>
      <c r="V970">
        <v>962</v>
      </c>
      <c r="W970">
        <v>342.00260785705825</v>
      </c>
      <c r="AN970">
        <f>SMALL('Iter No Test'!$T$9:$T$1008,968)</f>
        <v>387.03890818617765</v>
      </c>
      <c r="AO970">
        <f>1/(COUNT('Iter No Test'!$T$9:$T$1008)-1)+$AO$969</f>
        <v>0.9679679679679527</v>
      </c>
      <c r="AQ970">
        <f>SMALL('Iter No Test'!$W$9:$W$5008,968)</f>
        <v>139.92000588221015</v>
      </c>
      <c r="AR970">
        <f>1/(COUNT('Iter No Test'!$W$9:$W$5008)-1)+$AR$969</f>
        <v>0.19343868773755041</v>
      </c>
    </row>
    <row r="971" spans="19:44">
      <c r="S971">
        <v>963</v>
      </c>
      <c r="T971">
        <v>98.550079725332495</v>
      </c>
      <c r="V971">
        <v>963</v>
      </c>
      <c r="W971">
        <v>178.7786687151887</v>
      </c>
      <c r="AN971">
        <f>SMALL('Iter No Test'!$T$9:$T$1008,969)</f>
        <v>392.93796465796333</v>
      </c>
      <c r="AO971">
        <f>1/(COUNT('Iter No Test'!$T$9:$T$1008)-1)+$AO$970</f>
        <v>0.96896896896895368</v>
      </c>
      <c r="AQ971">
        <f>SMALL('Iter No Test'!$W$9:$W$5008,969)</f>
        <v>139.93045398384947</v>
      </c>
      <c r="AR971">
        <f>1/(COUNT('Iter No Test'!$W$9:$W$5008)-1)+$AR$970</f>
        <v>0.19363872774555202</v>
      </c>
    </row>
    <row r="972" spans="19:44">
      <c r="S972">
        <v>964</v>
      </c>
      <c r="T972">
        <v>238.35526672884433</v>
      </c>
      <c r="V972">
        <v>964</v>
      </c>
      <c r="W972">
        <v>205.57233467377463</v>
      </c>
      <c r="AN972">
        <f>SMALL('Iter No Test'!$T$9:$T$1008,970)</f>
        <v>393.55614227172589</v>
      </c>
      <c r="AO972">
        <f>1/(COUNT('Iter No Test'!$T$9:$T$1008)-1)+$AO$971</f>
        <v>0.96996996996995466</v>
      </c>
      <c r="AQ972">
        <f>SMALL('Iter No Test'!$W$9:$W$5008,970)</f>
        <v>140.12763236146202</v>
      </c>
      <c r="AR972">
        <f>1/(COUNT('Iter No Test'!$W$9:$W$5008)-1)+$AR$971</f>
        <v>0.19383876775355363</v>
      </c>
    </row>
    <row r="973" spans="19:44">
      <c r="S973">
        <v>965</v>
      </c>
      <c r="T973">
        <v>458.41920966604812</v>
      </c>
      <c r="V973">
        <v>965</v>
      </c>
      <c r="W973">
        <v>200.20851655991902</v>
      </c>
      <c r="AN973">
        <f>SMALL('Iter No Test'!$T$9:$T$1008,971)</f>
        <v>394.11793700969389</v>
      </c>
      <c r="AO973">
        <f>1/(COUNT('Iter No Test'!$T$9:$T$1008)-1)+$AO$972</f>
        <v>0.97097097097095564</v>
      </c>
      <c r="AQ973">
        <f>SMALL('Iter No Test'!$W$9:$W$5008,971)</f>
        <v>140.1438834431527</v>
      </c>
      <c r="AR973">
        <f>1/(COUNT('Iter No Test'!$W$9:$W$5008)-1)+$AR$972</f>
        <v>0.19403880776155524</v>
      </c>
    </row>
    <row r="974" spans="19:44">
      <c r="S974">
        <v>966</v>
      </c>
      <c r="T974">
        <v>82.5435844356453</v>
      </c>
      <c r="V974">
        <v>966</v>
      </c>
      <c r="W974">
        <v>448.64642344579073</v>
      </c>
      <c r="AN974">
        <f>SMALL('Iter No Test'!$T$9:$T$1008,972)</f>
        <v>394.48039159926662</v>
      </c>
      <c r="AO974">
        <f>1/(COUNT('Iter No Test'!$T$9:$T$1008)-1)+$AO$973</f>
        <v>0.97197197197195662</v>
      </c>
      <c r="AQ974">
        <f>SMALL('Iter No Test'!$W$9:$W$5008,972)</f>
        <v>140.18051692619142</v>
      </c>
      <c r="AR974">
        <f>1/(COUNT('Iter No Test'!$W$9:$W$5008)-1)+$AR$973</f>
        <v>0.19423884776955685</v>
      </c>
    </row>
    <row r="975" spans="19:44">
      <c r="S975">
        <v>967</v>
      </c>
      <c r="T975">
        <v>222.65477858033606</v>
      </c>
      <c r="V975">
        <v>967</v>
      </c>
      <c r="W975">
        <v>390.45003193519869</v>
      </c>
      <c r="AN975">
        <f>SMALL('Iter No Test'!$T$9:$T$1008,973)</f>
        <v>400.81844907323824</v>
      </c>
      <c r="AO975">
        <f>1/(COUNT('Iter No Test'!$T$9:$T$1008)-1)+$AO$974</f>
        <v>0.97297297297295759</v>
      </c>
      <c r="AQ975">
        <f>SMALL('Iter No Test'!$W$9:$W$5008,973)</f>
        <v>140.21785874125973</v>
      </c>
      <c r="AR975">
        <f>1/(COUNT('Iter No Test'!$W$9:$W$5008)-1)+$AR$974</f>
        <v>0.19443888777755847</v>
      </c>
    </row>
    <row r="976" spans="19:44">
      <c r="S976">
        <v>968</v>
      </c>
      <c r="T976">
        <v>286.89288321060735</v>
      </c>
      <c r="V976">
        <v>968</v>
      </c>
      <c r="W976">
        <v>291.29206223191215</v>
      </c>
      <c r="AN976">
        <f>SMALL('Iter No Test'!$T$9:$T$1008,974)</f>
        <v>401.90304193017994</v>
      </c>
      <c r="AO976">
        <f>1/(COUNT('Iter No Test'!$T$9:$T$1008)-1)+$AO$975</f>
        <v>0.97397397397395857</v>
      </c>
      <c r="AQ976">
        <f>SMALL('Iter No Test'!$W$9:$W$5008,974)</f>
        <v>140.28320665358714</v>
      </c>
      <c r="AR976">
        <f>1/(COUNT('Iter No Test'!$W$9:$W$5008)-1)+$AR$975</f>
        <v>0.19463892778556008</v>
      </c>
    </row>
    <row r="977" spans="19:44">
      <c r="S977">
        <v>969</v>
      </c>
      <c r="T977">
        <v>140.80366692588581</v>
      </c>
      <c r="V977">
        <v>969</v>
      </c>
      <c r="W977">
        <v>139.5147155604061</v>
      </c>
      <c r="AN977">
        <f>SMALL('Iter No Test'!$T$9:$T$1008,975)</f>
        <v>408.07398107169115</v>
      </c>
      <c r="AO977">
        <f>1/(COUNT('Iter No Test'!$T$9:$T$1008)-1)+$AO$976</f>
        <v>0.97497497497495955</v>
      </c>
      <c r="AQ977">
        <f>SMALL('Iter No Test'!$W$9:$W$5008,975)</f>
        <v>140.29845499089572</v>
      </c>
      <c r="AR977">
        <f>1/(COUNT('Iter No Test'!$W$9:$W$5008)-1)+$AR$976</f>
        <v>0.19483896779356169</v>
      </c>
    </row>
    <row r="978" spans="19:44">
      <c r="S978">
        <v>970</v>
      </c>
      <c r="T978">
        <v>245.78224422609665</v>
      </c>
      <c r="V978">
        <v>970</v>
      </c>
      <c r="W978">
        <v>26.268736637106542</v>
      </c>
      <c r="AN978">
        <f>SMALL('Iter No Test'!$T$9:$T$1008,976)</f>
        <v>409.84768083734286</v>
      </c>
      <c r="AO978">
        <f>1/(COUNT('Iter No Test'!$T$9:$T$1008)-1)+$AO$977</f>
        <v>0.97597597597596053</v>
      </c>
      <c r="AQ978">
        <f>SMALL('Iter No Test'!$W$9:$W$5008,976)</f>
        <v>140.31926355151666</v>
      </c>
      <c r="AR978">
        <f>1/(COUNT('Iter No Test'!$W$9:$W$5008)-1)+$AR$977</f>
        <v>0.1950390078015633</v>
      </c>
    </row>
    <row r="979" spans="19:44">
      <c r="S979">
        <v>971</v>
      </c>
      <c r="T979">
        <v>160.82010588128611</v>
      </c>
      <c r="V979">
        <v>971</v>
      </c>
      <c r="W979">
        <v>135.2958001063852</v>
      </c>
      <c r="AN979">
        <f>SMALL('Iter No Test'!$T$9:$T$1008,977)</f>
        <v>413.36605862969577</v>
      </c>
      <c r="AO979">
        <f>1/(COUNT('Iter No Test'!$T$9:$T$1008)-1)+$AO$978</f>
        <v>0.97697697697696151</v>
      </c>
      <c r="AQ979">
        <f>SMALL('Iter No Test'!$W$9:$W$5008,977)</f>
        <v>140.3393432995006</v>
      </c>
      <c r="AR979">
        <f>1/(COUNT('Iter No Test'!$W$9:$W$5008)-1)+$AR$978</f>
        <v>0.19523904780956491</v>
      </c>
    </row>
    <row r="980" spans="19:44">
      <c r="S980">
        <v>972</v>
      </c>
      <c r="T980">
        <v>264.32506608049226</v>
      </c>
      <c r="V980">
        <v>972</v>
      </c>
      <c r="W980">
        <v>185.28765261066795</v>
      </c>
      <c r="AN980">
        <f>SMALL('Iter No Test'!$T$9:$T$1008,978)</f>
        <v>413.9942902657304</v>
      </c>
      <c r="AO980">
        <f>1/(COUNT('Iter No Test'!$T$9:$T$1008)-1)+$AO$979</f>
        <v>0.97797797797796249</v>
      </c>
      <c r="AQ980">
        <f>SMALL('Iter No Test'!$W$9:$W$5008,978)</f>
        <v>140.35655018680049</v>
      </c>
      <c r="AR980">
        <f>1/(COUNT('Iter No Test'!$W$9:$W$5008)-1)+$AR$979</f>
        <v>0.19543908781756653</v>
      </c>
    </row>
    <row r="981" spans="19:44">
      <c r="S981">
        <v>973</v>
      </c>
      <c r="T981">
        <v>316.31755005652815</v>
      </c>
      <c r="V981">
        <v>973</v>
      </c>
      <c r="W981">
        <v>169.88851128204408</v>
      </c>
      <c r="AN981">
        <f>SMALL('Iter No Test'!$T$9:$T$1008,979)</f>
        <v>414.77298149924923</v>
      </c>
      <c r="AO981">
        <f>1/(COUNT('Iter No Test'!$T$9:$T$1008)-1)+$AO$980</f>
        <v>0.97897897897896347</v>
      </c>
      <c r="AQ981">
        <f>SMALL('Iter No Test'!$W$9:$W$5008,979)</f>
        <v>140.36686248213871</v>
      </c>
      <c r="AR981">
        <f>1/(COUNT('Iter No Test'!$W$9:$W$5008)-1)+$AR$980</f>
        <v>0.19563912782556814</v>
      </c>
    </row>
    <row r="982" spans="19:44">
      <c r="S982">
        <v>974</v>
      </c>
      <c r="T982">
        <v>112.34605048985782</v>
      </c>
      <c r="V982">
        <v>974</v>
      </c>
      <c r="W982">
        <v>262.44457805741513</v>
      </c>
      <c r="AN982">
        <f>SMALL('Iter No Test'!$T$9:$T$1008,980)</f>
        <v>415.40609867906016</v>
      </c>
      <c r="AO982">
        <f>1/(COUNT('Iter No Test'!$T$9:$T$1008)-1)+$AO$981</f>
        <v>0.97997997997996444</v>
      </c>
      <c r="AQ982">
        <f>SMALL('Iter No Test'!$W$9:$W$5008,980)</f>
        <v>140.40217882682754</v>
      </c>
      <c r="AR982">
        <f>1/(COUNT('Iter No Test'!$W$9:$W$5008)-1)+$AR$981</f>
        <v>0.19583916783356975</v>
      </c>
    </row>
    <row r="983" spans="19:44">
      <c r="S983">
        <v>975</v>
      </c>
      <c r="T983">
        <v>217.24412808105336</v>
      </c>
      <c r="V983">
        <v>975</v>
      </c>
      <c r="W983">
        <v>275.70037608189085</v>
      </c>
      <c r="AN983">
        <f>SMALL('Iter No Test'!$T$9:$T$1008,981)</f>
        <v>425.45475399275773</v>
      </c>
      <c r="AO983">
        <f>1/(COUNT('Iter No Test'!$T$9:$T$1008)-1)+$AO$982</f>
        <v>0.98098098098096542</v>
      </c>
      <c r="AQ983">
        <f>SMALL('Iter No Test'!$W$9:$W$5008,981)</f>
        <v>140.4323278224947</v>
      </c>
      <c r="AR983">
        <f>1/(COUNT('Iter No Test'!$W$9:$W$5008)-1)+$AR$982</f>
        <v>0.19603920784157136</v>
      </c>
    </row>
    <row r="984" spans="19:44">
      <c r="S984">
        <v>976</v>
      </c>
      <c r="T984">
        <v>172.44122906408307</v>
      </c>
      <c r="V984">
        <v>976</v>
      </c>
      <c r="W984">
        <v>232.36080465054926</v>
      </c>
      <c r="AN984">
        <f>SMALL('Iter No Test'!$T$9:$T$1008,982)</f>
        <v>427.2247392508815</v>
      </c>
      <c r="AO984">
        <f>1/(COUNT('Iter No Test'!$T$9:$T$1008)-1)+$AO$983</f>
        <v>0.9819819819819664</v>
      </c>
      <c r="AQ984">
        <f>SMALL('Iter No Test'!$W$9:$W$5008,982)</f>
        <v>140.45025825339641</v>
      </c>
      <c r="AR984">
        <f>1/(COUNT('Iter No Test'!$W$9:$W$5008)-1)+$AR$983</f>
        <v>0.19623924784957297</v>
      </c>
    </row>
    <row r="985" spans="19:44">
      <c r="S985">
        <v>977</v>
      </c>
      <c r="T985">
        <v>293.11001015654642</v>
      </c>
      <c r="V985">
        <v>977</v>
      </c>
      <c r="W985">
        <v>227.11072281491241</v>
      </c>
      <c r="AN985">
        <f>SMALL('Iter No Test'!$T$9:$T$1008,983)</f>
        <v>430.28755841625468</v>
      </c>
      <c r="AO985">
        <f>1/(COUNT('Iter No Test'!$T$9:$T$1008)-1)+$AO$984</f>
        <v>0.98298298298296738</v>
      </c>
      <c r="AQ985">
        <f>SMALL('Iter No Test'!$W$9:$W$5008,983)</f>
        <v>140.51089955197236</v>
      </c>
      <c r="AR985">
        <f>1/(COUNT('Iter No Test'!$W$9:$W$5008)-1)+$AR$984</f>
        <v>0.19643928785757458</v>
      </c>
    </row>
    <row r="986" spans="19:44">
      <c r="S986">
        <v>978</v>
      </c>
      <c r="T986">
        <v>226.51634086581842</v>
      </c>
      <c r="V986">
        <v>978</v>
      </c>
      <c r="W986">
        <v>144.29914356034422</v>
      </c>
      <c r="AN986">
        <f>SMALL('Iter No Test'!$T$9:$T$1008,984)</f>
        <v>435.02070663847235</v>
      </c>
      <c r="AO986">
        <f>1/(COUNT('Iter No Test'!$T$9:$T$1008)-1)+$AO$985</f>
        <v>0.98398398398396836</v>
      </c>
      <c r="AQ986">
        <f>SMALL('Iter No Test'!$W$9:$W$5008,984)</f>
        <v>140.62521310921622</v>
      </c>
      <c r="AR986">
        <f>1/(COUNT('Iter No Test'!$W$9:$W$5008)-1)+$AR$985</f>
        <v>0.1966393278655762</v>
      </c>
    </row>
    <row r="987" spans="19:44">
      <c r="S987">
        <v>979</v>
      </c>
      <c r="T987">
        <v>256.06463338578664</v>
      </c>
      <c r="V987">
        <v>979</v>
      </c>
      <c r="W987">
        <v>234.11744806214767</v>
      </c>
      <c r="AN987">
        <f>SMALL('Iter No Test'!$T$9:$T$1008,985)</f>
        <v>435.53879675186334</v>
      </c>
      <c r="AO987">
        <f>1/(COUNT('Iter No Test'!$T$9:$T$1008)-1)+$AO$986</f>
        <v>0.98498498498496934</v>
      </c>
      <c r="AQ987">
        <f>SMALL('Iter No Test'!$W$9:$W$5008,985)</f>
        <v>140.63032181727482</v>
      </c>
      <c r="AR987">
        <f>1/(COUNT('Iter No Test'!$W$9:$W$5008)-1)+$AR$986</f>
        <v>0.19683936787357781</v>
      </c>
    </row>
    <row r="988" spans="19:44">
      <c r="S988">
        <v>980</v>
      </c>
      <c r="T988">
        <v>346.07560633273891</v>
      </c>
      <c r="V988">
        <v>980</v>
      </c>
      <c r="W988">
        <v>221.49406465555069</v>
      </c>
      <c r="AN988">
        <f>SMALL('Iter No Test'!$T$9:$T$1008,986)</f>
        <v>438.69323915378754</v>
      </c>
      <c r="AO988">
        <f>1/(COUNT('Iter No Test'!$T$9:$T$1008)-1)+$AO$987</f>
        <v>0.98598598598597031</v>
      </c>
      <c r="AQ988">
        <f>SMALL('Iter No Test'!$W$9:$W$5008,986)</f>
        <v>140.64791394166735</v>
      </c>
      <c r="AR988">
        <f>1/(COUNT('Iter No Test'!$W$9:$W$5008)-1)+$AR$987</f>
        <v>0.19703940788157942</v>
      </c>
    </row>
    <row r="989" spans="19:44">
      <c r="S989">
        <v>981</v>
      </c>
      <c r="T989">
        <v>162.66531793338433</v>
      </c>
      <c r="V989">
        <v>981</v>
      </c>
      <c r="W989">
        <v>189.62148375926245</v>
      </c>
      <c r="AN989">
        <f>SMALL('Iter No Test'!$T$9:$T$1008,987)</f>
        <v>438.98893394627117</v>
      </c>
      <c r="AO989">
        <f>1/(COUNT('Iter No Test'!$T$9:$T$1008)-1)+$AO$988</f>
        <v>0.98698698698697129</v>
      </c>
      <c r="AQ989">
        <f>SMALL('Iter No Test'!$W$9:$W$5008,987)</f>
        <v>141.0083654994155</v>
      </c>
      <c r="AR989">
        <f>1/(COUNT('Iter No Test'!$W$9:$W$5008)-1)+$AR$988</f>
        <v>0.19723944788958103</v>
      </c>
    </row>
    <row r="990" spans="19:44">
      <c r="S990">
        <v>982</v>
      </c>
      <c r="T990">
        <v>302.62630195733806</v>
      </c>
      <c r="V990">
        <v>982</v>
      </c>
      <c r="W990">
        <v>255.86213466910783</v>
      </c>
      <c r="AN990">
        <f>SMALL('Iter No Test'!$T$9:$T$1008,988)</f>
        <v>440.97001060527185</v>
      </c>
      <c r="AO990">
        <f>1/(COUNT('Iter No Test'!$T$9:$T$1008)-1)+$AO$989</f>
        <v>0.98798798798797227</v>
      </c>
      <c r="AQ990">
        <f>SMALL('Iter No Test'!$W$9:$W$5008,988)</f>
        <v>141.08465385305215</v>
      </c>
      <c r="AR990">
        <f>1/(COUNT('Iter No Test'!$W$9:$W$5008)-1)+$AR$989</f>
        <v>0.19743948789758264</v>
      </c>
    </row>
    <row r="991" spans="19:44">
      <c r="S991">
        <v>983</v>
      </c>
      <c r="T991">
        <v>233.53402839432229</v>
      </c>
      <c r="V991">
        <v>983</v>
      </c>
      <c r="W991">
        <v>86.962226696036709</v>
      </c>
      <c r="AN991">
        <f>SMALL('Iter No Test'!$T$9:$T$1008,989)</f>
        <v>441.87347993722653</v>
      </c>
      <c r="AO991">
        <f>1/(COUNT('Iter No Test'!$T$9:$T$1008)-1)+$AO$990</f>
        <v>0.98898898898897325</v>
      </c>
      <c r="AQ991">
        <f>SMALL('Iter No Test'!$W$9:$W$5008,989)</f>
        <v>141.09815525860535</v>
      </c>
      <c r="AR991">
        <f>1/(COUNT('Iter No Test'!$W$9:$W$5008)-1)+$AR$990</f>
        <v>0.19763952790558426</v>
      </c>
    </row>
    <row r="992" spans="19:44">
      <c r="S992">
        <v>984</v>
      </c>
      <c r="T992">
        <v>96.580286861193883</v>
      </c>
      <c r="V992">
        <v>984</v>
      </c>
      <c r="W992">
        <v>220.07627931671263</v>
      </c>
      <c r="AN992">
        <f>SMALL('Iter No Test'!$T$9:$T$1008,990)</f>
        <v>446.64257229037742</v>
      </c>
      <c r="AO992">
        <f>1/(COUNT('Iter No Test'!$T$9:$T$1008)-1)+$AO$991</f>
        <v>0.98998998998997423</v>
      </c>
      <c r="AQ992">
        <f>SMALL('Iter No Test'!$W$9:$W$5008,990)</f>
        <v>141.10000203916692</v>
      </c>
      <c r="AR992">
        <f>1/(COUNT('Iter No Test'!$W$9:$W$5008)-1)+$AR$991</f>
        <v>0.19783956791358587</v>
      </c>
    </row>
    <row r="993" spans="19:44">
      <c r="S993">
        <v>985</v>
      </c>
      <c r="T993">
        <v>233.14494617545122</v>
      </c>
      <c r="V993">
        <v>985</v>
      </c>
      <c r="W993">
        <v>193.72922804438613</v>
      </c>
      <c r="AN993">
        <f>SMALL('Iter No Test'!$T$9:$T$1008,991)</f>
        <v>453.38501691163447</v>
      </c>
      <c r="AO993">
        <f>1/(COUNT('Iter No Test'!$T$9:$T$1008)-1)+$AO$992</f>
        <v>0.99099099099097521</v>
      </c>
      <c r="AQ993">
        <f>SMALL('Iter No Test'!$W$9:$W$5008,991)</f>
        <v>141.1919809082205</v>
      </c>
      <c r="AR993">
        <f>1/(COUNT('Iter No Test'!$W$9:$W$5008)-1)+$AR$992</f>
        <v>0.19803960792158748</v>
      </c>
    </row>
    <row r="994" spans="19:44">
      <c r="S994">
        <v>986</v>
      </c>
      <c r="T994">
        <v>140.67320439860339</v>
      </c>
      <c r="V994">
        <v>986</v>
      </c>
      <c r="W994">
        <v>231.76957200742584</v>
      </c>
      <c r="AN994">
        <f>SMALL('Iter No Test'!$T$9:$T$1008,992)</f>
        <v>453.73977835496498</v>
      </c>
      <c r="AO994">
        <f>1/(COUNT('Iter No Test'!$T$9:$T$1008)-1)+$AO$993</f>
        <v>0.99199199199197619</v>
      </c>
      <c r="AQ994">
        <f>SMALL('Iter No Test'!$W$9:$W$5008,992)</f>
        <v>141.24392578061628</v>
      </c>
      <c r="AR994">
        <f>1/(COUNT('Iter No Test'!$W$9:$W$5008)-1)+$AR$993</f>
        <v>0.19823964792958909</v>
      </c>
    </row>
    <row r="995" spans="19:44">
      <c r="S995">
        <v>987</v>
      </c>
      <c r="T995">
        <v>270.09670755462946</v>
      </c>
      <c r="V995">
        <v>987</v>
      </c>
      <c r="W995">
        <v>377.51857699155062</v>
      </c>
      <c r="AN995">
        <f>SMALL('Iter No Test'!$T$9:$T$1008,993)</f>
        <v>458.41920966604812</v>
      </c>
      <c r="AO995">
        <f>1/(COUNT('Iter No Test'!$T$9:$T$1008)-1)+$AO$994</f>
        <v>0.99299299299297716</v>
      </c>
      <c r="AQ995">
        <f>SMALL('Iter No Test'!$W$9:$W$5008,993)</f>
        <v>141.31499660480773</v>
      </c>
      <c r="AR995">
        <f>1/(COUNT('Iter No Test'!$W$9:$W$5008)-1)+$AR$994</f>
        <v>0.1984396879375907</v>
      </c>
    </row>
    <row r="996" spans="19:44">
      <c r="S996">
        <v>988</v>
      </c>
      <c r="T996">
        <v>105.55668550026611</v>
      </c>
      <c r="V996">
        <v>988</v>
      </c>
      <c r="W996">
        <v>270.80897098204957</v>
      </c>
      <c r="AN996">
        <f>SMALL('Iter No Test'!$T$9:$T$1008,994)</f>
        <v>458.84253337896871</v>
      </c>
      <c r="AO996">
        <f>1/(COUNT('Iter No Test'!$T$9:$T$1008)-1)+$AO$995</f>
        <v>0.99399399399397814</v>
      </c>
      <c r="AQ996">
        <f>SMALL('Iter No Test'!$W$9:$W$5008,994)</f>
        <v>141.47127296007756</v>
      </c>
      <c r="AR996">
        <f>1/(COUNT('Iter No Test'!$W$9:$W$5008)-1)+$AR$995</f>
        <v>0.19863972794559231</v>
      </c>
    </row>
    <row r="997" spans="19:44">
      <c r="S997">
        <v>989</v>
      </c>
      <c r="T997">
        <v>157.87647879448102</v>
      </c>
      <c r="V997">
        <v>989</v>
      </c>
      <c r="W997">
        <v>125.5693695894619</v>
      </c>
      <c r="AN997">
        <f>SMALL('Iter No Test'!$T$9:$T$1008,995)</f>
        <v>492.66280927895718</v>
      </c>
      <c r="AO997">
        <f>1/(COUNT('Iter No Test'!$T$9:$T$1008)-1)+$AO$996</f>
        <v>0.99499499499497912</v>
      </c>
      <c r="AQ997">
        <f>SMALL('Iter No Test'!$W$9:$W$5008,995)</f>
        <v>141.55700030650027</v>
      </c>
      <c r="AR997">
        <f>1/(COUNT('Iter No Test'!$W$9:$W$5008)-1)+$AR$996</f>
        <v>0.19883976795359393</v>
      </c>
    </row>
    <row r="998" spans="19:44">
      <c r="S998">
        <v>990</v>
      </c>
      <c r="T998">
        <v>240.70313957856104</v>
      </c>
      <c r="V998">
        <v>990</v>
      </c>
      <c r="W998">
        <v>153.55533632390924</v>
      </c>
      <c r="AN998">
        <f>SMALL('Iter No Test'!$T$9:$T$1008,996)</f>
        <v>494.31731835481798</v>
      </c>
      <c r="AO998">
        <f>1/(COUNT('Iter No Test'!$T$9:$T$1008)-1)+$AO$997</f>
        <v>0.9959959959959801</v>
      </c>
      <c r="AQ998">
        <f>SMALL('Iter No Test'!$W$9:$W$5008,996)</f>
        <v>141.563853964717</v>
      </c>
      <c r="AR998">
        <f>1/(COUNT('Iter No Test'!$W$9:$W$5008)-1)+$AR$997</f>
        <v>0.19903980796159554</v>
      </c>
    </row>
    <row r="999" spans="19:44">
      <c r="S999">
        <v>991</v>
      </c>
      <c r="T999">
        <v>213.07922769527357</v>
      </c>
      <c r="V999">
        <v>991</v>
      </c>
      <c r="W999">
        <v>237.07365731856567</v>
      </c>
      <c r="AN999">
        <f>SMALL('Iter No Test'!$T$9:$T$1008,997)</f>
        <v>496.7656291650228</v>
      </c>
      <c r="AO999">
        <f>1/(COUNT('Iter No Test'!$T$9:$T$1008)-1)+$AO$998</f>
        <v>0.99699699699698108</v>
      </c>
      <c r="AQ999">
        <f>SMALL('Iter No Test'!$W$9:$W$5008,997)</f>
        <v>141.66972018217035</v>
      </c>
      <c r="AR999">
        <f>1/(COUNT('Iter No Test'!$W$9:$W$5008)-1)+$AR$998</f>
        <v>0.19923984796959715</v>
      </c>
    </row>
    <row r="1000" spans="19:44">
      <c r="S1000">
        <v>992</v>
      </c>
      <c r="T1000">
        <v>229.55042523370147</v>
      </c>
      <c r="V1000">
        <v>992</v>
      </c>
      <c r="W1000">
        <v>220.77717408620805</v>
      </c>
      <c r="AN1000">
        <f>SMALL('Iter No Test'!$T$9:$T$1008,998)</f>
        <v>500.55830308538532</v>
      </c>
      <c r="AO1000">
        <f>1/(COUNT('Iter No Test'!$T$9:$T$1008)-1)+$AO$999</f>
        <v>0.99799799799798206</v>
      </c>
      <c r="AQ1000">
        <f>SMALL('Iter No Test'!$W$9:$W$5008,998)</f>
        <v>141.78472452332298</v>
      </c>
      <c r="AR1000">
        <f>1/(COUNT('Iter No Test'!$W$9:$W$5008)-1)+$AR$999</f>
        <v>0.19943988797759876</v>
      </c>
    </row>
    <row r="1001" spans="19:44">
      <c r="S1001">
        <v>993</v>
      </c>
      <c r="T1001">
        <v>41.242881481517401</v>
      </c>
      <c r="V1001">
        <v>993</v>
      </c>
      <c r="W1001">
        <v>158.31667017166913</v>
      </c>
      <c r="AN1001">
        <f>SMALL('Iter No Test'!$T$9:$T$1008,999)</f>
        <v>500.70252918297018</v>
      </c>
      <c r="AO1001">
        <f>1/(COUNT('Iter No Test'!$T$9:$T$1008)-1)+$AO$1000</f>
        <v>0.99899899899898303</v>
      </c>
      <c r="AQ1001">
        <f>SMALL('Iter No Test'!$W$9:$W$5008,999)</f>
        <v>141.91095434471714</v>
      </c>
      <c r="AR1001">
        <f>1/(COUNT('Iter No Test'!$W$9:$W$5008)-1)+$AR$1000</f>
        <v>0.19963992798560037</v>
      </c>
    </row>
    <row r="1002" spans="19:44">
      <c r="S1002">
        <v>994</v>
      </c>
      <c r="T1002">
        <v>275.25193633784511</v>
      </c>
      <c r="V1002">
        <v>994</v>
      </c>
      <c r="W1002">
        <v>270.60045485721207</v>
      </c>
      <c r="AN1002">
        <f>SMALL('Iter No Test'!$T$9:$T$1008,1000)</f>
        <v>575.40246067141879</v>
      </c>
      <c r="AO1002">
        <f>1/(COUNT('Iter No Test'!$T$9:$T$1008)-1)+$AO$1001</f>
        <v>0.99999999999998401</v>
      </c>
      <c r="AQ1002">
        <f>SMALL('Iter No Test'!$W$9:$W$5008,1000)</f>
        <v>141.91683364482395</v>
      </c>
      <c r="AR1002">
        <f>1/(COUNT('Iter No Test'!$W$9:$W$5008)-1)+$AR$1001</f>
        <v>0.19983996799360199</v>
      </c>
    </row>
    <row r="1003" spans="19:44">
      <c r="S1003">
        <v>995</v>
      </c>
      <c r="T1003">
        <v>172.77642195050413</v>
      </c>
      <c r="V1003">
        <v>995</v>
      </c>
      <c r="W1003">
        <v>60.671212082180205</v>
      </c>
      <c r="AQ1003">
        <f>SMALL('Iter No Test'!$W$9:$W$5008,1001)</f>
        <v>142.02209967100117</v>
      </c>
      <c r="AR1003">
        <f>1/(COUNT('Iter No Test'!$W$9:$W$5008)-1)+$AR$1002</f>
        <v>0.2000400080016036</v>
      </c>
    </row>
    <row r="1004" spans="19:44">
      <c r="S1004">
        <v>996</v>
      </c>
      <c r="T1004">
        <v>205.93121011997306</v>
      </c>
      <c r="V1004">
        <v>996</v>
      </c>
      <c r="W1004">
        <v>193.06374604188576</v>
      </c>
      <c r="AQ1004">
        <f>SMALL('Iter No Test'!$W$9:$W$5008,1002)</f>
        <v>142.11013766013912</v>
      </c>
      <c r="AR1004">
        <f>1/(COUNT('Iter No Test'!$W$9:$W$5008)-1)+$AR$1003</f>
        <v>0.20024004800960521</v>
      </c>
    </row>
    <row r="1005" spans="19:44">
      <c r="S1005">
        <v>997</v>
      </c>
      <c r="T1005">
        <v>198.36261748368761</v>
      </c>
      <c r="V1005">
        <v>997</v>
      </c>
      <c r="W1005">
        <v>78.215300936418501</v>
      </c>
      <c r="AQ1005">
        <f>SMALL('Iter No Test'!$W$9:$W$5008,1003)</f>
        <v>142.16152575114972</v>
      </c>
      <c r="AR1005">
        <f>1/(COUNT('Iter No Test'!$W$9:$W$5008)-1)+$AR$1004</f>
        <v>0.20044008801760682</v>
      </c>
    </row>
    <row r="1006" spans="19:44">
      <c r="S1006">
        <v>998</v>
      </c>
      <c r="T1006">
        <v>318.81968884808413</v>
      </c>
      <c r="V1006">
        <v>998</v>
      </c>
      <c r="W1006">
        <v>403.38940311883891</v>
      </c>
      <c r="AQ1006">
        <f>SMALL('Iter No Test'!$W$9:$W$5008,1004)</f>
        <v>142.21683136356404</v>
      </c>
      <c r="AR1006">
        <f>1/(COUNT('Iter No Test'!$W$9:$W$5008)-1)+$AR$1005</f>
        <v>0.20064012802560843</v>
      </c>
    </row>
    <row r="1007" spans="19:44">
      <c r="S1007">
        <v>999</v>
      </c>
      <c r="T1007">
        <v>367.13254410101041</v>
      </c>
      <c r="V1007">
        <v>999</v>
      </c>
      <c r="W1007">
        <v>226.86436866975544</v>
      </c>
      <c r="AQ1007">
        <f>SMALL('Iter No Test'!$W$9:$W$5008,1005)</f>
        <v>142.22413449694946</v>
      </c>
      <c r="AR1007">
        <f>1/(COUNT('Iter No Test'!$W$9:$W$5008)-1)+$AR$1006</f>
        <v>0.20084016803361004</v>
      </c>
    </row>
    <row r="1008" spans="19:44">
      <c r="S1008">
        <v>1000</v>
      </c>
      <c r="T1008">
        <v>232.74374972974732</v>
      </c>
      <c r="V1008">
        <v>1000</v>
      </c>
      <c r="W1008">
        <v>242.32347614712566</v>
      </c>
      <c r="AQ1008">
        <f>SMALL('Iter No Test'!$W$9:$W$5008,1006)</f>
        <v>142.28234853215619</v>
      </c>
      <c r="AR1008">
        <f>1/(COUNT('Iter No Test'!$W$9:$W$5008)-1)+$AR$1007</f>
        <v>0.20104020804161166</v>
      </c>
    </row>
    <row r="1009" spans="19:44">
      <c r="V1009">
        <v>1001</v>
      </c>
      <c r="W1009">
        <v>144.45961298062423</v>
      </c>
      <c r="AQ1009">
        <f>SMALL('Iter No Test'!$W$9:$W$5008,1007)</f>
        <v>142.3458836751914</v>
      </c>
      <c r="AR1009">
        <f>1/(COUNT('Iter No Test'!$W$9:$W$5008)-1)+$AR$1008</f>
        <v>0.20124024804961327</v>
      </c>
    </row>
    <row r="1010" spans="19:44">
      <c r="S1010" t="s">
        <v>40</v>
      </c>
      <c r="V1010">
        <v>1002</v>
      </c>
      <c r="W1010">
        <v>196.96033441048186</v>
      </c>
      <c r="AQ1010">
        <f>SMALL('Iter No Test'!$W$9:$W$5008,1008)</f>
        <v>142.43613161312891</v>
      </c>
      <c r="AR1010">
        <f>1/(COUNT('Iter No Test'!$W$9:$W$5008)-1)+$AR$1009</f>
        <v>0.20144028805761488</v>
      </c>
    </row>
    <row r="1011" spans="19:44">
      <c r="S1011" t="s">
        <v>41</v>
      </c>
      <c r="T1011" t="str">
        <f>IF(ISBLANK($B1010)=TRUE,"",_xll.EDF(T9:T1008,$B1010))</f>
        <v/>
      </c>
      <c r="V1011">
        <v>1003</v>
      </c>
      <c r="W1011">
        <v>67.55197034614595</v>
      </c>
      <c r="AQ1011">
        <f>SMALL('Iter No Test'!$W$9:$W$5008,1009)</f>
        <v>142.44142630739498</v>
      </c>
      <c r="AR1011">
        <f>1/(COUNT('Iter No Test'!$W$9:$W$5008)-1)+$AR$1010</f>
        <v>0.20164032806561649</v>
      </c>
    </row>
    <row r="1012" spans="19:44">
      <c r="S1012" t="s">
        <v>42</v>
      </c>
      <c r="V1012">
        <v>1004</v>
      </c>
      <c r="W1012">
        <v>216.46296672789424</v>
      </c>
      <c r="AQ1012">
        <f>SMALL('Iter No Test'!$W$9:$W$5008,1010)</f>
        <v>142.44352898729898</v>
      </c>
      <c r="AR1012">
        <f>1/(COUNT('Iter No Test'!$W$9:$W$5008)-1)+$AR$1011</f>
        <v>0.2018403680736181</v>
      </c>
    </row>
    <row r="1013" spans="19:44">
      <c r="S1013" t="s">
        <v>43</v>
      </c>
      <c r="T1013" t="str">
        <f>IF(ISBLANK($B1012)=TRUE,"",_xll.EDF(T9:T1008,$B1012))</f>
        <v/>
      </c>
      <c r="V1013">
        <v>1005</v>
      </c>
      <c r="W1013">
        <v>191.22053191778301</v>
      </c>
      <c r="AQ1013">
        <f>SMALL('Iter No Test'!$W$9:$W$5008,1011)</f>
        <v>142.4648240763874</v>
      </c>
      <c r="AR1013">
        <f>1/(COUNT('Iter No Test'!$W$9:$W$5008)-1)+$AR$1012</f>
        <v>0.20204040808161972</v>
      </c>
    </row>
    <row r="1014" spans="19:44">
      <c r="S1014" t="s">
        <v>44</v>
      </c>
      <c r="V1014">
        <v>1006</v>
      </c>
      <c r="W1014">
        <v>283.97082391334811</v>
      </c>
      <c r="AQ1014">
        <f>SMALL('Iter No Test'!$W$9:$W$5008,1012)</f>
        <v>142.58044865652425</v>
      </c>
      <c r="AR1014">
        <f>1/(COUNT('Iter No Test'!$W$9:$W$5008)-1)+$AR$1013</f>
        <v>0.20224044808962133</v>
      </c>
    </row>
    <row r="1015" spans="19:44">
      <c r="S1015" t="s">
        <v>45</v>
      </c>
      <c r="T1015" t="str">
        <f>IF(ISBLANK($B1014)=TRUE,"",_xll.EDF(T9:T1008,$B1014))</f>
        <v/>
      </c>
      <c r="V1015">
        <v>1007</v>
      </c>
      <c r="W1015">
        <v>110.41258644106041</v>
      </c>
      <c r="AQ1015">
        <f>SMALL('Iter No Test'!$W$9:$W$5008,1013)</f>
        <v>142.59180019810265</v>
      </c>
      <c r="AR1015">
        <f>1/(COUNT('Iter No Test'!$W$9:$W$5008)-1)+$AR$1014</f>
        <v>0.20244048809762294</v>
      </c>
    </row>
    <row r="1016" spans="19:44">
      <c r="S1016" t="s">
        <v>46</v>
      </c>
      <c r="V1016">
        <v>1008</v>
      </c>
      <c r="W1016">
        <v>280.09856603841911</v>
      </c>
      <c r="AQ1016">
        <f>SMALL('Iter No Test'!$W$9:$W$5008,1014)</f>
        <v>142.62742447431077</v>
      </c>
      <c r="AR1016">
        <f>1/(COUNT('Iter No Test'!$W$9:$W$5008)-1)+$AR$1015</f>
        <v>0.20264052810562455</v>
      </c>
    </row>
    <row r="1017" spans="19:44">
      <c r="S1017" t="s">
        <v>47</v>
      </c>
      <c r="T1017" t="str">
        <f>IF(ISBLANK($B1016)=TRUE,"",_xll.EDF(T9:T1008,$B1016))</f>
        <v/>
      </c>
      <c r="V1017">
        <v>1009</v>
      </c>
      <c r="W1017">
        <v>291.92908209271116</v>
      </c>
      <c r="AQ1017">
        <f>SMALL('Iter No Test'!$W$9:$W$5008,1015)</f>
        <v>142.639481805678</v>
      </c>
      <c r="AR1017">
        <f>1/(COUNT('Iter No Test'!$W$9:$W$5008)-1)+$AR$1016</f>
        <v>0.20284056811362616</v>
      </c>
    </row>
    <row r="1018" spans="19:44">
      <c r="S1018" t="s">
        <v>48</v>
      </c>
      <c r="V1018">
        <v>1010</v>
      </c>
      <c r="W1018">
        <v>262.01049655765678</v>
      </c>
      <c r="AQ1018">
        <f>SMALL('Iter No Test'!$W$9:$W$5008,1016)</f>
        <v>142.70477328482463</v>
      </c>
      <c r="AR1018">
        <f>1/(COUNT('Iter No Test'!$W$9:$W$5008)-1)+$AR$1017</f>
        <v>0.20304060812162777</v>
      </c>
    </row>
    <row r="1019" spans="19:44">
      <c r="S1019" t="s">
        <v>49</v>
      </c>
      <c r="T1019" t="str">
        <f>IF(ISBLANK($B1018)=TRUE,"",_xll.EDF(T9:T1008,$B1018))</f>
        <v/>
      </c>
      <c r="V1019">
        <v>1011</v>
      </c>
      <c r="W1019">
        <v>233.3030036008924</v>
      </c>
      <c r="AQ1019">
        <f>SMALL('Iter No Test'!$W$9:$W$5008,1017)</f>
        <v>142.73459992217869</v>
      </c>
      <c r="AR1019">
        <f>1/(COUNT('Iter No Test'!$W$9:$W$5008)-1)+$AR$1018</f>
        <v>0.20324064812962939</v>
      </c>
    </row>
    <row r="1020" spans="19:44">
      <c r="V1020">
        <v>1012</v>
      </c>
      <c r="W1020">
        <v>188.77268818952322</v>
      </c>
      <c r="AQ1020">
        <f>SMALL('Iter No Test'!$W$9:$W$5008,1018)</f>
        <v>142.8483441063608</v>
      </c>
      <c r="AR1020">
        <f>1/(COUNT('Iter No Test'!$W$9:$W$5008)-1)+$AR$1019</f>
        <v>0.203440688137631</v>
      </c>
    </row>
    <row r="1021" spans="19:44">
      <c r="V1021">
        <v>1013</v>
      </c>
      <c r="W1021">
        <v>210.6225087750847</v>
      </c>
      <c r="AQ1021">
        <f>SMALL('Iter No Test'!$W$9:$W$5008,1019)</f>
        <v>142.87106904995636</v>
      </c>
      <c r="AR1021">
        <f>1/(COUNT('Iter No Test'!$W$9:$W$5008)-1)+$AR$1020</f>
        <v>0.20364072814563261</v>
      </c>
    </row>
    <row r="1022" spans="19:44">
      <c r="V1022">
        <v>1014</v>
      </c>
      <c r="W1022">
        <v>340.07363434241688</v>
      </c>
      <c r="AQ1022">
        <f>SMALL('Iter No Test'!$W$9:$W$5008,1020)</f>
        <v>142.89090544855816</v>
      </c>
      <c r="AR1022">
        <f>1/(COUNT('Iter No Test'!$W$9:$W$5008)-1)+$AR$1021</f>
        <v>0.20384076815363422</v>
      </c>
    </row>
    <row r="1023" spans="19:44">
      <c r="V1023">
        <v>1015</v>
      </c>
      <c r="W1023">
        <v>214.13411811911101</v>
      </c>
      <c r="AQ1023">
        <f>SMALL('Iter No Test'!$W$9:$W$5008,1021)</f>
        <v>142.96251174798556</v>
      </c>
      <c r="AR1023">
        <f>1/(COUNT('Iter No Test'!$W$9:$W$5008)-1)+$AR$1022</f>
        <v>0.20404080816163583</v>
      </c>
    </row>
    <row r="1024" spans="19:44">
      <c r="V1024">
        <v>1016</v>
      </c>
      <c r="W1024">
        <v>213.57805555871272</v>
      </c>
      <c r="AQ1024">
        <f>SMALL('Iter No Test'!$W$9:$W$5008,1022)</f>
        <v>142.98683343156088</v>
      </c>
      <c r="AR1024">
        <f>1/(COUNT('Iter No Test'!$W$9:$W$5008)-1)+$AR$1023</f>
        <v>0.20424084816963745</v>
      </c>
    </row>
    <row r="1025" spans="22:44">
      <c r="V1025">
        <v>1017</v>
      </c>
      <c r="W1025">
        <v>165.60976893146753</v>
      </c>
      <c r="AQ1025">
        <f>SMALL('Iter No Test'!$W$9:$W$5008,1023)</f>
        <v>143.02906590446605</v>
      </c>
      <c r="AR1025">
        <f>1/(COUNT('Iter No Test'!$W$9:$W$5008)-1)+$AR$1024</f>
        <v>0.20444088817763906</v>
      </c>
    </row>
    <row r="1026" spans="22:44">
      <c r="V1026">
        <v>1018</v>
      </c>
      <c r="W1026">
        <v>144.98011138783772</v>
      </c>
      <c r="AQ1026">
        <f>SMALL('Iter No Test'!$W$9:$W$5008,1024)</f>
        <v>143.04137202695449</v>
      </c>
      <c r="AR1026">
        <f>1/(COUNT('Iter No Test'!$W$9:$W$5008)-1)+$AR$1025</f>
        <v>0.20464092818564067</v>
      </c>
    </row>
    <row r="1027" spans="22:44">
      <c r="V1027">
        <v>1019</v>
      </c>
      <c r="W1027">
        <v>234.36253941022957</v>
      </c>
      <c r="AQ1027">
        <f>SMALL('Iter No Test'!$W$9:$W$5008,1025)</f>
        <v>143.06739621725876</v>
      </c>
      <c r="AR1027">
        <f>1/(COUNT('Iter No Test'!$W$9:$W$5008)-1)+$AR$1026</f>
        <v>0.20484096819364228</v>
      </c>
    </row>
    <row r="1028" spans="22:44">
      <c r="V1028">
        <v>1020</v>
      </c>
      <c r="W1028">
        <v>113.53679165739364</v>
      </c>
      <c r="AQ1028">
        <f>SMALL('Iter No Test'!$W$9:$W$5008,1026)</f>
        <v>143.09647996283627</v>
      </c>
      <c r="AR1028">
        <f>1/(COUNT('Iter No Test'!$W$9:$W$5008)-1)+$AR$1027</f>
        <v>0.20504100820164389</v>
      </c>
    </row>
    <row r="1029" spans="22:44">
      <c r="V1029">
        <v>1021</v>
      </c>
      <c r="W1029">
        <v>202.77321812012926</v>
      </c>
      <c r="AQ1029">
        <f>SMALL('Iter No Test'!$W$9:$W$5008,1027)</f>
        <v>143.09654428262638</v>
      </c>
      <c r="AR1029">
        <f>1/(COUNT('Iter No Test'!$W$9:$W$5008)-1)+$AR$1028</f>
        <v>0.2052410482096455</v>
      </c>
    </row>
    <row r="1030" spans="22:44">
      <c r="V1030">
        <v>1022</v>
      </c>
      <c r="W1030">
        <v>257.52288633839106</v>
      </c>
      <c r="AQ1030">
        <f>SMALL('Iter No Test'!$W$9:$W$5008,1028)</f>
        <v>143.1139111744875</v>
      </c>
      <c r="AR1030">
        <f>1/(COUNT('Iter No Test'!$W$9:$W$5008)-1)+$AR$1029</f>
        <v>0.20544108821764712</v>
      </c>
    </row>
    <row r="1031" spans="22:44">
      <c r="V1031">
        <v>1023</v>
      </c>
      <c r="W1031">
        <v>244.0055619595866</v>
      </c>
      <c r="AQ1031">
        <f>SMALL('Iter No Test'!$W$9:$W$5008,1029)</f>
        <v>143.14464670900983</v>
      </c>
      <c r="AR1031">
        <f>1/(COUNT('Iter No Test'!$W$9:$W$5008)-1)+$AR$1030</f>
        <v>0.20564112822564873</v>
      </c>
    </row>
    <row r="1032" spans="22:44">
      <c r="V1032">
        <v>1024</v>
      </c>
      <c r="W1032">
        <v>172.01265993099148</v>
      </c>
      <c r="AQ1032">
        <f>SMALL('Iter No Test'!$W$9:$W$5008,1030)</f>
        <v>143.33820811882461</v>
      </c>
      <c r="AR1032">
        <f>1/(COUNT('Iter No Test'!$W$9:$W$5008)-1)+$AR$1031</f>
        <v>0.20584116823365034</v>
      </c>
    </row>
    <row r="1033" spans="22:44">
      <c r="V1033">
        <v>1025</v>
      </c>
      <c r="W1033">
        <v>151.48815223553731</v>
      </c>
      <c r="AQ1033">
        <f>SMALL('Iter No Test'!$W$9:$W$5008,1031)</f>
        <v>143.403307118306</v>
      </c>
      <c r="AR1033">
        <f>1/(COUNT('Iter No Test'!$W$9:$W$5008)-1)+$AR$1032</f>
        <v>0.20604120824165195</v>
      </c>
    </row>
    <row r="1034" spans="22:44">
      <c r="V1034">
        <v>1026</v>
      </c>
      <c r="W1034">
        <v>125.99191331224971</v>
      </c>
      <c r="AQ1034">
        <f>SMALL('Iter No Test'!$W$9:$W$5008,1032)</f>
        <v>143.49231658591214</v>
      </c>
      <c r="AR1034">
        <f>1/(COUNT('Iter No Test'!$W$9:$W$5008)-1)+$AR$1033</f>
        <v>0.20624124824965356</v>
      </c>
    </row>
    <row r="1035" spans="22:44">
      <c r="V1035">
        <v>1027</v>
      </c>
      <c r="W1035">
        <v>202.04162090279465</v>
      </c>
      <c r="AQ1035">
        <f>SMALL('Iter No Test'!$W$9:$W$5008,1033)</f>
        <v>143.5225878610245</v>
      </c>
      <c r="AR1035">
        <f>1/(COUNT('Iter No Test'!$W$9:$W$5008)-1)+$AR$1034</f>
        <v>0.20644128825765518</v>
      </c>
    </row>
    <row r="1036" spans="22:44">
      <c r="V1036">
        <v>1028</v>
      </c>
      <c r="W1036">
        <v>144.89790027973936</v>
      </c>
      <c r="AQ1036">
        <f>SMALL('Iter No Test'!$W$9:$W$5008,1034)</f>
        <v>144.00874418034249</v>
      </c>
      <c r="AR1036">
        <f>1/(COUNT('Iter No Test'!$W$9:$W$5008)-1)+$AR$1035</f>
        <v>0.20664132826565679</v>
      </c>
    </row>
    <row r="1037" spans="22:44">
      <c r="V1037">
        <v>1029</v>
      </c>
      <c r="W1037">
        <v>227.760168932684</v>
      </c>
      <c r="AQ1037">
        <f>SMALL('Iter No Test'!$W$9:$W$5008,1035)</f>
        <v>144.04044921225287</v>
      </c>
      <c r="AR1037">
        <f>1/(COUNT('Iter No Test'!$W$9:$W$5008)-1)+$AR$1036</f>
        <v>0.2068413682736584</v>
      </c>
    </row>
    <row r="1038" spans="22:44">
      <c r="V1038">
        <v>1030</v>
      </c>
      <c r="W1038">
        <v>230.00398003564266</v>
      </c>
      <c r="AQ1038">
        <f>SMALL('Iter No Test'!$W$9:$W$5008,1036)</f>
        <v>144.24268548450857</v>
      </c>
      <c r="AR1038">
        <f>1/(COUNT('Iter No Test'!$W$9:$W$5008)-1)+$AR$1037</f>
        <v>0.20704140828166001</v>
      </c>
    </row>
    <row r="1039" spans="22:44">
      <c r="V1039">
        <v>1031</v>
      </c>
      <c r="W1039">
        <v>261.22007064409706</v>
      </c>
      <c r="AQ1039">
        <f>SMALL('Iter No Test'!$W$9:$W$5008,1037)</f>
        <v>144.29914356034422</v>
      </c>
      <c r="AR1039">
        <f>1/(COUNT('Iter No Test'!$W$9:$W$5008)-1)+$AR$1038</f>
        <v>0.20724144828966162</v>
      </c>
    </row>
    <row r="1040" spans="22:44">
      <c r="V1040">
        <v>1032</v>
      </c>
      <c r="W1040">
        <v>652.44174702172313</v>
      </c>
      <c r="AQ1040">
        <f>SMALL('Iter No Test'!$W$9:$W$5008,1038)</f>
        <v>144.45961298062423</v>
      </c>
      <c r="AR1040">
        <f>1/(COUNT('Iter No Test'!$W$9:$W$5008)-1)+$AR$1039</f>
        <v>0.20744148829766323</v>
      </c>
    </row>
    <row r="1041" spans="22:44">
      <c r="V1041">
        <v>1033</v>
      </c>
      <c r="W1041">
        <v>93.324847033911823</v>
      </c>
      <c r="AQ1041">
        <f>SMALL('Iter No Test'!$W$9:$W$5008,1039)</f>
        <v>144.54341747078502</v>
      </c>
      <c r="AR1041">
        <f>1/(COUNT('Iter No Test'!$W$9:$W$5008)-1)+$AR$1040</f>
        <v>0.20764152830566485</v>
      </c>
    </row>
    <row r="1042" spans="22:44">
      <c r="V1042">
        <v>1034</v>
      </c>
      <c r="W1042">
        <v>245.08275573485059</v>
      </c>
      <c r="AQ1042">
        <f>SMALL('Iter No Test'!$W$9:$W$5008,1040)</f>
        <v>144.66200030494613</v>
      </c>
      <c r="AR1042">
        <f>1/(COUNT('Iter No Test'!$W$9:$W$5008)-1)+$AR$1041</f>
        <v>0.20784156831366646</v>
      </c>
    </row>
    <row r="1043" spans="22:44">
      <c r="V1043">
        <v>1035</v>
      </c>
      <c r="W1043">
        <v>310.86713578974445</v>
      </c>
      <c r="AQ1043">
        <f>SMALL('Iter No Test'!$W$9:$W$5008,1041)</f>
        <v>144.69001693065346</v>
      </c>
      <c r="AR1043">
        <f>1/(COUNT('Iter No Test'!$W$9:$W$5008)-1)+$AR$1042</f>
        <v>0.20804160832166807</v>
      </c>
    </row>
    <row r="1044" spans="22:44">
      <c r="V1044">
        <v>1036</v>
      </c>
      <c r="W1044">
        <v>204.4484793865779</v>
      </c>
      <c r="AQ1044">
        <f>SMALL('Iter No Test'!$W$9:$W$5008,1042)</f>
        <v>144.73838747523689</v>
      </c>
      <c r="AR1044">
        <f>1/(COUNT('Iter No Test'!$W$9:$W$5008)-1)+$AR$1043</f>
        <v>0.20824164832966968</v>
      </c>
    </row>
    <row r="1045" spans="22:44">
      <c r="V1045">
        <v>1037</v>
      </c>
      <c r="W1045">
        <v>129.92467641709715</v>
      </c>
      <c r="AQ1045">
        <f>SMALL('Iter No Test'!$W$9:$W$5008,1043)</f>
        <v>144.75268878830286</v>
      </c>
      <c r="AR1045">
        <f>1/(COUNT('Iter No Test'!$W$9:$W$5008)-1)+$AR$1044</f>
        <v>0.20844168833767129</v>
      </c>
    </row>
    <row r="1046" spans="22:44">
      <c r="V1046">
        <v>1038</v>
      </c>
      <c r="W1046">
        <v>220.22000998734899</v>
      </c>
      <c r="AQ1046">
        <f>SMALL('Iter No Test'!$W$9:$W$5008,1044)</f>
        <v>144.75821589207976</v>
      </c>
      <c r="AR1046">
        <f>1/(COUNT('Iter No Test'!$W$9:$W$5008)-1)+$AR$1045</f>
        <v>0.20864172834567291</v>
      </c>
    </row>
    <row r="1047" spans="22:44">
      <c r="V1047">
        <v>1039</v>
      </c>
      <c r="W1047">
        <v>261.19257405912822</v>
      </c>
      <c r="AQ1047">
        <f>SMALL('Iter No Test'!$W$9:$W$5008,1045)</f>
        <v>144.80886894833549</v>
      </c>
      <c r="AR1047">
        <f>1/(COUNT('Iter No Test'!$W$9:$W$5008)-1)+$AR$1046</f>
        <v>0.20884176835367452</v>
      </c>
    </row>
    <row r="1048" spans="22:44">
      <c r="V1048">
        <v>1040</v>
      </c>
      <c r="W1048">
        <v>163.74740883635491</v>
      </c>
      <c r="AQ1048">
        <f>SMALL('Iter No Test'!$W$9:$W$5008,1046)</f>
        <v>144.87590664833175</v>
      </c>
      <c r="AR1048">
        <f>1/(COUNT('Iter No Test'!$W$9:$W$5008)-1)+$AR$1047</f>
        <v>0.20904180836167613</v>
      </c>
    </row>
    <row r="1049" spans="22:44">
      <c r="V1049">
        <v>1041</v>
      </c>
      <c r="W1049">
        <v>282.70392108912239</v>
      </c>
      <c r="AQ1049">
        <f>SMALL('Iter No Test'!$W$9:$W$5008,1047)</f>
        <v>144.8779980580897</v>
      </c>
      <c r="AR1049">
        <f>1/(COUNT('Iter No Test'!$W$9:$W$5008)-1)+$AR$1048</f>
        <v>0.20924184836967774</v>
      </c>
    </row>
    <row r="1050" spans="22:44">
      <c r="V1050">
        <v>1042</v>
      </c>
      <c r="W1050">
        <v>120.9611778945675</v>
      </c>
      <c r="AQ1050">
        <f>SMALL('Iter No Test'!$W$9:$W$5008,1048)</f>
        <v>144.88328465779233</v>
      </c>
      <c r="AR1050">
        <f>1/(COUNT('Iter No Test'!$W$9:$W$5008)-1)+$AR$1049</f>
        <v>0.20944188837767935</v>
      </c>
    </row>
    <row r="1051" spans="22:44">
      <c r="V1051">
        <v>1043</v>
      </c>
      <c r="W1051">
        <v>272.92543954654502</v>
      </c>
      <c r="AQ1051">
        <f>SMALL('Iter No Test'!$W$9:$W$5008,1049)</f>
        <v>144.89790027973936</v>
      </c>
      <c r="AR1051">
        <f>1/(COUNT('Iter No Test'!$W$9:$W$5008)-1)+$AR$1050</f>
        <v>0.20964192838568096</v>
      </c>
    </row>
    <row r="1052" spans="22:44">
      <c r="V1052">
        <v>1044</v>
      </c>
      <c r="W1052">
        <v>200.05951897634381</v>
      </c>
      <c r="AQ1052">
        <f>SMALL('Iter No Test'!$W$9:$W$5008,1050)</f>
        <v>144.98011138783772</v>
      </c>
      <c r="AR1052">
        <f>1/(COUNT('Iter No Test'!$W$9:$W$5008)-1)+$AR$1051</f>
        <v>0.20984196839368258</v>
      </c>
    </row>
    <row r="1053" spans="22:44">
      <c r="V1053">
        <v>1045</v>
      </c>
      <c r="W1053">
        <v>53.061877934036261</v>
      </c>
      <c r="AQ1053">
        <f>SMALL('Iter No Test'!$W$9:$W$5008,1051)</f>
        <v>145.01420420759166</v>
      </c>
      <c r="AR1053">
        <f>1/(COUNT('Iter No Test'!$W$9:$W$5008)-1)+$AR$1052</f>
        <v>0.21004200840168419</v>
      </c>
    </row>
    <row r="1054" spans="22:44">
      <c r="V1054">
        <v>1046</v>
      </c>
      <c r="W1054">
        <v>306.18772810950088</v>
      </c>
      <c r="AQ1054">
        <f>SMALL('Iter No Test'!$W$9:$W$5008,1052)</f>
        <v>145.05294237086582</v>
      </c>
      <c r="AR1054">
        <f>1/(COUNT('Iter No Test'!$W$9:$W$5008)-1)+$AR$1053</f>
        <v>0.2102420484096858</v>
      </c>
    </row>
    <row r="1055" spans="22:44">
      <c r="V1055">
        <v>1047</v>
      </c>
      <c r="W1055">
        <v>176.63719386853225</v>
      </c>
      <c r="AQ1055">
        <f>SMALL('Iter No Test'!$W$9:$W$5008,1053)</f>
        <v>145.08506699501908</v>
      </c>
      <c r="AR1055">
        <f>1/(COUNT('Iter No Test'!$W$9:$W$5008)-1)+$AR$1054</f>
        <v>0.21044208841768741</v>
      </c>
    </row>
    <row r="1056" spans="22:44">
      <c r="V1056">
        <v>1048</v>
      </c>
      <c r="W1056">
        <v>184.89524411895175</v>
      </c>
      <c r="AQ1056">
        <f>SMALL('Iter No Test'!$W$9:$W$5008,1054)</f>
        <v>145.11038403886491</v>
      </c>
      <c r="AR1056">
        <f>1/(COUNT('Iter No Test'!$W$9:$W$5008)-1)+$AR$1055</f>
        <v>0.21064212842568902</v>
      </c>
    </row>
    <row r="1057" spans="22:44">
      <c r="V1057">
        <v>1049</v>
      </c>
      <c r="W1057">
        <v>293.9394594920833</v>
      </c>
      <c r="AQ1057">
        <f>SMALL('Iter No Test'!$W$9:$W$5008,1055)</f>
        <v>145.21555679872174</v>
      </c>
      <c r="AR1057">
        <f>1/(COUNT('Iter No Test'!$W$9:$W$5008)-1)+$AR$1056</f>
        <v>0.21084216843369064</v>
      </c>
    </row>
    <row r="1058" spans="22:44">
      <c r="V1058">
        <v>1050</v>
      </c>
      <c r="W1058">
        <v>429.19672374403729</v>
      </c>
      <c r="AQ1058">
        <f>SMALL('Iter No Test'!$W$9:$W$5008,1056)</f>
        <v>145.23815053530856</v>
      </c>
      <c r="AR1058">
        <f>1/(COUNT('Iter No Test'!$W$9:$W$5008)-1)+$AR$1057</f>
        <v>0.21104220844169225</v>
      </c>
    </row>
    <row r="1059" spans="22:44">
      <c r="V1059">
        <v>1051</v>
      </c>
      <c r="W1059">
        <v>395.11716266504538</v>
      </c>
      <c r="AQ1059">
        <f>SMALL('Iter No Test'!$W$9:$W$5008,1057)</f>
        <v>145.28219216485294</v>
      </c>
      <c r="AR1059">
        <f>1/(COUNT('Iter No Test'!$W$9:$W$5008)-1)+$AR$1058</f>
        <v>0.21124224844969386</v>
      </c>
    </row>
    <row r="1060" spans="22:44">
      <c r="V1060">
        <v>1052</v>
      </c>
      <c r="W1060">
        <v>147.98145833563132</v>
      </c>
      <c r="AQ1060">
        <f>SMALL('Iter No Test'!$W$9:$W$5008,1058)</f>
        <v>145.30410123872812</v>
      </c>
      <c r="AR1060">
        <f>1/(COUNT('Iter No Test'!$W$9:$W$5008)-1)+$AR$1059</f>
        <v>0.21144228845769547</v>
      </c>
    </row>
    <row r="1061" spans="22:44">
      <c r="V1061">
        <v>1053</v>
      </c>
      <c r="W1061">
        <v>191.03177724695109</v>
      </c>
      <c r="AQ1061">
        <f>SMALL('Iter No Test'!$W$9:$W$5008,1059)</f>
        <v>145.35009116035323</v>
      </c>
      <c r="AR1061">
        <f>1/(COUNT('Iter No Test'!$W$9:$W$5008)-1)+$AR$1060</f>
        <v>0.21164232846569708</v>
      </c>
    </row>
    <row r="1062" spans="22:44">
      <c r="V1062">
        <v>1054</v>
      </c>
      <c r="W1062">
        <v>246.43960613188503</v>
      </c>
      <c r="AQ1062">
        <f>SMALL('Iter No Test'!$W$9:$W$5008,1060)</f>
        <v>145.3548690218548</v>
      </c>
      <c r="AR1062">
        <f>1/(COUNT('Iter No Test'!$W$9:$W$5008)-1)+$AR$1061</f>
        <v>0.21184236847369869</v>
      </c>
    </row>
    <row r="1063" spans="22:44">
      <c r="V1063">
        <v>1055</v>
      </c>
      <c r="W1063">
        <v>301.42860772993595</v>
      </c>
      <c r="AQ1063">
        <f>SMALL('Iter No Test'!$W$9:$W$5008,1061)</f>
        <v>145.46310235213807</v>
      </c>
      <c r="AR1063">
        <f>1/(COUNT('Iter No Test'!$W$9:$W$5008)-1)+$AR$1062</f>
        <v>0.21204240848170031</v>
      </c>
    </row>
    <row r="1064" spans="22:44">
      <c r="V1064">
        <v>1056</v>
      </c>
      <c r="W1064">
        <v>252.15565504317425</v>
      </c>
      <c r="AQ1064">
        <f>SMALL('Iter No Test'!$W$9:$W$5008,1062)</f>
        <v>145.54691615590252</v>
      </c>
      <c r="AR1064">
        <f>1/(COUNT('Iter No Test'!$W$9:$W$5008)-1)+$AR$1063</f>
        <v>0.21224244848970192</v>
      </c>
    </row>
    <row r="1065" spans="22:44">
      <c r="V1065">
        <v>1057</v>
      </c>
      <c r="W1065">
        <v>246.0698663452329</v>
      </c>
      <c r="AQ1065">
        <f>SMALL('Iter No Test'!$W$9:$W$5008,1063)</f>
        <v>145.57474646185449</v>
      </c>
      <c r="AR1065">
        <f>1/(COUNT('Iter No Test'!$W$9:$W$5008)-1)+$AR$1064</f>
        <v>0.21244248849770353</v>
      </c>
    </row>
    <row r="1066" spans="22:44">
      <c r="V1066">
        <v>1058</v>
      </c>
      <c r="W1066">
        <v>173.71313629008014</v>
      </c>
      <c r="AQ1066">
        <f>SMALL('Iter No Test'!$W$9:$W$5008,1064)</f>
        <v>145.69626655625535</v>
      </c>
      <c r="AR1066">
        <f>1/(COUNT('Iter No Test'!$W$9:$W$5008)-1)+$AR$1065</f>
        <v>0.21264252850570514</v>
      </c>
    </row>
    <row r="1067" spans="22:44">
      <c r="V1067">
        <v>1059</v>
      </c>
      <c r="W1067">
        <v>118.64229297549424</v>
      </c>
      <c r="AQ1067">
        <f>SMALL('Iter No Test'!$W$9:$W$5008,1065)</f>
        <v>145.72952489158064</v>
      </c>
      <c r="AR1067">
        <f>1/(COUNT('Iter No Test'!$W$9:$W$5008)-1)+$AR$1066</f>
        <v>0.21284256851370675</v>
      </c>
    </row>
    <row r="1068" spans="22:44">
      <c r="V1068">
        <v>1060</v>
      </c>
      <c r="W1068">
        <v>198.99258737884296</v>
      </c>
      <c r="AQ1068">
        <f>SMALL('Iter No Test'!$W$9:$W$5008,1066)</f>
        <v>145.8029943453742</v>
      </c>
      <c r="AR1068">
        <f>1/(COUNT('Iter No Test'!$W$9:$W$5008)-1)+$AR$1067</f>
        <v>0.21304260852170837</v>
      </c>
    </row>
    <row r="1069" spans="22:44">
      <c r="V1069">
        <v>1061</v>
      </c>
      <c r="W1069">
        <v>275.18779727386971</v>
      </c>
      <c r="AQ1069">
        <f>SMALL('Iter No Test'!$W$9:$W$5008,1067)</f>
        <v>145.81112999143897</v>
      </c>
      <c r="AR1069">
        <f>1/(COUNT('Iter No Test'!$W$9:$W$5008)-1)+$AR$1068</f>
        <v>0.21324264852970998</v>
      </c>
    </row>
    <row r="1070" spans="22:44">
      <c r="V1070">
        <v>1062</v>
      </c>
      <c r="W1070">
        <v>333.49803403802821</v>
      </c>
      <c r="AQ1070">
        <f>SMALL('Iter No Test'!$W$9:$W$5008,1068)</f>
        <v>145.88812088084799</v>
      </c>
      <c r="AR1070">
        <f>1/(COUNT('Iter No Test'!$W$9:$W$5008)-1)+$AR$1069</f>
        <v>0.21344268853771159</v>
      </c>
    </row>
    <row r="1071" spans="22:44">
      <c r="V1071">
        <v>1063</v>
      </c>
      <c r="W1071">
        <v>89.882459791477913</v>
      </c>
      <c r="AQ1071">
        <f>SMALL('Iter No Test'!$W$9:$W$5008,1069)</f>
        <v>145.94331375063939</v>
      </c>
      <c r="AR1071">
        <f>1/(COUNT('Iter No Test'!$W$9:$W$5008)-1)+$AR$1070</f>
        <v>0.2136427285457132</v>
      </c>
    </row>
    <row r="1072" spans="22:44">
      <c r="V1072">
        <v>1064</v>
      </c>
      <c r="W1072">
        <v>304.93887505301257</v>
      </c>
      <c r="AQ1072">
        <f>SMALL('Iter No Test'!$W$9:$W$5008,1070)</f>
        <v>145.9505571677289</v>
      </c>
      <c r="AR1072">
        <f>1/(COUNT('Iter No Test'!$W$9:$W$5008)-1)+$AR$1071</f>
        <v>0.21384276855371481</v>
      </c>
    </row>
    <row r="1073" spans="22:44">
      <c r="V1073">
        <v>1065</v>
      </c>
      <c r="W1073">
        <v>328.63127066638145</v>
      </c>
      <c r="AQ1073">
        <f>SMALL('Iter No Test'!$W$9:$W$5008,1071)</f>
        <v>146.18828396208636</v>
      </c>
      <c r="AR1073">
        <f>1/(COUNT('Iter No Test'!$W$9:$W$5008)-1)+$AR$1072</f>
        <v>0.21404280856171642</v>
      </c>
    </row>
    <row r="1074" spans="22:44">
      <c r="V1074">
        <v>1066</v>
      </c>
      <c r="W1074">
        <v>101.28128042296453</v>
      </c>
      <c r="AQ1074">
        <f>SMALL('Iter No Test'!$W$9:$W$5008,1072)</f>
        <v>146.19880855574252</v>
      </c>
      <c r="AR1074">
        <f>1/(COUNT('Iter No Test'!$W$9:$W$5008)-1)+$AR$1073</f>
        <v>0.21424284856971804</v>
      </c>
    </row>
    <row r="1075" spans="22:44">
      <c r="V1075">
        <v>1067</v>
      </c>
      <c r="W1075">
        <v>229.27629811704122</v>
      </c>
      <c r="AQ1075">
        <f>SMALL('Iter No Test'!$W$9:$W$5008,1073)</f>
        <v>146.2550055337561</v>
      </c>
      <c r="AR1075">
        <f>1/(COUNT('Iter No Test'!$W$9:$W$5008)-1)+$AR$1074</f>
        <v>0.21444288857771965</v>
      </c>
    </row>
    <row r="1076" spans="22:44">
      <c r="V1076">
        <v>1068</v>
      </c>
      <c r="W1076">
        <v>182.37449176216188</v>
      </c>
      <c r="AQ1076">
        <f>SMALL('Iter No Test'!$W$9:$W$5008,1074)</f>
        <v>146.27967608315473</v>
      </c>
      <c r="AR1076">
        <f>1/(COUNT('Iter No Test'!$W$9:$W$5008)-1)+$AR$1075</f>
        <v>0.21464292858572126</v>
      </c>
    </row>
    <row r="1077" spans="22:44">
      <c r="V1077">
        <v>1069</v>
      </c>
      <c r="W1077">
        <v>208.59903290034555</v>
      </c>
      <c r="AQ1077">
        <f>SMALL('Iter No Test'!$W$9:$W$5008,1075)</f>
        <v>146.40393528078985</v>
      </c>
      <c r="AR1077">
        <f>1/(COUNT('Iter No Test'!$W$9:$W$5008)-1)+$AR$1076</f>
        <v>0.21484296859372287</v>
      </c>
    </row>
    <row r="1078" spans="22:44">
      <c r="V1078">
        <v>1070</v>
      </c>
      <c r="W1078">
        <v>237.07868074791551</v>
      </c>
      <c r="AQ1078">
        <f>SMALL('Iter No Test'!$W$9:$W$5008,1076)</f>
        <v>146.44965147702419</v>
      </c>
      <c r="AR1078">
        <f>1/(COUNT('Iter No Test'!$W$9:$W$5008)-1)+$AR$1077</f>
        <v>0.21504300860172448</v>
      </c>
    </row>
    <row r="1079" spans="22:44">
      <c r="V1079">
        <v>1071</v>
      </c>
      <c r="W1079">
        <v>266.29493220654706</v>
      </c>
      <c r="AQ1079">
        <f>SMALL('Iter No Test'!$W$9:$W$5008,1077)</f>
        <v>146.47960744082795</v>
      </c>
      <c r="AR1079">
        <f>1/(COUNT('Iter No Test'!$W$9:$W$5008)-1)+$AR$1078</f>
        <v>0.2152430486097261</v>
      </c>
    </row>
    <row r="1080" spans="22:44">
      <c r="V1080">
        <v>1072</v>
      </c>
      <c r="W1080">
        <v>345.90578631849399</v>
      </c>
      <c r="AQ1080">
        <f>SMALL('Iter No Test'!$W$9:$W$5008,1078)</f>
        <v>146.55707597718549</v>
      </c>
      <c r="AR1080">
        <f>1/(COUNT('Iter No Test'!$W$9:$W$5008)-1)+$AR$1079</f>
        <v>0.21544308861772771</v>
      </c>
    </row>
    <row r="1081" spans="22:44">
      <c r="V1081">
        <v>1073</v>
      </c>
      <c r="W1081">
        <v>329.47532523492936</v>
      </c>
      <c r="AQ1081">
        <f>SMALL('Iter No Test'!$W$9:$W$5008,1079)</f>
        <v>146.6451448556632</v>
      </c>
      <c r="AR1081">
        <f>1/(COUNT('Iter No Test'!$W$9:$W$5008)-1)+$AR$1080</f>
        <v>0.21564312862572932</v>
      </c>
    </row>
    <row r="1082" spans="22:44">
      <c r="V1082">
        <v>1074</v>
      </c>
      <c r="W1082">
        <v>234.58772693704395</v>
      </c>
      <c r="AQ1082">
        <f>SMALL('Iter No Test'!$W$9:$W$5008,1080)</f>
        <v>146.70529465290679</v>
      </c>
      <c r="AR1082">
        <f>1/(COUNT('Iter No Test'!$W$9:$W$5008)-1)+$AR$1081</f>
        <v>0.21584316863373093</v>
      </c>
    </row>
    <row r="1083" spans="22:44">
      <c r="V1083">
        <v>1075</v>
      </c>
      <c r="W1083">
        <v>212.84844142638693</v>
      </c>
      <c r="AQ1083">
        <f>SMALL('Iter No Test'!$W$9:$W$5008,1081)</f>
        <v>146.79473463008213</v>
      </c>
      <c r="AR1083">
        <f>1/(COUNT('Iter No Test'!$W$9:$W$5008)-1)+$AR$1082</f>
        <v>0.21604320864173254</v>
      </c>
    </row>
    <row r="1084" spans="22:44">
      <c r="V1084">
        <v>1076</v>
      </c>
      <c r="W1084">
        <v>395.0932068755443</v>
      </c>
      <c r="AQ1084">
        <f>SMALL('Iter No Test'!$W$9:$W$5008,1082)</f>
        <v>146.82316604053034</v>
      </c>
      <c r="AR1084">
        <f>1/(COUNT('Iter No Test'!$W$9:$W$5008)-1)+$AR$1083</f>
        <v>0.21624324864973415</v>
      </c>
    </row>
    <row r="1085" spans="22:44">
      <c r="V1085">
        <v>1077</v>
      </c>
      <c r="W1085">
        <v>141.31499660480773</v>
      </c>
      <c r="AQ1085">
        <f>SMALL('Iter No Test'!$W$9:$W$5008,1083)</f>
        <v>146.8617430896569</v>
      </c>
      <c r="AR1085">
        <f>1/(COUNT('Iter No Test'!$W$9:$W$5008)-1)+$AR$1084</f>
        <v>0.21644328865773577</v>
      </c>
    </row>
    <row r="1086" spans="22:44">
      <c r="V1086">
        <v>1078</v>
      </c>
      <c r="W1086">
        <v>123.09688935231161</v>
      </c>
      <c r="AQ1086">
        <f>SMALL('Iter No Test'!$W$9:$W$5008,1084)</f>
        <v>146.88795809432634</v>
      </c>
      <c r="AR1086">
        <f>1/(COUNT('Iter No Test'!$W$9:$W$5008)-1)+$AR$1085</f>
        <v>0.21664332866573738</v>
      </c>
    </row>
    <row r="1087" spans="22:44">
      <c r="V1087">
        <v>1079</v>
      </c>
      <c r="W1087">
        <v>135.12901533527688</v>
      </c>
      <c r="AQ1087">
        <f>SMALL('Iter No Test'!$W$9:$W$5008,1085)</f>
        <v>146.89403162941284</v>
      </c>
      <c r="AR1087">
        <f>1/(COUNT('Iter No Test'!$W$9:$W$5008)-1)+$AR$1086</f>
        <v>0.21684336867373899</v>
      </c>
    </row>
    <row r="1088" spans="22:44">
      <c r="V1088">
        <v>1080</v>
      </c>
      <c r="W1088">
        <v>124.18058647216786</v>
      </c>
      <c r="AQ1088">
        <f>SMALL('Iter No Test'!$W$9:$W$5008,1086)</f>
        <v>146.9576077080244</v>
      </c>
      <c r="AR1088">
        <f>1/(COUNT('Iter No Test'!$W$9:$W$5008)-1)+$AR$1087</f>
        <v>0.2170434086817406</v>
      </c>
    </row>
    <row r="1089" spans="22:44">
      <c r="V1089">
        <v>1081</v>
      </c>
      <c r="W1089">
        <v>243.06834322397981</v>
      </c>
      <c r="AQ1089">
        <f>SMALL('Iter No Test'!$W$9:$W$5008,1087)</f>
        <v>147.03279589961647</v>
      </c>
      <c r="AR1089">
        <f>1/(COUNT('Iter No Test'!$W$9:$W$5008)-1)+$AR$1088</f>
        <v>0.21724344868974221</v>
      </c>
    </row>
    <row r="1090" spans="22:44">
      <c r="V1090">
        <v>1082</v>
      </c>
      <c r="W1090">
        <v>358.0650678700456</v>
      </c>
      <c r="AQ1090">
        <f>SMALL('Iter No Test'!$W$9:$W$5008,1088)</f>
        <v>147.12345494331603</v>
      </c>
      <c r="AR1090">
        <f>1/(COUNT('Iter No Test'!$W$9:$W$5008)-1)+$AR$1089</f>
        <v>0.21744348869774383</v>
      </c>
    </row>
    <row r="1091" spans="22:44">
      <c r="V1091">
        <v>1083</v>
      </c>
      <c r="W1091">
        <v>164.14163441066773</v>
      </c>
      <c r="AQ1091">
        <f>SMALL('Iter No Test'!$W$9:$W$5008,1089)</f>
        <v>147.13906730500918</v>
      </c>
      <c r="AR1091">
        <f>1/(COUNT('Iter No Test'!$W$9:$W$5008)-1)+$AR$1090</f>
        <v>0.21764352870574544</v>
      </c>
    </row>
    <row r="1092" spans="22:44">
      <c r="V1092">
        <v>1084</v>
      </c>
      <c r="W1092">
        <v>126.73460920742548</v>
      </c>
      <c r="AQ1092">
        <f>SMALL('Iter No Test'!$W$9:$W$5008,1090)</f>
        <v>147.36622223844398</v>
      </c>
      <c r="AR1092">
        <f>1/(COUNT('Iter No Test'!$W$9:$W$5008)-1)+$AR$1091</f>
        <v>0.21784356871374705</v>
      </c>
    </row>
    <row r="1093" spans="22:44">
      <c r="V1093">
        <v>1085</v>
      </c>
      <c r="W1093">
        <v>287.93820459386353</v>
      </c>
      <c r="AQ1093">
        <f>SMALL('Iter No Test'!$W$9:$W$5008,1091)</f>
        <v>147.40705554901575</v>
      </c>
      <c r="AR1093">
        <f>1/(COUNT('Iter No Test'!$W$9:$W$5008)-1)+$AR$1092</f>
        <v>0.21804360872174866</v>
      </c>
    </row>
    <row r="1094" spans="22:44">
      <c r="V1094">
        <v>1086</v>
      </c>
      <c r="W1094">
        <v>242.56293619165174</v>
      </c>
      <c r="AQ1094">
        <f>SMALL('Iter No Test'!$W$9:$W$5008,1092)</f>
        <v>147.46502958209746</v>
      </c>
      <c r="AR1094">
        <f>1/(COUNT('Iter No Test'!$W$9:$W$5008)-1)+$AR$1093</f>
        <v>0.21824364872975027</v>
      </c>
    </row>
    <row r="1095" spans="22:44">
      <c r="V1095">
        <v>1087</v>
      </c>
      <c r="W1095">
        <v>204.64682262206929</v>
      </c>
      <c r="AQ1095">
        <f>SMALL('Iter No Test'!$W$9:$W$5008,1093)</f>
        <v>147.54416757362139</v>
      </c>
      <c r="AR1095">
        <f>1/(COUNT('Iter No Test'!$W$9:$W$5008)-1)+$AR$1094</f>
        <v>0.21844368873775188</v>
      </c>
    </row>
    <row r="1096" spans="22:44">
      <c r="V1096">
        <v>1088</v>
      </c>
      <c r="W1096">
        <v>141.91095434471714</v>
      </c>
      <c r="AQ1096">
        <f>SMALL('Iter No Test'!$W$9:$W$5008,1094)</f>
        <v>147.55023175653474</v>
      </c>
      <c r="AR1096">
        <f>1/(COUNT('Iter No Test'!$W$9:$W$5008)-1)+$AR$1095</f>
        <v>0.2186437287457535</v>
      </c>
    </row>
    <row r="1097" spans="22:44">
      <c r="V1097">
        <v>1089</v>
      </c>
      <c r="W1097">
        <v>325.37359065862842</v>
      </c>
      <c r="AQ1097">
        <f>SMALL('Iter No Test'!$W$9:$W$5008,1095)</f>
        <v>147.59527289351939</v>
      </c>
      <c r="AR1097">
        <f>1/(COUNT('Iter No Test'!$W$9:$W$5008)-1)+$AR$1096</f>
        <v>0.21884376875375511</v>
      </c>
    </row>
    <row r="1098" spans="22:44">
      <c r="V1098">
        <v>1090</v>
      </c>
      <c r="W1098">
        <v>213.40558353089475</v>
      </c>
      <c r="AQ1098">
        <f>SMALL('Iter No Test'!$W$9:$W$5008,1096)</f>
        <v>147.62142239001031</v>
      </c>
      <c r="AR1098">
        <f>1/(COUNT('Iter No Test'!$W$9:$W$5008)-1)+$AR$1097</f>
        <v>0.21904380876175672</v>
      </c>
    </row>
    <row r="1099" spans="22:44">
      <c r="V1099">
        <v>1091</v>
      </c>
      <c r="W1099">
        <v>172.47010881892001</v>
      </c>
      <c r="AQ1099">
        <f>SMALL('Iter No Test'!$W$9:$W$5008,1097)</f>
        <v>147.65949776797135</v>
      </c>
      <c r="AR1099">
        <f>1/(COUNT('Iter No Test'!$W$9:$W$5008)-1)+$AR$1098</f>
        <v>0.21924384876975833</v>
      </c>
    </row>
    <row r="1100" spans="22:44">
      <c r="V1100">
        <v>1092</v>
      </c>
      <c r="W1100">
        <v>278.10206137780722</v>
      </c>
      <c r="AQ1100">
        <f>SMALL('Iter No Test'!$W$9:$W$5008,1098)</f>
        <v>147.68541567343379</v>
      </c>
      <c r="AR1100">
        <f>1/(COUNT('Iter No Test'!$W$9:$W$5008)-1)+$AR$1099</f>
        <v>0.21944388877775994</v>
      </c>
    </row>
    <row r="1101" spans="22:44">
      <c r="V1101">
        <v>1093</v>
      </c>
      <c r="W1101">
        <v>349.64808509780937</v>
      </c>
      <c r="AQ1101">
        <f>SMALL('Iter No Test'!$W$9:$W$5008,1099)</f>
        <v>147.77855291306702</v>
      </c>
      <c r="AR1101">
        <f>1/(COUNT('Iter No Test'!$W$9:$W$5008)-1)+$AR$1100</f>
        <v>0.21964392878576156</v>
      </c>
    </row>
    <row r="1102" spans="22:44">
      <c r="V1102">
        <v>1094</v>
      </c>
      <c r="W1102">
        <v>231.43021625880345</v>
      </c>
      <c r="AQ1102">
        <f>SMALL('Iter No Test'!$W$9:$W$5008,1100)</f>
        <v>147.81526350353224</v>
      </c>
      <c r="AR1102">
        <f>1/(COUNT('Iter No Test'!$W$9:$W$5008)-1)+$AR$1101</f>
        <v>0.21984396879376317</v>
      </c>
    </row>
    <row r="1103" spans="22:44">
      <c r="V1103">
        <v>1095</v>
      </c>
      <c r="W1103">
        <v>354.27492134589841</v>
      </c>
      <c r="AQ1103">
        <f>SMALL('Iter No Test'!$W$9:$W$5008,1101)</f>
        <v>147.83445323583823</v>
      </c>
      <c r="AR1103">
        <f>1/(COUNT('Iter No Test'!$W$9:$W$5008)-1)+$AR$1102</f>
        <v>0.22004400880176478</v>
      </c>
    </row>
    <row r="1104" spans="22:44">
      <c r="V1104">
        <v>1096</v>
      </c>
      <c r="W1104">
        <v>144.88328465779233</v>
      </c>
      <c r="AQ1104">
        <f>SMALL('Iter No Test'!$W$9:$W$5008,1102)</f>
        <v>147.87719455709541</v>
      </c>
      <c r="AR1104">
        <f>1/(COUNT('Iter No Test'!$W$9:$W$5008)-1)+$AR$1103</f>
        <v>0.22024404880976639</v>
      </c>
    </row>
    <row r="1105" spans="22:44">
      <c r="V1105">
        <v>1097</v>
      </c>
      <c r="W1105">
        <v>100.65417627198767</v>
      </c>
      <c r="AQ1105">
        <f>SMALL('Iter No Test'!$W$9:$W$5008,1103)</f>
        <v>147.98145833563132</v>
      </c>
      <c r="AR1105">
        <f>1/(COUNT('Iter No Test'!$W$9:$W$5008)-1)+$AR$1104</f>
        <v>0.220444088817768</v>
      </c>
    </row>
    <row r="1106" spans="22:44">
      <c r="V1106">
        <v>1098</v>
      </c>
      <c r="W1106">
        <v>147.62142239001031</v>
      </c>
      <c r="AQ1106">
        <f>SMALL('Iter No Test'!$W$9:$W$5008,1104)</f>
        <v>148.00044532752753</v>
      </c>
      <c r="AR1106">
        <f>1/(COUNT('Iter No Test'!$W$9:$W$5008)-1)+$AR$1105</f>
        <v>0.22064412882576961</v>
      </c>
    </row>
    <row r="1107" spans="22:44">
      <c r="V1107">
        <v>1099</v>
      </c>
      <c r="W1107">
        <v>95.826139288797691</v>
      </c>
      <c r="AQ1107">
        <f>SMALL('Iter No Test'!$W$9:$W$5008,1105)</f>
        <v>148.04265804385187</v>
      </c>
      <c r="AR1107">
        <f>1/(COUNT('Iter No Test'!$W$9:$W$5008)-1)+$AR$1106</f>
        <v>0.22084416883377123</v>
      </c>
    </row>
    <row r="1108" spans="22:44">
      <c r="V1108">
        <v>1100</v>
      </c>
      <c r="W1108">
        <v>245.08234309897551</v>
      </c>
      <c r="AQ1108">
        <f>SMALL('Iter No Test'!$W$9:$W$5008,1106)</f>
        <v>148.16799325922494</v>
      </c>
      <c r="AR1108">
        <f>1/(COUNT('Iter No Test'!$W$9:$W$5008)-1)+$AR$1107</f>
        <v>0.22104420884177284</v>
      </c>
    </row>
    <row r="1109" spans="22:44">
      <c r="V1109">
        <v>1101</v>
      </c>
      <c r="W1109">
        <v>139.56943865973619</v>
      </c>
      <c r="AQ1109">
        <f>SMALL('Iter No Test'!$W$9:$W$5008,1107)</f>
        <v>148.23047445673757</v>
      </c>
      <c r="AR1109">
        <f>1/(COUNT('Iter No Test'!$W$9:$W$5008)-1)+$AR$1108</f>
        <v>0.22124424884977445</v>
      </c>
    </row>
    <row r="1110" spans="22:44">
      <c r="V1110">
        <v>1102</v>
      </c>
      <c r="W1110">
        <v>89.863091961725132</v>
      </c>
      <c r="AQ1110">
        <f>SMALL('Iter No Test'!$W$9:$W$5008,1108)</f>
        <v>148.27256606449285</v>
      </c>
      <c r="AR1110">
        <f>1/(COUNT('Iter No Test'!$W$9:$W$5008)-1)+$AR$1109</f>
        <v>0.22144428885777606</v>
      </c>
    </row>
    <row r="1111" spans="22:44">
      <c r="V1111">
        <v>1103</v>
      </c>
      <c r="W1111">
        <v>178.01008365050762</v>
      </c>
      <c r="AQ1111">
        <f>SMALL('Iter No Test'!$W$9:$W$5008,1109)</f>
        <v>148.36907365108314</v>
      </c>
      <c r="AR1111">
        <f>1/(COUNT('Iter No Test'!$W$9:$W$5008)-1)+$AR$1110</f>
        <v>0.22164432886577767</v>
      </c>
    </row>
    <row r="1112" spans="22:44">
      <c r="V1112">
        <v>1104</v>
      </c>
      <c r="W1112">
        <v>145.08506699501908</v>
      </c>
      <c r="AQ1112">
        <f>SMALL('Iter No Test'!$W$9:$W$5008,1110)</f>
        <v>148.5235403461779</v>
      </c>
      <c r="AR1112">
        <f>1/(COUNT('Iter No Test'!$W$9:$W$5008)-1)+$AR$1111</f>
        <v>0.22184436887377929</v>
      </c>
    </row>
    <row r="1113" spans="22:44">
      <c r="V1113">
        <v>1105</v>
      </c>
      <c r="W1113">
        <v>325.10460086571368</v>
      </c>
      <c r="AQ1113">
        <f>SMALL('Iter No Test'!$W$9:$W$5008,1111)</f>
        <v>148.59947755491856</v>
      </c>
      <c r="AR1113">
        <f>1/(COUNT('Iter No Test'!$W$9:$W$5008)-1)+$AR$1112</f>
        <v>0.2220444088817809</v>
      </c>
    </row>
    <row r="1114" spans="22:44">
      <c r="V1114">
        <v>1106</v>
      </c>
      <c r="W1114">
        <v>156.59599467375855</v>
      </c>
      <c r="AQ1114">
        <f>SMALL('Iter No Test'!$W$9:$W$5008,1112)</f>
        <v>148.64338892219823</v>
      </c>
      <c r="AR1114">
        <f>1/(COUNT('Iter No Test'!$W$9:$W$5008)-1)+$AR$1113</f>
        <v>0.22224444888978251</v>
      </c>
    </row>
    <row r="1115" spans="22:44">
      <c r="V1115">
        <v>1107</v>
      </c>
      <c r="W1115">
        <v>140.1438834431527</v>
      </c>
      <c r="AQ1115">
        <f>SMALL('Iter No Test'!$W$9:$W$5008,1113)</f>
        <v>148.67664503034655</v>
      </c>
      <c r="AR1115">
        <f>1/(COUNT('Iter No Test'!$W$9:$W$5008)-1)+$AR$1114</f>
        <v>0.22244448889778412</v>
      </c>
    </row>
    <row r="1116" spans="22:44">
      <c r="V1116">
        <v>1108</v>
      </c>
      <c r="W1116">
        <v>138.6672824143497</v>
      </c>
      <c r="AQ1116">
        <f>SMALL('Iter No Test'!$W$9:$W$5008,1114)</f>
        <v>148.73686794869315</v>
      </c>
      <c r="AR1116">
        <f>1/(COUNT('Iter No Test'!$W$9:$W$5008)-1)+$AR$1115</f>
        <v>0.22264452890578573</v>
      </c>
    </row>
    <row r="1117" spans="22:44">
      <c r="V1117">
        <v>1109</v>
      </c>
      <c r="W1117">
        <v>187.82526801147543</v>
      </c>
      <c r="AQ1117">
        <f>SMALL('Iter No Test'!$W$9:$W$5008,1115)</f>
        <v>149.06158034800166</v>
      </c>
      <c r="AR1117">
        <f>1/(COUNT('Iter No Test'!$W$9:$W$5008)-1)+$AR$1116</f>
        <v>0.22284456891378734</v>
      </c>
    </row>
    <row r="1118" spans="22:44">
      <c r="V1118">
        <v>1110</v>
      </c>
      <c r="W1118">
        <v>308.99596703866735</v>
      </c>
      <c r="AQ1118">
        <f>SMALL('Iter No Test'!$W$9:$W$5008,1116)</f>
        <v>149.10692490239904</v>
      </c>
      <c r="AR1118">
        <f>1/(COUNT('Iter No Test'!$W$9:$W$5008)-1)+$AR$1117</f>
        <v>0.22304460892178896</v>
      </c>
    </row>
    <row r="1119" spans="22:44">
      <c r="V1119">
        <v>1111</v>
      </c>
      <c r="W1119">
        <v>187.78459211949954</v>
      </c>
      <c r="AQ1119">
        <f>SMALL('Iter No Test'!$W$9:$W$5008,1117)</f>
        <v>149.15264189159279</v>
      </c>
      <c r="AR1119">
        <f>1/(COUNT('Iter No Test'!$W$9:$W$5008)-1)+$AR$1118</f>
        <v>0.22324464892979057</v>
      </c>
    </row>
    <row r="1120" spans="22:44">
      <c r="V1120">
        <v>1112</v>
      </c>
      <c r="W1120">
        <v>200.45633167523138</v>
      </c>
      <c r="AQ1120">
        <f>SMALL('Iter No Test'!$W$9:$W$5008,1118)</f>
        <v>149.35274852431573</v>
      </c>
      <c r="AR1120">
        <f>1/(COUNT('Iter No Test'!$W$9:$W$5008)-1)+$AR$1119</f>
        <v>0.22344468893779218</v>
      </c>
    </row>
    <row r="1121" spans="22:44">
      <c r="V1121">
        <v>1113</v>
      </c>
      <c r="W1121">
        <v>177.26939471257867</v>
      </c>
      <c r="AQ1121">
        <f>SMALL('Iter No Test'!$W$9:$W$5008,1119)</f>
        <v>149.37996356755451</v>
      </c>
      <c r="AR1121">
        <f>1/(COUNT('Iter No Test'!$W$9:$W$5008)-1)+$AR$1120</f>
        <v>0.22364472894579379</v>
      </c>
    </row>
    <row r="1122" spans="22:44">
      <c r="V1122">
        <v>1114</v>
      </c>
      <c r="W1122">
        <v>162.76605311418461</v>
      </c>
      <c r="AQ1122">
        <f>SMALL('Iter No Test'!$W$9:$W$5008,1120)</f>
        <v>149.40537846889623</v>
      </c>
      <c r="AR1122">
        <f>1/(COUNT('Iter No Test'!$W$9:$W$5008)-1)+$AR$1121</f>
        <v>0.2238447689537954</v>
      </c>
    </row>
    <row r="1123" spans="22:44">
      <c r="V1123">
        <v>1115</v>
      </c>
      <c r="W1123">
        <v>304.32952264992628</v>
      </c>
      <c r="AQ1123">
        <f>SMALL('Iter No Test'!$W$9:$W$5008,1121)</f>
        <v>149.48055563649285</v>
      </c>
      <c r="AR1123">
        <f>1/(COUNT('Iter No Test'!$W$9:$W$5008)-1)+$AR$1122</f>
        <v>0.22404480896179702</v>
      </c>
    </row>
    <row r="1124" spans="22:44">
      <c r="V1124">
        <v>1116</v>
      </c>
      <c r="W1124">
        <v>260.2056140540322</v>
      </c>
      <c r="AQ1124">
        <f>SMALL('Iter No Test'!$W$9:$W$5008,1122)</f>
        <v>149.5142385758142</v>
      </c>
      <c r="AR1124">
        <f>1/(COUNT('Iter No Test'!$W$9:$W$5008)-1)+$AR$1123</f>
        <v>0.22424484896979863</v>
      </c>
    </row>
    <row r="1125" spans="22:44">
      <c r="V1125">
        <v>1117</v>
      </c>
      <c r="W1125">
        <v>258.21587301037488</v>
      </c>
      <c r="AQ1125">
        <f>SMALL('Iter No Test'!$W$9:$W$5008,1123)</f>
        <v>149.52704888051505</v>
      </c>
      <c r="AR1125">
        <f>1/(COUNT('Iter No Test'!$W$9:$W$5008)-1)+$AR$1124</f>
        <v>0.22444488897780024</v>
      </c>
    </row>
    <row r="1126" spans="22:44">
      <c r="V1126">
        <v>1118</v>
      </c>
      <c r="W1126">
        <v>147.55023175653474</v>
      </c>
      <c r="AQ1126">
        <f>SMALL('Iter No Test'!$W$9:$W$5008,1124)</f>
        <v>149.56776309980063</v>
      </c>
      <c r="AR1126">
        <f>1/(COUNT('Iter No Test'!$W$9:$W$5008)-1)+$AR$1125</f>
        <v>0.22464492898580185</v>
      </c>
    </row>
    <row r="1127" spans="22:44">
      <c r="V1127">
        <v>1119</v>
      </c>
      <c r="W1127">
        <v>337.15514099723021</v>
      </c>
      <c r="AQ1127">
        <f>SMALL('Iter No Test'!$W$9:$W$5008,1125)</f>
        <v>149.66869823285057</v>
      </c>
      <c r="AR1127">
        <f>1/(COUNT('Iter No Test'!$W$9:$W$5008)-1)+$AR$1126</f>
        <v>0.22484496899380346</v>
      </c>
    </row>
    <row r="1128" spans="22:44">
      <c r="V1128">
        <v>1120</v>
      </c>
      <c r="W1128">
        <v>121.03796936030351</v>
      </c>
      <c r="AQ1128">
        <f>SMALL('Iter No Test'!$W$9:$W$5008,1126)</f>
        <v>149.75132040521237</v>
      </c>
      <c r="AR1128">
        <f>1/(COUNT('Iter No Test'!$W$9:$W$5008)-1)+$AR$1127</f>
        <v>0.22504500900180507</v>
      </c>
    </row>
    <row r="1129" spans="22:44">
      <c r="V1129">
        <v>1121</v>
      </c>
      <c r="W1129">
        <v>127.61957570492567</v>
      </c>
      <c r="AQ1129">
        <f>SMALL('Iter No Test'!$W$9:$W$5008,1127)</f>
        <v>149.80340894175566</v>
      </c>
      <c r="AR1129">
        <f>1/(COUNT('Iter No Test'!$W$9:$W$5008)-1)+$AR$1128</f>
        <v>0.22524504900980669</v>
      </c>
    </row>
    <row r="1130" spans="22:44">
      <c r="V1130">
        <v>1122</v>
      </c>
      <c r="W1130">
        <v>313.85436744319577</v>
      </c>
      <c r="AQ1130">
        <f>SMALL('Iter No Test'!$W$9:$W$5008,1128)</f>
        <v>149.90583921844956</v>
      </c>
      <c r="AR1130">
        <f>1/(COUNT('Iter No Test'!$W$9:$W$5008)-1)+$AR$1129</f>
        <v>0.2254450890178083</v>
      </c>
    </row>
    <row r="1131" spans="22:44">
      <c r="V1131">
        <v>1123</v>
      </c>
      <c r="W1131">
        <v>245.96965600629215</v>
      </c>
      <c r="AQ1131">
        <f>SMALL('Iter No Test'!$W$9:$W$5008,1129)</f>
        <v>150.05544408734346</v>
      </c>
      <c r="AR1131">
        <f>1/(COUNT('Iter No Test'!$W$9:$W$5008)-1)+$AR$1130</f>
        <v>0.22564512902580991</v>
      </c>
    </row>
    <row r="1132" spans="22:44">
      <c r="V1132">
        <v>1124</v>
      </c>
      <c r="W1132">
        <v>206.04377917045977</v>
      </c>
      <c r="AQ1132">
        <f>SMALL('Iter No Test'!$W$9:$W$5008,1130)</f>
        <v>150.06498328799728</v>
      </c>
      <c r="AR1132">
        <f>1/(COUNT('Iter No Test'!$W$9:$W$5008)-1)+$AR$1131</f>
        <v>0.22584516903381152</v>
      </c>
    </row>
    <row r="1133" spans="22:44">
      <c r="V1133">
        <v>1125</v>
      </c>
      <c r="W1133">
        <v>154.01307490529533</v>
      </c>
      <c r="AQ1133">
        <f>SMALL('Iter No Test'!$W$9:$W$5008,1131)</f>
        <v>150.17067140999166</v>
      </c>
      <c r="AR1133">
        <f>1/(COUNT('Iter No Test'!$W$9:$W$5008)-1)+$AR$1132</f>
        <v>0.22604520904181313</v>
      </c>
    </row>
    <row r="1134" spans="22:44">
      <c r="V1134">
        <v>1126</v>
      </c>
      <c r="W1134">
        <v>285.21759497597003</v>
      </c>
      <c r="AQ1134">
        <f>SMALL('Iter No Test'!$W$9:$W$5008,1132)</f>
        <v>150.19451643253251</v>
      </c>
      <c r="AR1134">
        <f>1/(COUNT('Iter No Test'!$W$9:$W$5008)-1)+$AR$1133</f>
        <v>0.22624524904981475</v>
      </c>
    </row>
    <row r="1135" spans="22:44">
      <c r="V1135">
        <v>1127</v>
      </c>
      <c r="W1135">
        <v>251.66293323502222</v>
      </c>
      <c r="AQ1135">
        <f>SMALL('Iter No Test'!$W$9:$W$5008,1133)</f>
        <v>150.20468986009917</v>
      </c>
      <c r="AR1135">
        <f>1/(COUNT('Iter No Test'!$W$9:$W$5008)-1)+$AR$1134</f>
        <v>0.22644528905781636</v>
      </c>
    </row>
    <row r="1136" spans="22:44">
      <c r="V1136">
        <v>1128</v>
      </c>
      <c r="W1136">
        <v>183.29351750323508</v>
      </c>
      <c r="AQ1136">
        <f>SMALL('Iter No Test'!$W$9:$W$5008,1134)</f>
        <v>150.20576096732717</v>
      </c>
      <c r="AR1136">
        <f>1/(COUNT('Iter No Test'!$W$9:$W$5008)-1)+$AR$1135</f>
        <v>0.22664532906581797</v>
      </c>
    </row>
    <row r="1137" spans="22:44">
      <c r="V1137">
        <v>1129</v>
      </c>
      <c r="W1137">
        <v>178.22089952790981</v>
      </c>
      <c r="AQ1137">
        <f>SMALL('Iter No Test'!$W$9:$W$5008,1135)</f>
        <v>150.20651102399927</v>
      </c>
      <c r="AR1137">
        <f>1/(COUNT('Iter No Test'!$W$9:$W$5008)-1)+$AR$1136</f>
        <v>0.22684536907381958</v>
      </c>
    </row>
    <row r="1138" spans="22:44">
      <c r="V1138">
        <v>1130</v>
      </c>
      <c r="W1138">
        <v>183.9724570578243</v>
      </c>
      <c r="AQ1138">
        <f>SMALL('Iter No Test'!$W$9:$W$5008,1136)</f>
        <v>150.26261695067782</v>
      </c>
      <c r="AR1138">
        <f>1/(COUNT('Iter No Test'!$W$9:$W$5008)-1)+$AR$1137</f>
        <v>0.22704540908182119</v>
      </c>
    </row>
    <row r="1139" spans="22:44">
      <c r="V1139">
        <v>1131</v>
      </c>
      <c r="W1139">
        <v>223.5557805788597</v>
      </c>
      <c r="AQ1139">
        <f>SMALL('Iter No Test'!$W$9:$W$5008,1137)</f>
        <v>150.29208918178264</v>
      </c>
      <c r="AR1139">
        <f>1/(COUNT('Iter No Test'!$W$9:$W$5008)-1)+$AR$1138</f>
        <v>0.2272454490898228</v>
      </c>
    </row>
    <row r="1140" spans="22:44">
      <c r="V1140">
        <v>1132</v>
      </c>
      <c r="W1140">
        <v>270.31099278148326</v>
      </c>
      <c r="AQ1140">
        <f>SMALL('Iter No Test'!$W$9:$W$5008,1138)</f>
        <v>150.2983013908742</v>
      </c>
      <c r="AR1140">
        <f>1/(COUNT('Iter No Test'!$W$9:$W$5008)-1)+$AR$1139</f>
        <v>0.22744548909782442</v>
      </c>
    </row>
    <row r="1141" spans="22:44">
      <c r="V1141">
        <v>1133</v>
      </c>
      <c r="W1141">
        <v>68.077379186529811</v>
      </c>
      <c r="AQ1141">
        <f>SMALL('Iter No Test'!$W$9:$W$5008,1139)</f>
        <v>150.29963703382197</v>
      </c>
      <c r="AR1141">
        <f>1/(COUNT('Iter No Test'!$W$9:$W$5008)-1)+$AR$1140</f>
        <v>0.22764552910582603</v>
      </c>
    </row>
    <row r="1142" spans="22:44">
      <c r="V1142">
        <v>1134</v>
      </c>
      <c r="W1142">
        <v>309.89392492531755</v>
      </c>
      <c r="AQ1142">
        <f>SMALL('Iter No Test'!$W$9:$W$5008,1140)</f>
        <v>150.34348261171704</v>
      </c>
      <c r="AR1142">
        <f>1/(COUNT('Iter No Test'!$W$9:$W$5008)-1)+$AR$1141</f>
        <v>0.22784556911382764</v>
      </c>
    </row>
    <row r="1143" spans="22:44">
      <c r="V1143">
        <v>1135</v>
      </c>
      <c r="W1143">
        <v>162.60185603728914</v>
      </c>
      <c r="AQ1143">
        <f>SMALL('Iter No Test'!$W$9:$W$5008,1141)</f>
        <v>150.37813527762768</v>
      </c>
      <c r="AR1143">
        <f>1/(COUNT('Iter No Test'!$W$9:$W$5008)-1)+$AR$1142</f>
        <v>0.22804560912182925</v>
      </c>
    </row>
    <row r="1144" spans="22:44">
      <c r="V1144">
        <v>1136</v>
      </c>
      <c r="W1144">
        <v>250.84760993901054</v>
      </c>
      <c r="AQ1144">
        <f>SMALL('Iter No Test'!$W$9:$W$5008,1142)</f>
        <v>150.38803327057173</v>
      </c>
      <c r="AR1144">
        <f>1/(COUNT('Iter No Test'!$W$9:$W$5008)-1)+$AR$1143</f>
        <v>0.22824564912983086</v>
      </c>
    </row>
    <row r="1145" spans="22:44">
      <c r="V1145">
        <v>1137</v>
      </c>
      <c r="W1145">
        <v>87.16597146302621</v>
      </c>
      <c r="AQ1145">
        <f>SMALL('Iter No Test'!$W$9:$W$5008,1143)</f>
        <v>150.38911150214705</v>
      </c>
      <c r="AR1145">
        <f>1/(COUNT('Iter No Test'!$W$9:$W$5008)-1)+$AR$1144</f>
        <v>0.22844568913783247</v>
      </c>
    </row>
    <row r="1146" spans="22:44">
      <c r="V1146">
        <v>1138</v>
      </c>
      <c r="W1146">
        <v>306.32424989323965</v>
      </c>
      <c r="AQ1146">
        <f>SMALL('Iter No Test'!$W$9:$W$5008,1144)</f>
        <v>150.43126751023678</v>
      </c>
      <c r="AR1146">
        <f>1/(COUNT('Iter No Test'!$W$9:$W$5008)-1)+$AR$1145</f>
        <v>0.22864572914583409</v>
      </c>
    </row>
    <row r="1147" spans="22:44">
      <c r="V1147">
        <v>1139</v>
      </c>
      <c r="W1147">
        <v>324.90039743019008</v>
      </c>
      <c r="AQ1147">
        <f>SMALL('Iter No Test'!$W$9:$W$5008,1145)</f>
        <v>150.5761615848034</v>
      </c>
      <c r="AR1147">
        <f>1/(COUNT('Iter No Test'!$W$9:$W$5008)-1)+$AR$1146</f>
        <v>0.2288457691538357</v>
      </c>
    </row>
    <row r="1148" spans="22:44">
      <c r="V1148">
        <v>1140</v>
      </c>
      <c r="W1148">
        <v>267.64144767380162</v>
      </c>
      <c r="AQ1148">
        <f>SMALL('Iter No Test'!$W$9:$W$5008,1146)</f>
        <v>150.58536090684274</v>
      </c>
      <c r="AR1148">
        <f>1/(COUNT('Iter No Test'!$W$9:$W$5008)-1)+$AR$1147</f>
        <v>0.22904580916183731</v>
      </c>
    </row>
    <row r="1149" spans="22:44">
      <c r="V1149">
        <v>1141</v>
      </c>
      <c r="W1149">
        <v>162.78555784484567</v>
      </c>
      <c r="AQ1149">
        <f>SMALL('Iter No Test'!$W$9:$W$5008,1147)</f>
        <v>150.58708075688361</v>
      </c>
      <c r="AR1149">
        <f>1/(COUNT('Iter No Test'!$W$9:$W$5008)-1)+$AR$1148</f>
        <v>0.22924584916983892</v>
      </c>
    </row>
    <row r="1150" spans="22:44">
      <c r="V1150">
        <v>1142</v>
      </c>
      <c r="W1150">
        <v>182.33235340231158</v>
      </c>
      <c r="AQ1150">
        <f>SMALL('Iter No Test'!$W$9:$W$5008,1148)</f>
        <v>150.60108078403928</v>
      </c>
      <c r="AR1150">
        <f>1/(COUNT('Iter No Test'!$W$9:$W$5008)-1)+$AR$1149</f>
        <v>0.22944588917784053</v>
      </c>
    </row>
    <row r="1151" spans="22:44">
      <c r="V1151">
        <v>1143</v>
      </c>
      <c r="W1151">
        <v>273.18843215764298</v>
      </c>
      <c r="AQ1151">
        <f>SMALL('Iter No Test'!$W$9:$W$5008,1149)</f>
        <v>150.71225271622694</v>
      </c>
      <c r="AR1151">
        <f>1/(COUNT('Iter No Test'!$W$9:$W$5008)-1)+$AR$1150</f>
        <v>0.22964592918584215</v>
      </c>
    </row>
    <row r="1152" spans="22:44">
      <c r="V1152">
        <v>1144</v>
      </c>
      <c r="W1152">
        <v>266.55735645242947</v>
      </c>
      <c r="AQ1152">
        <f>SMALL('Iter No Test'!$W$9:$W$5008,1150)</f>
        <v>150.7378181977102</v>
      </c>
      <c r="AR1152">
        <f>1/(COUNT('Iter No Test'!$W$9:$W$5008)-1)+$AR$1151</f>
        <v>0.22984596919384376</v>
      </c>
    </row>
    <row r="1153" spans="22:44">
      <c r="V1153">
        <v>1145</v>
      </c>
      <c r="W1153">
        <v>100.34747726060705</v>
      </c>
      <c r="AQ1153">
        <f>SMALL('Iter No Test'!$W$9:$W$5008,1151)</f>
        <v>150.76231051738804</v>
      </c>
      <c r="AR1153">
        <f>1/(COUNT('Iter No Test'!$W$9:$W$5008)-1)+$AR$1152</f>
        <v>0.23004600920184537</v>
      </c>
    </row>
    <row r="1154" spans="22:44">
      <c r="V1154">
        <v>1146</v>
      </c>
      <c r="W1154">
        <v>258.22639969913882</v>
      </c>
      <c r="AQ1154">
        <f>SMALL('Iter No Test'!$W$9:$W$5008,1152)</f>
        <v>150.76806363802075</v>
      </c>
      <c r="AR1154">
        <f>1/(COUNT('Iter No Test'!$W$9:$W$5008)-1)+$AR$1153</f>
        <v>0.23024604920984698</v>
      </c>
    </row>
    <row r="1155" spans="22:44">
      <c r="V1155">
        <v>1147</v>
      </c>
      <c r="W1155">
        <v>183.3678596342657</v>
      </c>
      <c r="AQ1155">
        <f>SMALL('Iter No Test'!$W$9:$W$5008,1153)</f>
        <v>150.80093520234936</v>
      </c>
      <c r="AR1155">
        <f>1/(COUNT('Iter No Test'!$W$9:$W$5008)-1)+$AR$1154</f>
        <v>0.23044608921784859</v>
      </c>
    </row>
    <row r="1156" spans="22:44">
      <c r="V1156">
        <v>1148</v>
      </c>
      <c r="W1156">
        <v>197.74936992270872</v>
      </c>
      <c r="AQ1156">
        <f>SMALL('Iter No Test'!$W$9:$W$5008,1154)</f>
        <v>151.0422410808859</v>
      </c>
      <c r="AR1156">
        <f>1/(COUNT('Iter No Test'!$W$9:$W$5008)-1)+$AR$1155</f>
        <v>0.2306461292258502</v>
      </c>
    </row>
    <row r="1157" spans="22:44">
      <c r="V1157">
        <v>1149</v>
      </c>
      <c r="W1157">
        <v>252.27367290109859</v>
      </c>
      <c r="AQ1157">
        <f>SMALL('Iter No Test'!$W$9:$W$5008,1155)</f>
        <v>151.07464358964899</v>
      </c>
      <c r="AR1157">
        <f>1/(COUNT('Iter No Test'!$W$9:$W$5008)-1)+$AR$1156</f>
        <v>0.23084616923385182</v>
      </c>
    </row>
    <row r="1158" spans="22:44">
      <c r="V1158">
        <v>1150</v>
      </c>
      <c r="W1158">
        <v>188.68931643585088</v>
      </c>
      <c r="AQ1158">
        <f>SMALL('Iter No Test'!$W$9:$W$5008,1156)</f>
        <v>151.08057679455766</v>
      </c>
      <c r="AR1158">
        <f>1/(COUNT('Iter No Test'!$W$9:$W$5008)-1)+$AR$1157</f>
        <v>0.23104620924185343</v>
      </c>
    </row>
    <row r="1159" spans="22:44">
      <c r="V1159">
        <v>1151</v>
      </c>
      <c r="W1159">
        <v>5.2950238148514046</v>
      </c>
      <c r="AQ1159">
        <f>SMALL('Iter No Test'!$W$9:$W$5008,1157)</f>
        <v>151.10010381760952</v>
      </c>
      <c r="AR1159">
        <f>1/(COUNT('Iter No Test'!$W$9:$W$5008)-1)+$AR$1158</f>
        <v>0.23124624924985504</v>
      </c>
    </row>
    <row r="1160" spans="22:44">
      <c r="V1160">
        <v>1152</v>
      </c>
      <c r="W1160">
        <v>224.17567498094502</v>
      </c>
      <c r="AQ1160">
        <f>SMALL('Iter No Test'!$W$9:$W$5008,1158)</f>
        <v>151.10885661610143</v>
      </c>
      <c r="AR1160">
        <f>1/(COUNT('Iter No Test'!$W$9:$W$5008)-1)+$AR$1159</f>
        <v>0.23144628925785665</v>
      </c>
    </row>
    <row r="1161" spans="22:44">
      <c r="V1161">
        <v>1153</v>
      </c>
      <c r="W1161">
        <v>244.25260837450233</v>
      </c>
      <c r="AQ1161">
        <f>SMALL('Iter No Test'!$W$9:$W$5008,1159)</f>
        <v>151.12310555631319</v>
      </c>
      <c r="AR1161">
        <f>1/(COUNT('Iter No Test'!$W$9:$W$5008)-1)+$AR$1160</f>
        <v>0.23164632926585826</v>
      </c>
    </row>
    <row r="1162" spans="22:44">
      <c r="V1162">
        <v>1154</v>
      </c>
      <c r="W1162">
        <v>91.510736381278264</v>
      </c>
      <c r="AQ1162">
        <f>SMALL('Iter No Test'!$W$9:$W$5008,1160)</f>
        <v>151.15475168133497</v>
      </c>
      <c r="AR1162">
        <f>1/(COUNT('Iter No Test'!$W$9:$W$5008)-1)+$AR$1161</f>
        <v>0.23184636927385988</v>
      </c>
    </row>
    <row r="1163" spans="22:44">
      <c r="V1163">
        <v>1155</v>
      </c>
      <c r="W1163">
        <v>261.45631466853177</v>
      </c>
      <c r="AQ1163">
        <f>SMALL('Iter No Test'!$W$9:$W$5008,1161)</f>
        <v>151.24381916569592</v>
      </c>
      <c r="AR1163">
        <f>1/(COUNT('Iter No Test'!$W$9:$W$5008)-1)+$AR$1162</f>
        <v>0.23204640928186149</v>
      </c>
    </row>
    <row r="1164" spans="22:44">
      <c r="V1164">
        <v>1156</v>
      </c>
      <c r="W1164">
        <v>151.45279925836604</v>
      </c>
      <c r="AQ1164">
        <f>SMALL('Iter No Test'!$W$9:$W$5008,1162)</f>
        <v>151.31307932540687</v>
      </c>
      <c r="AR1164">
        <f>1/(COUNT('Iter No Test'!$W$9:$W$5008)-1)+$AR$1163</f>
        <v>0.2322464492898631</v>
      </c>
    </row>
    <row r="1165" spans="22:44">
      <c r="V1165">
        <v>1157</v>
      </c>
      <c r="W1165">
        <v>167.64598961134709</v>
      </c>
      <c r="AQ1165">
        <f>SMALL('Iter No Test'!$W$9:$W$5008,1163)</f>
        <v>151.32325055302638</v>
      </c>
      <c r="AR1165">
        <f>1/(COUNT('Iter No Test'!$W$9:$W$5008)-1)+$AR$1164</f>
        <v>0.23244648929786471</v>
      </c>
    </row>
    <row r="1166" spans="22:44">
      <c r="V1166">
        <v>1158</v>
      </c>
      <c r="W1166">
        <v>321.84346393455877</v>
      </c>
      <c r="AQ1166">
        <f>SMALL('Iter No Test'!$W$9:$W$5008,1164)</f>
        <v>151.33195371478598</v>
      </c>
      <c r="AR1166">
        <f>1/(COUNT('Iter No Test'!$W$9:$W$5008)-1)+$AR$1165</f>
        <v>0.23264652930586632</v>
      </c>
    </row>
    <row r="1167" spans="22:44">
      <c r="V1167">
        <v>1159</v>
      </c>
      <c r="W1167">
        <v>220.22796263631608</v>
      </c>
      <c r="AQ1167">
        <f>SMALL('Iter No Test'!$W$9:$W$5008,1165)</f>
        <v>151.45279925836604</v>
      </c>
      <c r="AR1167">
        <f>1/(COUNT('Iter No Test'!$W$9:$W$5008)-1)+$AR$1166</f>
        <v>0.23284656931386793</v>
      </c>
    </row>
    <row r="1168" spans="22:44">
      <c r="V1168">
        <v>1160</v>
      </c>
      <c r="W1168">
        <v>260.51522022502809</v>
      </c>
      <c r="AQ1168">
        <f>SMALL('Iter No Test'!$W$9:$W$5008,1166)</f>
        <v>151.48815223553731</v>
      </c>
      <c r="AR1168">
        <f>1/(COUNT('Iter No Test'!$W$9:$W$5008)-1)+$AR$1167</f>
        <v>0.23304660932186955</v>
      </c>
    </row>
    <row r="1169" spans="22:44">
      <c r="V1169">
        <v>1161</v>
      </c>
      <c r="W1169">
        <v>264.80988215162552</v>
      </c>
      <c r="AQ1169">
        <f>SMALL('Iter No Test'!$W$9:$W$5008,1167)</f>
        <v>151.52272570810027</v>
      </c>
      <c r="AR1169">
        <f>1/(COUNT('Iter No Test'!$W$9:$W$5008)-1)+$AR$1168</f>
        <v>0.23324664932987116</v>
      </c>
    </row>
    <row r="1170" spans="22:44">
      <c r="V1170">
        <v>1162</v>
      </c>
      <c r="W1170">
        <v>206.2065562849827</v>
      </c>
      <c r="AQ1170">
        <f>SMALL('Iter No Test'!$W$9:$W$5008,1168)</f>
        <v>151.57529200424932</v>
      </c>
      <c r="AR1170">
        <f>1/(COUNT('Iter No Test'!$W$9:$W$5008)-1)+$AR$1169</f>
        <v>0.23344668933787277</v>
      </c>
    </row>
    <row r="1171" spans="22:44">
      <c r="V1171">
        <v>1163</v>
      </c>
      <c r="W1171">
        <v>272.16791453597784</v>
      </c>
      <c r="AQ1171">
        <f>SMALL('Iter No Test'!$W$9:$W$5008,1169)</f>
        <v>151.66061571749478</v>
      </c>
      <c r="AR1171">
        <f>1/(COUNT('Iter No Test'!$W$9:$W$5008)-1)+$AR$1170</f>
        <v>0.23364672934587438</v>
      </c>
    </row>
    <row r="1172" spans="22:44">
      <c r="V1172">
        <v>1164</v>
      </c>
      <c r="W1172">
        <v>153.55636990449679</v>
      </c>
      <c r="AQ1172">
        <f>SMALL('Iter No Test'!$W$9:$W$5008,1170)</f>
        <v>151.72172391863407</v>
      </c>
      <c r="AR1172">
        <f>1/(COUNT('Iter No Test'!$W$9:$W$5008)-1)+$AR$1171</f>
        <v>0.23384676935387599</v>
      </c>
    </row>
    <row r="1173" spans="22:44">
      <c r="V1173">
        <v>1165</v>
      </c>
      <c r="W1173">
        <v>104.92492163826337</v>
      </c>
      <c r="AQ1173">
        <f>SMALL('Iter No Test'!$W$9:$W$5008,1171)</f>
        <v>151.86632877435352</v>
      </c>
      <c r="AR1173">
        <f>1/(COUNT('Iter No Test'!$W$9:$W$5008)-1)+$AR$1172</f>
        <v>0.23404680936187761</v>
      </c>
    </row>
    <row r="1174" spans="22:44">
      <c r="V1174">
        <v>1166</v>
      </c>
      <c r="W1174">
        <v>174.46105549722608</v>
      </c>
      <c r="AQ1174">
        <f>SMALL('Iter No Test'!$W$9:$W$5008,1172)</f>
        <v>151.92381709354686</v>
      </c>
      <c r="AR1174">
        <f>1/(COUNT('Iter No Test'!$W$9:$W$5008)-1)+$AR$1173</f>
        <v>0.23424684936987922</v>
      </c>
    </row>
    <row r="1175" spans="22:44">
      <c r="V1175">
        <v>1167</v>
      </c>
      <c r="W1175">
        <v>171.44706653045228</v>
      </c>
      <c r="AQ1175">
        <f>SMALL('Iter No Test'!$W$9:$W$5008,1173)</f>
        <v>152.065529611378</v>
      </c>
      <c r="AR1175">
        <f>1/(COUNT('Iter No Test'!$W$9:$W$5008)-1)+$AR$1174</f>
        <v>0.23444688937788083</v>
      </c>
    </row>
    <row r="1176" spans="22:44">
      <c r="V1176">
        <v>1168</v>
      </c>
      <c r="W1176">
        <v>187.01644994114847</v>
      </c>
      <c r="AQ1176">
        <f>SMALL('Iter No Test'!$W$9:$W$5008,1174)</f>
        <v>152.06970441128706</v>
      </c>
      <c r="AR1176">
        <f>1/(COUNT('Iter No Test'!$W$9:$W$5008)-1)+$AR$1175</f>
        <v>0.23464692938588244</v>
      </c>
    </row>
    <row r="1177" spans="22:44">
      <c r="V1177">
        <v>1169</v>
      </c>
      <c r="W1177">
        <v>179.35530303751744</v>
      </c>
      <c r="AQ1177">
        <f>SMALL('Iter No Test'!$W$9:$W$5008,1175)</f>
        <v>152.12764262231053</v>
      </c>
      <c r="AR1177">
        <f>1/(COUNT('Iter No Test'!$W$9:$W$5008)-1)+$AR$1176</f>
        <v>0.23484696939388405</v>
      </c>
    </row>
    <row r="1178" spans="22:44">
      <c r="V1178">
        <v>1170</v>
      </c>
      <c r="W1178">
        <v>249.24958241890096</v>
      </c>
      <c r="AQ1178">
        <f>SMALL('Iter No Test'!$W$9:$W$5008,1176)</f>
        <v>152.13072738490314</v>
      </c>
      <c r="AR1178">
        <f>1/(COUNT('Iter No Test'!$W$9:$W$5008)-1)+$AR$1177</f>
        <v>0.23504700940188566</v>
      </c>
    </row>
    <row r="1179" spans="22:44">
      <c r="V1179">
        <v>1171</v>
      </c>
      <c r="W1179">
        <v>226.87712726096612</v>
      </c>
      <c r="AQ1179">
        <f>SMALL('Iter No Test'!$W$9:$W$5008,1177)</f>
        <v>152.2933689889241</v>
      </c>
      <c r="AR1179">
        <f>1/(COUNT('Iter No Test'!$W$9:$W$5008)-1)+$AR$1178</f>
        <v>0.23524704940988728</v>
      </c>
    </row>
    <row r="1180" spans="22:44">
      <c r="V1180">
        <v>1172</v>
      </c>
      <c r="W1180">
        <v>182.50219998769055</v>
      </c>
      <c r="AQ1180">
        <f>SMALL('Iter No Test'!$W$9:$W$5008,1178)</f>
        <v>152.31059811980955</v>
      </c>
      <c r="AR1180">
        <f>1/(COUNT('Iter No Test'!$W$9:$W$5008)-1)+$AR$1179</f>
        <v>0.23544708941788889</v>
      </c>
    </row>
    <row r="1181" spans="22:44">
      <c r="V1181">
        <v>1173</v>
      </c>
      <c r="W1181">
        <v>83.362506230018255</v>
      </c>
      <c r="AQ1181">
        <f>SMALL('Iter No Test'!$W$9:$W$5008,1179)</f>
        <v>152.34948387801359</v>
      </c>
      <c r="AR1181">
        <f>1/(COUNT('Iter No Test'!$W$9:$W$5008)-1)+$AR$1180</f>
        <v>0.2356471294258905</v>
      </c>
    </row>
    <row r="1182" spans="22:44">
      <c r="V1182">
        <v>1174</v>
      </c>
      <c r="W1182">
        <v>144.66200030494613</v>
      </c>
      <c r="AQ1182">
        <f>SMALL('Iter No Test'!$W$9:$W$5008,1180)</f>
        <v>152.39294505169681</v>
      </c>
      <c r="AR1182">
        <f>1/(COUNT('Iter No Test'!$W$9:$W$5008)-1)+$AR$1181</f>
        <v>0.23584716943389211</v>
      </c>
    </row>
    <row r="1183" spans="22:44">
      <c r="V1183">
        <v>1175</v>
      </c>
      <c r="W1183">
        <v>162.24983593185101</v>
      </c>
      <c r="AQ1183">
        <f>SMALL('Iter No Test'!$W$9:$W$5008,1181)</f>
        <v>152.4004695688896</v>
      </c>
      <c r="AR1183">
        <f>1/(COUNT('Iter No Test'!$W$9:$W$5008)-1)+$AR$1182</f>
        <v>0.23604720944189372</v>
      </c>
    </row>
    <row r="1184" spans="22:44">
      <c r="V1184">
        <v>1176</v>
      </c>
      <c r="W1184">
        <v>209.34377697307613</v>
      </c>
      <c r="AQ1184">
        <f>SMALL('Iter No Test'!$W$9:$W$5008,1182)</f>
        <v>152.40754712341618</v>
      </c>
      <c r="AR1184">
        <f>1/(COUNT('Iter No Test'!$W$9:$W$5008)-1)+$AR$1183</f>
        <v>0.23624724944989534</v>
      </c>
    </row>
    <row r="1185" spans="22:44">
      <c r="V1185">
        <v>1177</v>
      </c>
      <c r="W1185">
        <v>195.52346889323823</v>
      </c>
      <c r="AQ1185">
        <f>SMALL('Iter No Test'!$W$9:$W$5008,1183)</f>
        <v>152.41052479442186</v>
      </c>
      <c r="AR1185">
        <f>1/(COUNT('Iter No Test'!$W$9:$W$5008)-1)+$AR$1184</f>
        <v>0.23644728945789695</v>
      </c>
    </row>
    <row r="1186" spans="22:44">
      <c r="V1186">
        <v>1178</v>
      </c>
      <c r="W1186">
        <v>169.33764197461937</v>
      </c>
      <c r="AQ1186">
        <f>SMALL('Iter No Test'!$W$9:$W$5008,1184)</f>
        <v>152.41851587086512</v>
      </c>
      <c r="AR1186">
        <f>1/(COUNT('Iter No Test'!$W$9:$W$5008)-1)+$AR$1185</f>
        <v>0.23664732946589856</v>
      </c>
    </row>
    <row r="1187" spans="22:44">
      <c r="V1187">
        <v>1179</v>
      </c>
      <c r="W1187">
        <v>239.7165755289175</v>
      </c>
      <c r="AQ1187">
        <f>SMALL('Iter No Test'!$W$9:$W$5008,1185)</f>
        <v>152.52358706406062</v>
      </c>
      <c r="AR1187">
        <f>1/(COUNT('Iter No Test'!$W$9:$W$5008)-1)+$AR$1186</f>
        <v>0.23684736947390017</v>
      </c>
    </row>
    <row r="1188" spans="22:44">
      <c r="V1188">
        <v>1180</v>
      </c>
      <c r="W1188">
        <v>205.64530500596254</v>
      </c>
      <c r="AQ1188">
        <f>SMALL('Iter No Test'!$W$9:$W$5008,1186)</f>
        <v>152.59865678144203</v>
      </c>
      <c r="AR1188">
        <f>1/(COUNT('Iter No Test'!$W$9:$W$5008)-1)+$AR$1187</f>
        <v>0.23704740948190178</v>
      </c>
    </row>
    <row r="1189" spans="22:44">
      <c r="V1189">
        <v>1181</v>
      </c>
      <c r="W1189">
        <v>225.21637658837213</v>
      </c>
      <c r="AQ1189">
        <f>SMALL('Iter No Test'!$W$9:$W$5008,1187)</f>
        <v>152.62225472522343</v>
      </c>
      <c r="AR1189">
        <f>1/(COUNT('Iter No Test'!$W$9:$W$5008)-1)+$AR$1188</f>
        <v>0.23724744948990339</v>
      </c>
    </row>
    <row r="1190" spans="22:44">
      <c r="V1190">
        <v>1182</v>
      </c>
      <c r="W1190">
        <v>250.0708334209331</v>
      </c>
      <c r="AQ1190">
        <f>SMALL('Iter No Test'!$W$9:$W$5008,1188)</f>
        <v>152.62684327668569</v>
      </c>
      <c r="AR1190">
        <f>1/(COUNT('Iter No Test'!$W$9:$W$5008)-1)+$AR$1189</f>
        <v>0.23744748949790501</v>
      </c>
    </row>
    <row r="1191" spans="22:44">
      <c r="V1191">
        <v>1183</v>
      </c>
      <c r="W1191">
        <v>184.43692966184858</v>
      </c>
      <c r="AQ1191">
        <f>SMALL('Iter No Test'!$W$9:$W$5008,1189)</f>
        <v>152.71645494684961</v>
      </c>
      <c r="AR1191">
        <f>1/(COUNT('Iter No Test'!$W$9:$W$5008)-1)+$AR$1190</f>
        <v>0.23764752950590662</v>
      </c>
    </row>
    <row r="1192" spans="22:44">
      <c r="V1192">
        <v>1184</v>
      </c>
      <c r="W1192">
        <v>182.61043886234035</v>
      </c>
      <c r="AQ1192">
        <f>SMALL('Iter No Test'!$W$9:$W$5008,1190)</f>
        <v>152.8064354906623</v>
      </c>
      <c r="AR1192">
        <f>1/(COUNT('Iter No Test'!$W$9:$W$5008)-1)+$AR$1191</f>
        <v>0.23784756951390823</v>
      </c>
    </row>
    <row r="1193" spans="22:44">
      <c r="V1193">
        <v>1185</v>
      </c>
      <c r="W1193">
        <v>284.37952487459307</v>
      </c>
      <c r="AQ1193">
        <f>SMALL('Iter No Test'!$W$9:$W$5008,1191)</f>
        <v>152.8225946619404</v>
      </c>
      <c r="AR1193">
        <f>1/(COUNT('Iter No Test'!$W$9:$W$5008)-1)+$AR$1192</f>
        <v>0.23804760952190984</v>
      </c>
    </row>
    <row r="1194" spans="22:44">
      <c r="V1194">
        <v>1186</v>
      </c>
      <c r="W1194">
        <v>292.45439511401247</v>
      </c>
      <c r="AQ1194">
        <f>SMALL('Iter No Test'!$W$9:$W$5008,1192)</f>
        <v>152.8586435653749</v>
      </c>
      <c r="AR1194">
        <f>1/(COUNT('Iter No Test'!$W$9:$W$5008)-1)+$AR$1193</f>
        <v>0.23824764952991145</v>
      </c>
    </row>
    <row r="1195" spans="22:44">
      <c r="V1195">
        <v>1187</v>
      </c>
      <c r="W1195">
        <v>98.705353433577002</v>
      </c>
      <c r="AQ1195">
        <f>SMALL('Iter No Test'!$W$9:$W$5008,1193)</f>
        <v>152.91844182631849</v>
      </c>
      <c r="AR1195">
        <f>1/(COUNT('Iter No Test'!$W$9:$W$5008)-1)+$AR$1194</f>
        <v>0.23844768953791307</v>
      </c>
    </row>
    <row r="1196" spans="22:44">
      <c r="V1196">
        <v>1188</v>
      </c>
      <c r="W1196">
        <v>207.04710311189808</v>
      </c>
      <c r="AQ1196">
        <f>SMALL('Iter No Test'!$W$9:$W$5008,1194)</f>
        <v>152.96736245342947</v>
      </c>
      <c r="AR1196">
        <f>1/(COUNT('Iter No Test'!$W$9:$W$5008)-1)+$AR$1195</f>
        <v>0.23864772954591468</v>
      </c>
    </row>
    <row r="1197" spans="22:44">
      <c r="V1197">
        <v>1189</v>
      </c>
      <c r="W1197">
        <v>246.30421877695059</v>
      </c>
      <c r="AQ1197">
        <f>SMALL('Iter No Test'!$W$9:$W$5008,1195)</f>
        <v>153.02053694842937</v>
      </c>
      <c r="AR1197">
        <f>1/(COUNT('Iter No Test'!$W$9:$W$5008)-1)+$AR$1196</f>
        <v>0.23884776955391629</v>
      </c>
    </row>
    <row r="1198" spans="22:44">
      <c r="V1198">
        <v>1190</v>
      </c>
      <c r="W1198">
        <v>83.217286004553912</v>
      </c>
      <c r="AQ1198">
        <f>SMALL('Iter No Test'!$W$9:$W$5008,1196)</f>
        <v>153.07487650108027</v>
      </c>
      <c r="AR1198">
        <f>1/(COUNT('Iter No Test'!$W$9:$W$5008)-1)+$AR$1197</f>
        <v>0.2390478095619179</v>
      </c>
    </row>
    <row r="1199" spans="22:44">
      <c r="V1199">
        <v>1191</v>
      </c>
      <c r="W1199">
        <v>250.72890984395065</v>
      </c>
      <c r="AQ1199">
        <f>SMALL('Iter No Test'!$W$9:$W$5008,1197)</f>
        <v>153.21351739755605</v>
      </c>
      <c r="AR1199">
        <f>1/(COUNT('Iter No Test'!$W$9:$W$5008)-1)+$AR$1198</f>
        <v>0.23924784956991951</v>
      </c>
    </row>
    <row r="1200" spans="22:44">
      <c r="V1200">
        <v>1192</v>
      </c>
      <c r="W1200">
        <v>84.860796110676489</v>
      </c>
      <c r="AQ1200">
        <f>SMALL('Iter No Test'!$W$9:$W$5008,1198)</f>
        <v>153.22493120126796</v>
      </c>
      <c r="AR1200">
        <f>1/(COUNT('Iter No Test'!$W$9:$W$5008)-1)+$AR$1199</f>
        <v>0.23944788957792112</v>
      </c>
    </row>
    <row r="1201" spans="22:44">
      <c r="V1201">
        <v>1193</v>
      </c>
      <c r="W1201">
        <v>129.67134366470654</v>
      </c>
      <c r="AQ1201">
        <f>SMALL('Iter No Test'!$W$9:$W$5008,1199)</f>
        <v>153.23691058346822</v>
      </c>
      <c r="AR1201">
        <f>1/(COUNT('Iter No Test'!$W$9:$W$5008)-1)+$AR$1200</f>
        <v>0.23964792958592274</v>
      </c>
    </row>
    <row r="1202" spans="22:44">
      <c r="V1202">
        <v>1194</v>
      </c>
      <c r="W1202">
        <v>280.49494940698855</v>
      </c>
      <c r="AQ1202">
        <f>SMALL('Iter No Test'!$W$9:$W$5008,1200)</f>
        <v>153.24680016464072</v>
      </c>
      <c r="AR1202">
        <f>1/(COUNT('Iter No Test'!$W$9:$W$5008)-1)+$AR$1201</f>
        <v>0.23984796959392435</v>
      </c>
    </row>
    <row r="1203" spans="22:44">
      <c r="V1203">
        <v>1195</v>
      </c>
      <c r="W1203">
        <v>288.80981689110831</v>
      </c>
      <c r="AQ1203">
        <f>SMALL('Iter No Test'!$W$9:$W$5008,1201)</f>
        <v>153.26344421159462</v>
      </c>
      <c r="AR1203">
        <f>1/(COUNT('Iter No Test'!$W$9:$W$5008)-1)+$AR$1202</f>
        <v>0.24004800960192596</v>
      </c>
    </row>
    <row r="1204" spans="22:44">
      <c r="V1204">
        <v>1196</v>
      </c>
      <c r="W1204">
        <v>135.19594078752309</v>
      </c>
      <c r="AQ1204">
        <f>SMALL('Iter No Test'!$W$9:$W$5008,1202)</f>
        <v>153.30553245729141</v>
      </c>
      <c r="AR1204">
        <f>1/(COUNT('Iter No Test'!$W$9:$W$5008)-1)+$AR$1203</f>
        <v>0.24024804960992757</v>
      </c>
    </row>
    <row r="1205" spans="22:44">
      <c r="V1205">
        <v>1197</v>
      </c>
      <c r="W1205">
        <v>317.01748009100641</v>
      </c>
      <c r="AQ1205">
        <f>SMALL('Iter No Test'!$W$9:$W$5008,1203)</f>
        <v>153.36411654647472</v>
      </c>
      <c r="AR1205">
        <f>1/(COUNT('Iter No Test'!$W$9:$W$5008)-1)+$AR$1204</f>
        <v>0.24044808961792918</v>
      </c>
    </row>
    <row r="1206" spans="22:44">
      <c r="V1206">
        <v>1198</v>
      </c>
      <c r="W1206">
        <v>261.57023492535632</v>
      </c>
      <c r="AQ1206">
        <f>SMALL('Iter No Test'!$W$9:$W$5008,1204)</f>
        <v>153.44481229735342</v>
      </c>
      <c r="AR1206">
        <f>1/(COUNT('Iter No Test'!$W$9:$W$5008)-1)+$AR$1205</f>
        <v>0.2406481296259308</v>
      </c>
    </row>
    <row r="1207" spans="22:44">
      <c r="V1207">
        <v>1199</v>
      </c>
      <c r="W1207">
        <v>96.624785273951446</v>
      </c>
      <c r="AQ1207">
        <f>SMALL('Iter No Test'!$W$9:$W$5008,1205)</f>
        <v>153.53485265178134</v>
      </c>
      <c r="AR1207">
        <f>1/(COUNT('Iter No Test'!$W$9:$W$5008)-1)+$AR$1206</f>
        <v>0.24084816963393241</v>
      </c>
    </row>
    <row r="1208" spans="22:44">
      <c r="V1208">
        <v>1200</v>
      </c>
      <c r="W1208">
        <v>237.12775566443787</v>
      </c>
      <c r="AQ1208">
        <f>SMALL('Iter No Test'!$W$9:$W$5008,1206)</f>
        <v>153.55533632390924</v>
      </c>
      <c r="AR1208">
        <f>1/(COUNT('Iter No Test'!$W$9:$W$5008)-1)+$AR$1207</f>
        <v>0.24104820964193402</v>
      </c>
    </row>
    <row r="1209" spans="22:44">
      <c r="V1209">
        <v>1201</v>
      </c>
      <c r="W1209">
        <v>168.38617814888309</v>
      </c>
      <c r="AQ1209">
        <f>SMALL('Iter No Test'!$W$9:$W$5008,1207)</f>
        <v>153.55636990449679</v>
      </c>
      <c r="AR1209">
        <f>1/(COUNT('Iter No Test'!$W$9:$W$5008)-1)+$AR$1208</f>
        <v>0.24124824964993563</v>
      </c>
    </row>
    <row r="1210" spans="22:44">
      <c r="V1210">
        <v>1202</v>
      </c>
      <c r="W1210">
        <v>304.7198286791081</v>
      </c>
      <c r="AQ1210">
        <f>SMALL('Iter No Test'!$W$9:$W$5008,1208)</f>
        <v>153.6109375082911</v>
      </c>
      <c r="AR1210">
        <f>1/(COUNT('Iter No Test'!$W$9:$W$5008)-1)+$AR$1209</f>
        <v>0.24144828965793724</v>
      </c>
    </row>
    <row r="1211" spans="22:44">
      <c r="V1211">
        <v>1203</v>
      </c>
      <c r="W1211">
        <v>247.01203330420381</v>
      </c>
      <c r="AQ1211">
        <f>SMALL('Iter No Test'!$W$9:$W$5008,1209)</f>
        <v>153.65541156902097</v>
      </c>
      <c r="AR1211">
        <f>1/(COUNT('Iter No Test'!$W$9:$W$5008)-1)+$AR$1210</f>
        <v>0.24164832966593885</v>
      </c>
    </row>
    <row r="1212" spans="22:44">
      <c r="V1212">
        <v>1204</v>
      </c>
      <c r="W1212">
        <v>103.01499605854937</v>
      </c>
      <c r="AQ1212">
        <f>SMALL('Iter No Test'!$W$9:$W$5008,1210)</f>
        <v>153.67376177372191</v>
      </c>
      <c r="AR1212">
        <f>1/(COUNT('Iter No Test'!$W$9:$W$5008)-1)+$AR$1211</f>
        <v>0.24184836967394047</v>
      </c>
    </row>
    <row r="1213" spans="22:44">
      <c r="V1213">
        <v>1205</v>
      </c>
      <c r="W1213">
        <v>307.04105549494585</v>
      </c>
      <c r="AQ1213">
        <f>SMALL('Iter No Test'!$W$9:$W$5008,1211)</f>
        <v>153.69722971872028</v>
      </c>
      <c r="AR1213">
        <f>1/(COUNT('Iter No Test'!$W$9:$W$5008)-1)+$AR$1212</f>
        <v>0.24204840968194208</v>
      </c>
    </row>
    <row r="1214" spans="22:44">
      <c r="V1214">
        <v>1206</v>
      </c>
      <c r="W1214">
        <v>181.81770509841783</v>
      </c>
      <c r="AQ1214">
        <f>SMALL('Iter No Test'!$W$9:$W$5008,1212)</f>
        <v>153.7624230950438</v>
      </c>
      <c r="AR1214">
        <f>1/(COUNT('Iter No Test'!$W$9:$W$5008)-1)+$AR$1213</f>
        <v>0.24224844968994369</v>
      </c>
    </row>
    <row r="1215" spans="22:44">
      <c r="V1215">
        <v>1207</v>
      </c>
      <c r="W1215">
        <v>313.33504394746262</v>
      </c>
      <c r="AQ1215">
        <f>SMALL('Iter No Test'!$W$9:$W$5008,1213)</f>
        <v>153.76485920248768</v>
      </c>
      <c r="AR1215">
        <f>1/(COUNT('Iter No Test'!$W$9:$W$5008)-1)+$AR$1214</f>
        <v>0.2424484896979453</v>
      </c>
    </row>
    <row r="1216" spans="22:44">
      <c r="V1216">
        <v>1208</v>
      </c>
      <c r="W1216">
        <v>269.00132732799693</v>
      </c>
      <c r="AQ1216">
        <f>SMALL('Iter No Test'!$W$9:$W$5008,1214)</f>
        <v>153.83746135390427</v>
      </c>
      <c r="AR1216">
        <f>1/(COUNT('Iter No Test'!$W$9:$W$5008)-1)+$AR$1215</f>
        <v>0.24264852970594691</v>
      </c>
    </row>
    <row r="1217" spans="22:44">
      <c r="V1217">
        <v>1209</v>
      </c>
      <c r="W1217">
        <v>167.98470439945112</v>
      </c>
      <c r="AQ1217">
        <f>SMALL('Iter No Test'!$W$9:$W$5008,1215)</f>
        <v>153.91725559954233</v>
      </c>
      <c r="AR1217">
        <f>1/(COUNT('Iter No Test'!$W$9:$W$5008)-1)+$AR$1216</f>
        <v>0.24284856971394853</v>
      </c>
    </row>
    <row r="1218" spans="22:44">
      <c r="V1218">
        <v>1210</v>
      </c>
      <c r="W1218">
        <v>295.56426947711475</v>
      </c>
      <c r="AQ1218">
        <f>SMALL('Iter No Test'!$W$9:$W$5008,1216)</f>
        <v>153.97657247334669</v>
      </c>
      <c r="AR1218">
        <f>1/(COUNT('Iter No Test'!$W$9:$W$5008)-1)+$AR$1217</f>
        <v>0.24304860972195014</v>
      </c>
    </row>
    <row r="1219" spans="22:44">
      <c r="V1219">
        <v>1211</v>
      </c>
      <c r="W1219">
        <v>44.980144343151068</v>
      </c>
      <c r="AQ1219">
        <f>SMALL('Iter No Test'!$W$9:$W$5008,1217)</f>
        <v>154.01307490529533</v>
      </c>
      <c r="AR1219">
        <f>1/(COUNT('Iter No Test'!$W$9:$W$5008)-1)+$AR$1218</f>
        <v>0.24324864972995175</v>
      </c>
    </row>
    <row r="1220" spans="22:44">
      <c r="V1220">
        <v>1212</v>
      </c>
      <c r="W1220">
        <v>84.736868367195626</v>
      </c>
      <c r="AQ1220">
        <f>SMALL('Iter No Test'!$W$9:$W$5008,1218)</f>
        <v>154.02338722080611</v>
      </c>
      <c r="AR1220">
        <f>1/(COUNT('Iter No Test'!$W$9:$W$5008)-1)+$AR$1219</f>
        <v>0.24344868973795336</v>
      </c>
    </row>
    <row r="1221" spans="22:44">
      <c r="V1221">
        <v>1213</v>
      </c>
      <c r="W1221">
        <v>164.6786708718231</v>
      </c>
      <c r="AQ1221">
        <f>SMALL('Iter No Test'!$W$9:$W$5008,1219)</f>
        <v>154.06486027513242</v>
      </c>
      <c r="AR1221">
        <f>1/(COUNT('Iter No Test'!$W$9:$W$5008)-1)+$AR$1220</f>
        <v>0.24364872974595497</v>
      </c>
    </row>
    <row r="1222" spans="22:44">
      <c r="V1222">
        <v>1214</v>
      </c>
      <c r="W1222">
        <v>309.52714466980228</v>
      </c>
      <c r="AQ1222">
        <f>SMALL('Iter No Test'!$W$9:$W$5008,1220)</f>
        <v>154.07856280068447</v>
      </c>
      <c r="AR1222">
        <f>1/(COUNT('Iter No Test'!$W$9:$W$5008)-1)+$AR$1221</f>
        <v>0.24384876975395658</v>
      </c>
    </row>
    <row r="1223" spans="22:44">
      <c r="V1223">
        <v>1215</v>
      </c>
      <c r="W1223">
        <v>401.22949461960496</v>
      </c>
      <c r="AQ1223">
        <f>SMALL('Iter No Test'!$W$9:$W$5008,1221)</f>
        <v>154.11049188666692</v>
      </c>
      <c r="AR1223">
        <f>1/(COUNT('Iter No Test'!$W$9:$W$5008)-1)+$AR$1222</f>
        <v>0.2440488097619582</v>
      </c>
    </row>
    <row r="1224" spans="22:44">
      <c r="V1224">
        <v>1216</v>
      </c>
      <c r="W1224">
        <v>236.63304769711263</v>
      </c>
      <c r="AQ1224">
        <f>SMALL('Iter No Test'!$W$9:$W$5008,1222)</f>
        <v>154.13725475026661</v>
      </c>
      <c r="AR1224">
        <f>1/(COUNT('Iter No Test'!$W$9:$W$5008)-1)+$AR$1223</f>
        <v>0.24424884976995981</v>
      </c>
    </row>
    <row r="1225" spans="22:44">
      <c r="V1225">
        <v>1217</v>
      </c>
      <c r="W1225">
        <v>156.30678219540599</v>
      </c>
      <c r="AQ1225">
        <f>SMALL('Iter No Test'!$W$9:$W$5008,1223)</f>
        <v>154.14553092290751</v>
      </c>
      <c r="AR1225">
        <f>1/(COUNT('Iter No Test'!$W$9:$W$5008)-1)+$AR$1224</f>
        <v>0.24444888977796142</v>
      </c>
    </row>
    <row r="1226" spans="22:44">
      <c r="V1226">
        <v>1218</v>
      </c>
      <c r="W1226">
        <v>115.69664741915423</v>
      </c>
      <c r="AQ1226">
        <f>SMALL('Iter No Test'!$W$9:$W$5008,1224)</f>
        <v>154.21922536849021</v>
      </c>
      <c r="AR1226">
        <f>1/(COUNT('Iter No Test'!$W$9:$W$5008)-1)+$AR$1225</f>
        <v>0.24464892978596303</v>
      </c>
    </row>
    <row r="1227" spans="22:44">
      <c r="V1227">
        <v>1219</v>
      </c>
      <c r="W1227">
        <v>142.87106904995636</v>
      </c>
      <c r="AQ1227">
        <f>SMALL('Iter No Test'!$W$9:$W$5008,1225)</f>
        <v>154.51951610412425</v>
      </c>
      <c r="AR1227">
        <f>1/(COUNT('Iter No Test'!$W$9:$W$5008)-1)+$AR$1226</f>
        <v>0.24484896979396464</v>
      </c>
    </row>
    <row r="1228" spans="22:44">
      <c r="V1228">
        <v>1220</v>
      </c>
      <c r="W1228">
        <v>231.88829491733819</v>
      </c>
      <c r="AQ1228">
        <f>SMALL('Iter No Test'!$W$9:$W$5008,1226)</f>
        <v>154.52355112261677</v>
      </c>
      <c r="AR1228">
        <f>1/(COUNT('Iter No Test'!$W$9:$W$5008)-1)+$AR$1227</f>
        <v>0.24504900980196626</v>
      </c>
    </row>
    <row r="1229" spans="22:44">
      <c r="V1229">
        <v>1221</v>
      </c>
      <c r="W1229">
        <v>356.0377573266062</v>
      </c>
      <c r="AQ1229">
        <f>SMALL('Iter No Test'!$W$9:$W$5008,1227)</f>
        <v>154.54023244386264</v>
      </c>
      <c r="AR1229">
        <f>1/(COUNT('Iter No Test'!$W$9:$W$5008)-1)+$AR$1228</f>
        <v>0.24524904980996787</v>
      </c>
    </row>
    <row r="1230" spans="22:44">
      <c r="V1230">
        <v>1222</v>
      </c>
      <c r="W1230">
        <v>293.38920130711369</v>
      </c>
      <c r="AQ1230">
        <f>SMALL('Iter No Test'!$W$9:$W$5008,1228)</f>
        <v>154.56380608313901</v>
      </c>
      <c r="AR1230">
        <f>1/(COUNT('Iter No Test'!$W$9:$W$5008)-1)+$AR$1229</f>
        <v>0.24544908981796948</v>
      </c>
    </row>
    <row r="1231" spans="22:44">
      <c r="V1231">
        <v>1223</v>
      </c>
      <c r="W1231">
        <v>168.42725079366335</v>
      </c>
      <c r="AQ1231">
        <f>SMALL('Iter No Test'!$W$9:$W$5008,1229)</f>
        <v>154.57595662976195</v>
      </c>
      <c r="AR1231">
        <f>1/(COUNT('Iter No Test'!$W$9:$W$5008)-1)+$AR$1230</f>
        <v>0.24564912982597109</v>
      </c>
    </row>
    <row r="1232" spans="22:44">
      <c r="V1232">
        <v>1224</v>
      </c>
      <c r="W1232">
        <v>166.73657075697059</v>
      </c>
      <c r="AQ1232">
        <f>SMALL('Iter No Test'!$W$9:$W$5008,1230)</f>
        <v>154.67905129334937</v>
      </c>
      <c r="AR1232">
        <f>1/(COUNT('Iter No Test'!$W$9:$W$5008)-1)+$AR$1231</f>
        <v>0.2458491698339727</v>
      </c>
    </row>
    <row r="1233" spans="22:44">
      <c r="V1233">
        <v>1225</v>
      </c>
      <c r="W1233">
        <v>415.01094208868722</v>
      </c>
      <c r="AQ1233">
        <f>SMALL('Iter No Test'!$W$9:$W$5008,1231)</f>
        <v>154.71031359689042</v>
      </c>
      <c r="AR1233">
        <f>1/(COUNT('Iter No Test'!$W$9:$W$5008)-1)+$AR$1232</f>
        <v>0.24604920984197431</v>
      </c>
    </row>
    <row r="1234" spans="22:44">
      <c r="V1234">
        <v>1226</v>
      </c>
      <c r="W1234">
        <v>409.63963821981702</v>
      </c>
      <c r="AQ1234">
        <f>SMALL('Iter No Test'!$W$9:$W$5008,1232)</f>
        <v>154.84080162918636</v>
      </c>
      <c r="AR1234">
        <f>1/(COUNT('Iter No Test'!$W$9:$W$5008)-1)+$AR$1233</f>
        <v>0.24624924984997593</v>
      </c>
    </row>
    <row r="1235" spans="22:44">
      <c r="V1235">
        <v>1227</v>
      </c>
      <c r="W1235">
        <v>207.63009109396751</v>
      </c>
      <c r="AQ1235">
        <f>SMALL('Iter No Test'!$W$9:$W$5008,1233)</f>
        <v>154.97856631532639</v>
      </c>
      <c r="AR1235">
        <f>1/(COUNT('Iter No Test'!$W$9:$W$5008)-1)+$AR$1234</f>
        <v>0.24644928985797754</v>
      </c>
    </row>
    <row r="1236" spans="22:44">
      <c r="V1236">
        <v>1228</v>
      </c>
      <c r="W1236">
        <v>141.08465385305215</v>
      </c>
      <c r="AQ1236">
        <f>SMALL('Iter No Test'!$W$9:$W$5008,1234)</f>
        <v>155.00711357357778</v>
      </c>
      <c r="AR1236">
        <f>1/(COUNT('Iter No Test'!$W$9:$W$5008)-1)+$AR$1235</f>
        <v>0.24664932986597915</v>
      </c>
    </row>
    <row r="1237" spans="22:44">
      <c r="V1237">
        <v>1229</v>
      </c>
      <c r="W1237">
        <v>298.44422661181619</v>
      </c>
      <c r="AQ1237">
        <f>SMALL('Iter No Test'!$W$9:$W$5008,1235)</f>
        <v>155.04177137928821</v>
      </c>
      <c r="AR1237">
        <f>1/(COUNT('Iter No Test'!$W$9:$W$5008)-1)+$AR$1236</f>
        <v>0.24684936987398076</v>
      </c>
    </row>
    <row r="1238" spans="22:44">
      <c r="V1238">
        <v>1230</v>
      </c>
      <c r="W1238">
        <v>258.69812054724787</v>
      </c>
      <c r="AQ1238">
        <f>SMALL('Iter No Test'!$W$9:$W$5008,1236)</f>
        <v>155.09754259914797</v>
      </c>
      <c r="AR1238">
        <f>1/(COUNT('Iter No Test'!$W$9:$W$5008)-1)+$AR$1237</f>
        <v>0.24704940988198237</v>
      </c>
    </row>
    <row r="1239" spans="22:44">
      <c r="V1239">
        <v>1231</v>
      </c>
      <c r="W1239">
        <v>211.12490056927899</v>
      </c>
      <c r="AQ1239">
        <f>SMALL('Iter No Test'!$W$9:$W$5008,1237)</f>
        <v>155.24478987261088</v>
      </c>
      <c r="AR1239">
        <f>1/(COUNT('Iter No Test'!$W$9:$W$5008)-1)+$AR$1238</f>
        <v>0.24724944988998399</v>
      </c>
    </row>
    <row r="1240" spans="22:44">
      <c r="V1240">
        <v>1232</v>
      </c>
      <c r="W1240">
        <v>326.75386499775345</v>
      </c>
      <c r="AQ1240">
        <f>SMALL('Iter No Test'!$W$9:$W$5008,1238)</f>
        <v>155.24792566174784</v>
      </c>
      <c r="AR1240">
        <f>1/(COUNT('Iter No Test'!$W$9:$W$5008)-1)+$AR$1239</f>
        <v>0.2474494898979856</v>
      </c>
    </row>
    <row r="1241" spans="22:44">
      <c r="V1241">
        <v>1233</v>
      </c>
      <c r="W1241">
        <v>209.69328048153432</v>
      </c>
      <c r="AQ1241">
        <f>SMALL('Iter No Test'!$W$9:$W$5008,1239)</f>
        <v>155.34693415380229</v>
      </c>
      <c r="AR1241">
        <f>1/(COUNT('Iter No Test'!$W$9:$W$5008)-1)+$AR$1240</f>
        <v>0.24764952990598721</v>
      </c>
    </row>
    <row r="1242" spans="22:44">
      <c r="V1242">
        <v>1234</v>
      </c>
      <c r="W1242">
        <v>220.4980241242788</v>
      </c>
      <c r="AQ1242">
        <f>SMALL('Iter No Test'!$W$9:$W$5008,1240)</f>
        <v>155.35514015193331</v>
      </c>
      <c r="AR1242">
        <f>1/(COUNT('Iter No Test'!$W$9:$W$5008)-1)+$AR$1241</f>
        <v>0.24784956991398882</v>
      </c>
    </row>
    <row r="1243" spans="22:44">
      <c r="V1243">
        <v>1235</v>
      </c>
      <c r="W1243">
        <v>155.09754259914797</v>
      </c>
      <c r="AQ1243">
        <f>SMALL('Iter No Test'!$W$9:$W$5008,1241)</f>
        <v>155.36017277642875</v>
      </c>
      <c r="AR1243">
        <f>1/(COUNT('Iter No Test'!$W$9:$W$5008)-1)+$AR$1242</f>
        <v>0.24804960992199043</v>
      </c>
    </row>
    <row r="1244" spans="22:44">
      <c r="V1244">
        <v>1236</v>
      </c>
      <c r="W1244">
        <v>251.46505074412454</v>
      </c>
      <c r="AQ1244">
        <f>SMALL('Iter No Test'!$W$9:$W$5008,1242)</f>
        <v>155.38413578694346</v>
      </c>
      <c r="AR1244">
        <f>1/(COUNT('Iter No Test'!$W$9:$W$5008)-1)+$AR$1243</f>
        <v>0.24824964992999204</v>
      </c>
    </row>
    <row r="1245" spans="22:44">
      <c r="V1245">
        <v>1237</v>
      </c>
      <c r="W1245">
        <v>313.74771900453356</v>
      </c>
      <c r="AQ1245">
        <f>SMALL('Iter No Test'!$W$9:$W$5008,1243)</f>
        <v>155.44231248032506</v>
      </c>
      <c r="AR1245">
        <f>1/(COUNT('Iter No Test'!$W$9:$W$5008)-1)+$AR$1244</f>
        <v>0.24844968993799366</v>
      </c>
    </row>
    <row r="1246" spans="22:44">
      <c r="V1246">
        <v>1238</v>
      </c>
      <c r="W1246">
        <v>133.1787566527978</v>
      </c>
      <c r="AQ1246">
        <f>SMALL('Iter No Test'!$W$9:$W$5008,1244)</f>
        <v>155.48465929947201</v>
      </c>
      <c r="AR1246">
        <f>1/(COUNT('Iter No Test'!$W$9:$W$5008)-1)+$AR$1245</f>
        <v>0.24864972994599527</v>
      </c>
    </row>
    <row r="1247" spans="22:44">
      <c r="V1247">
        <v>1239</v>
      </c>
      <c r="W1247">
        <v>281.92898362394237</v>
      </c>
      <c r="AQ1247">
        <f>SMALL('Iter No Test'!$W$9:$W$5008,1245)</f>
        <v>155.50877018321751</v>
      </c>
      <c r="AR1247">
        <f>1/(COUNT('Iter No Test'!$W$9:$W$5008)-1)+$AR$1246</f>
        <v>0.24884976995399688</v>
      </c>
    </row>
    <row r="1248" spans="22:44">
      <c r="V1248">
        <v>1240</v>
      </c>
      <c r="W1248">
        <v>283.67283938340131</v>
      </c>
      <c r="AQ1248">
        <f>SMALL('Iter No Test'!$W$9:$W$5008,1246)</f>
        <v>155.59551247795289</v>
      </c>
      <c r="AR1248">
        <f>1/(COUNT('Iter No Test'!$W$9:$W$5008)-1)+$AR$1247</f>
        <v>0.24904980996199849</v>
      </c>
    </row>
    <row r="1249" spans="22:44">
      <c r="V1249">
        <v>1241</v>
      </c>
      <c r="W1249">
        <v>143.02906590446605</v>
      </c>
      <c r="AQ1249">
        <f>SMALL('Iter No Test'!$W$9:$W$5008,1247)</f>
        <v>155.60126274549475</v>
      </c>
      <c r="AR1249">
        <f>1/(COUNT('Iter No Test'!$W$9:$W$5008)-1)+$AR$1248</f>
        <v>0.2492498499700001</v>
      </c>
    </row>
    <row r="1250" spans="22:44">
      <c r="V1250">
        <v>1242</v>
      </c>
      <c r="W1250">
        <v>304.8223418058223</v>
      </c>
      <c r="AQ1250">
        <f>SMALL('Iter No Test'!$W$9:$W$5008,1248)</f>
        <v>155.60233944224785</v>
      </c>
      <c r="AR1250">
        <f>1/(COUNT('Iter No Test'!$W$9:$W$5008)-1)+$AR$1249</f>
        <v>0.24944988997800172</v>
      </c>
    </row>
    <row r="1251" spans="22:44">
      <c r="V1251">
        <v>1243</v>
      </c>
      <c r="W1251">
        <v>316.97647036667519</v>
      </c>
      <c r="AQ1251">
        <f>SMALL('Iter No Test'!$W$9:$W$5008,1249)</f>
        <v>155.71151525535009</v>
      </c>
      <c r="AR1251">
        <f>1/(COUNT('Iter No Test'!$W$9:$W$5008)-1)+$AR$1250</f>
        <v>0.24964992998600333</v>
      </c>
    </row>
    <row r="1252" spans="22:44">
      <c r="V1252">
        <v>1244</v>
      </c>
      <c r="W1252">
        <v>169.43255734091733</v>
      </c>
      <c r="AQ1252">
        <f>SMALL('Iter No Test'!$W$9:$W$5008,1250)</f>
        <v>155.75921179882675</v>
      </c>
      <c r="AR1252">
        <f>1/(COUNT('Iter No Test'!$W$9:$W$5008)-1)+$AR$1251</f>
        <v>0.24984996999400494</v>
      </c>
    </row>
    <row r="1253" spans="22:44">
      <c r="V1253">
        <v>1245</v>
      </c>
      <c r="W1253">
        <v>329.84947527816325</v>
      </c>
      <c r="AQ1253">
        <f>SMALL('Iter No Test'!$W$9:$W$5008,1251)</f>
        <v>155.78274651278772</v>
      </c>
      <c r="AR1253">
        <f>1/(COUNT('Iter No Test'!$W$9:$W$5008)-1)+$AR$1252</f>
        <v>0.25005001000200655</v>
      </c>
    </row>
    <row r="1254" spans="22:44">
      <c r="V1254">
        <v>1246</v>
      </c>
      <c r="W1254">
        <v>259.49861995962124</v>
      </c>
      <c r="AQ1254">
        <f>SMALL('Iter No Test'!$W$9:$W$5008,1252)</f>
        <v>155.92097714345653</v>
      </c>
      <c r="AR1254">
        <f>1/(COUNT('Iter No Test'!$W$9:$W$5008)-1)+$AR$1253</f>
        <v>0.25025005001000816</v>
      </c>
    </row>
    <row r="1255" spans="22:44">
      <c r="V1255">
        <v>1247</v>
      </c>
      <c r="W1255">
        <v>50.51843626125499</v>
      </c>
      <c r="AQ1255">
        <f>SMALL('Iter No Test'!$W$9:$W$5008,1253)</f>
        <v>156.04074298298232</v>
      </c>
      <c r="AR1255">
        <f>1/(COUNT('Iter No Test'!$W$9:$W$5008)-1)+$AR$1254</f>
        <v>0.25045009001800977</v>
      </c>
    </row>
    <row r="1256" spans="22:44">
      <c r="V1256">
        <v>1248</v>
      </c>
      <c r="W1256">
        <v>310.31242083030349</v>
      </c>
      <c r="AQ1256">
        <f>SMALL('Iter No Test'!$W$9:$W$5008,1254)</f>
        <v>156.1075064032951</v>
      </c>
      <c r="AR1256">
        <f>1/(COUNT('Iter No Test'!$W$9:$W$5008)-1)+$AR$1255</f>
        <v>0.25065013002601139</v>
      </c>
    </row>
    <row r="1257" spans="22:44">
      <c r="V1257">
        <v>1249</v>
      </c>
      <c r="W1257">
        <v>331.88012738606415</v>
      </c>
      <c r="AQ1257">
        <f>SMALL('Iter No Test'!$W$9:$W$5008,1255)</f>
        <v>156.11265286915432</v>
      </c>
      <c r="AR1257">
        <f>1/(COUNT('Iter No Test'!$W$9:$W$5008)-1)+$AR$1256</f>
        <v>0.250850170034013</v>
      </c>
    </row>
    <row r="1258" spans="22:44">
      <c r="V1258">
        <v>1250</v>
      </c>
      <c r="W1258">
        <v>198.90505072299797</v>
      </c>
      <c r="AQ1258">
        <f>SMALL('Iter No Test'!$W$9:$W$5008,1256)</f>
        <v>156.17104454129577</v>
      </c>
      <c r="AR1258">
        <f>1/(COUNT('Iter No Test'!$W$9:$W$5008)-1)+$AR$1257</f>
        <v>0.25105021004201461</v>
      </c>
    </row>
    <row r="1259" spans="22:44">
      <c r="V1259">
        <v>1251</v>
      </c>
      <c r="W1259">
        <v>284.65895780330135</v>
      </c>
      <c r="AQ1259">
        <f>SMALL('Iter No Test'!$W$9:$W$5008,1257)</f>
        <v>156.20166052728436</v>
      </c>
      <c r="AR1259">
        <f>1/(COUNT('Iter No Test'!$W$9:$W$5008)-1)+$AR$1258</f>
        <v>0.25125025005001622</v>
      </c>
    </row>
    <row r="1260" spans="22:44">
      <c r="V1260">
        <v>1252</v>
      </c>
      <c r="W1260">
        <v>195.60659990863104</v>
      </c>
      <c r="AQ1260">
        <f>SMALL('Iter No Test'!$W$9:$W$5008,1258)</f>
        <v>156.30678219540599</v>
      </c>
      <c r="AR1260">
        <f>1/(COUNT('Iter No Test'!$W$9:$W$5008)-1)+$AR$1259</f>
        <v>0.25145029005801783</v>
      </c>
    </row>
    <row r="1261" spans="22:44">
      <c r="V1261">
        <v>1253</v>
      </c>
      <c r="W1261">
        <v>237.87442459226003</v>
      </c>
      <c r="AQ1261">
        <f>SMALL('Iter No Test'!$W$9:$W$5008,1259)</f>
        <v>156.3999395247051</v>
      </c>
      <c r="AR1261">
        <f>1/(COUNT('Iter No Test'!$W$9:$W$5008)-1)+$AR$1260</f>
        <v>0.25165033006601945</v>
      </c>
    </row>
    <row r="1262" spans="22:44">
      <c r="V1262">
        <v>1254</v>
      </c>
      <c r="W1262">
        <v>72.615683501220502</v>
      </c>
      <c r="AQ1262">
        <f>SMALL('Iter No Test'!$W$9:$W$5008,1260)</f>
        <v>156.4548232366817</v>
      </c>
      <c r="AR1262">
        <f>1/(COUNT('Iter No Test'!$W$9:$W$5008)-1)+$AR$1261</f>
        <v>0.25185037007402106</v>
      </c>
    </row>
    <row r="1263" spans="22:44">
      <c r="V1263">
        <v>1255</v>
      </c>
      <c r="W1263">
        <v>255.12661993499387</v>
      </c>
      <c r="AQ1263">
        <f>SMALL('Iter No Test'!$W$9:$W$5008,1261)</f>
        <v>156.4625609785993</v>
      </c>
      <c r="AR1263">
        <f>1/(COUNT('Iter No Test'!$W$9:$W$5008)-1)+$AR$1262</f>
        <v>0.25205041008202267</v>
      </c>
    </row>
    <row r="1264" spans="22:44">
      <c r="V1264">
        <v>1256</v>
      </c>
      <c r="W1264">
        <v>241.95958009928708</v>
      </c>
      <c r="AQ1264">
        <f>SMALL('Iter No Test'!$W$9:$W$5008,1262)</f>
        <v>156.47614317218176</v>
      </c>
      <c r="AR1264">
        <f>1/(COUNT('Iter No Test'!$W$9:$W$5008)-1)+$AR$1263</f>
        <v>0.25225045009002428</v>
      </c>
    </row>
    <row r="1265" spans="22:44">
      <c r="V1265">
        <v>1257</v>
      </c>
      <c r="W1265">
        <v>96.461577598915383</v>
      </c>
      <c r="AQ1265">
        <f>SMALL('Iter No Test'!$W$9:$W$5008,1263)</f>
        <v>156.48730268573121</v>
      </c>
      <c r="AR1265">
        <f>1/(COUNT('Iter No Test'!$W$9:$W$5008)-1)+$AR$1264</f>
        <v>0.25245049009802589</v>
      </c>
    </row>
    <row r="1266" spans="22:44">
      <c r="V1266">
        <v>1258</v>
      </c>
      <c r="W1266">
        <v>273.00303926612827</v>
      </c>
      <c r="AQ1266">
        <f>SMALL('Iter No Test'!$W$9:$W$5008,1264)</f>
        <v>156.49302186518599</v>
      </c>
      <c r="AR1266">
        <f>1/(COUNT('Iter No Test'!$W$9:$W$5008)-1)+$AR$1265</f>
        <v>0.2526505301060275</v>
      </c>
    </row>
    <row r="1267" spans="22:44">
      <c r="V1267">
        <v>1259</v>
      </c>
      <c r="W1267">
        <v>291.22774080057638</v>
      </c>
      <c r="AQ1267">
        <f>SMALL('Iter No Test'!$W$9:$W$5008,1265)</f>
        <v>156.51533451004337</v>
      </c>
      <c r="AR1267">
        <f>1/(COUNT('Iter No Test'!$W$9:$W$5008)-1)+$AR$1266</f>
        <v>0.25285057011402912</v>
      </c>
    </row>
    <row r="1268" spans="22:44">
      <c r="V1268">
        <v>1260</v>
      </c>
      <c r="W1268">
        <v>192.21268797215649</v>
      </c>
      <c r="AQ1268">
        <f>SMALL('Iter No Test'!$W$9:$W$5008,1266)</f>
        <v>156.57114057954249</v>
      </c>
      <c r="AR1268">
        <f>1/(COUNT('Iter No Test'!$W$9:$W$5008)-1)+$AR$1267</f>
        <v>0.25305061012203073</v>
      </c>
    </row>
    <row r="1269" spans="22:44">
      <c r="V1269">
        <v>1261</v>
      </c>
      <c r="W1269">
        <v>132.86536398698826</v>
      </c>
      <c r="AQ1269">
        <f>SMALL('Iter No Test'!$W$9:$W$5008,1267)</f>
        <v>156.58170567134101</v>
      </c>
      <c r="AR1269">
        <f>1/(COUNT('Iter No Test'!$W$9:$W$5008)-1)+$AR$1268</f>
        <v>0.25325065013003234</v>
      </c>
    </row>
    <row r="1270" spans="22:44">
      <c r="V1270">
        <v>1262</v>
      </c>
      <c r="W1270">
        <v>231.14971972091763</v>
      </c>
      <c r="AQ1270">
        <f>SMALL('Iter No Test'!$W$9:$W$5008,1268)</f>
        <v>156.59599467375855</v>
      </c>
      <c r="AR1270">
        <f>1/(COUNT('Iter No Test'!$W$9:$W$5008)-1)+$AR$1269</f>
        <v>0.25345069013803395</v>
      </c>
    </row>
    <row r="1271" spans="22:44">
      <c r="V1271">
        <v>1263</v>
      </c>
      <c r="W1271">
        <v>138.73290530452601</v>
      </c>
      <c r="AQ1271">
        <f>SMALL('Iter No Test'!$W$9:$W$5008,1269)</f>
        <v>156.63763325954002</v>
      </c>
      <c r="AR1271">
        <f>1/(COUNT('Iter No Test'!$W$9:$W$5008)-1)+$AR$1270</f>
        <v>0.25365073014603556</v>
      </c>
    </row>
    <row r="1272" spans="22:44">
      <c r="V1272">
        <v>1264</v>
      </c>
      <c r="W1272">
        <v>201.38149860200514</v>
      </c>
      <c r="AQ1272">
        <f>SMALL('Iter No Test'!$W$9:$W$5008,1270)</f>
        <v>156.65205451555076</v>
      </c>
      <c r="AR1272">
        <f>1/(COUNT('Iter No Test'!$W$9:$W$5008)-1)+$AR$1271</f>
        <v>0.25385077015403718</v>
      </c>
    </row>
    <row r="1273" spans="22:44">
      <c r="V1273">
        <v>1265</v>
      </c>
      <c r="W1273">
        <v>294.82076562527823</v>
      </c>
      <c r="AQ1273">
        <f>SMALL('Iter No Test'!$W$9:$W$5008,1271)</f>
        <v>156.70838986620726</v>
      </c>
      <c r="AR1273">
        <f>1/(COUNT('Iter No Test'!$W$9:$W$5008)-1)+$AR$1272</f>
        <v>0.25405081016203879</v>
      </c>
    </row>
    <row r="1274" spans="22:44">
      <c r="V1274">
        <v>1266</v>
      </c>
      <c r="W1274">
        <v>233.39868085951795</v>
      </c>
      <c r="AQ1274">
        <f>SMALL('Iter No Test'!$W$9:$W$5008,1272)</f>
        <v>156.84108377342949</v>
      </c>
      <c r="AR1274">
        <f>1/(COUNT('Iter No Test'!$W$9:$W$5008)-1)+$AR$1273</f>
        <v>0.2542508501700404</v>
      </c>
    </row>
    <row r="1275" spans="22:44">
      <c r="V1275">
        <v>1267</v>
      </c>
      <c r="W1275">
        <v>37.49160340958116</v>
      </c>
      <c r="AQ1275">
        <f>SMALL('Iter No Test'!$W$9:$W$5008,1273)</f>
        <v>156.9597102119277</v>
      </c>
      <c r="AR1275">
        <f>1/(COUNT('Iter No Test'!$W$9:$W$5008)-1)+$AR$1274</f>
        <v>0.25445089017804201</v>
      </c>
    </row>
    <row r="1276" spans="22:44">
      <c r="V1276">
        <v>1268</v>
      </c>
      <c r="W1276">
        <v>303.36545216154741</v>
      </c>
      <c r="AQ1276">
        <f>SMALL('Iter No Test'!$W$9:$W$5008,1274)</f>
        <v>156.9803577763453</v>
      </c>
      <c r="AR1276">
        <f>1/(COUNT('Iter No Test'!$W$9:$W$5008)-1)+$AR$1275</f>
        <v>0.25465093018604362</v>
      </c>
    </row>
    <row r="1277" spans="22:44">
      <c r="V1277">
        <v>1269</v>
      </c>
      <c r="W1277">
        <v>368.41832271505177</v>
      </c>
      <c r="AQ1277">
        <f>SMALL('Iter No Test'!$W$9:$W$5008,1275)</f>
        <v>157.00024147527742</v>
      </c>
      <c r="AR1277">
        <f>1/(COUNT('Iter No Test'!$W$9:$W$5008)-1)+$AR$1276</f>
        <v>0.25485097019404523</v>
      </c>
    </row>
    <row r="1278" spans="22:44">
      <c r="V1278">
        <v>1270</v>
      </c>
      <c r="W1278">
        <v>221.68981946654233</v>
      </c>
      <c r="AQ1278">
        <f>SMALL('Iter No Test'!$W$9:$W$5008,1276)</f>
        <v>157.00348956314971</v>
      </c>
      <c r="AR1278">
        <f>1/(COUNT('Iter No Test'!$W$9:$W$5008)-1)+$AR$1277</f>
        <v>0.25505101020204685</v>
      </c>
    </row>
    <row r="1279" spans="22:44">
      <c r="V1279">
        <v>1271</v>
      </c>
      <c r="W1279">
        <v>243.64816702028472</v>
      </c>
      <c r="AQ1279">
        <f>SMALL('Iter No Test'!$W$9:$W$5008,1277)</f>
        <v>157.01610448214163</v>
      </c>
      <c r="AR1279">
        <f>1/(COUNT('Iter No Test'!$W$9:$W$5008)-1)+$AR$1278</f>
        <v>0.25525105021004846</v>
      </c>
    </row>
    <row r="1280" spans="22:44">
      <c r="V1280">
        <v>1272</v>
      </c>
      <c r="W1280">
        <v>263.47939450108055</v>
      </c>
      <c r="AQ1280">
        <f>SMALL('Iter No Test'!$W$9:$W$5008,1278)</f>
        <v>157.05516678192953</v>
      </c>
      <c r="AR1280">
        <f>1/(COUNT('Iter No Test'!$W$9:$W$5008)-1)+$AR$1279</f>
        <v>0.25545109021805007</v>
      </c>
    </row>
    <row r="1281" spans="22:44">
      <c r="V1281">
        <v>1273</v>
      </c>
      <c r="W1281">
        <v>78.502617180320783</v>
      </c>
      <c r="AQ1281">
        <f>SMALL('Iter No Test'!$W$9:$W$5008,1279)</f>
        <v>157.06113506814816</v>
      </c>
      <c r="AR1281">
        <f>1/(COUNT('Iter No Test'!$W$9:$W$5008)-1)+$AR$1280</f>
        <v>0.25565113022605168</v>
      </c>
    </row>
    <row r="1282" spans="22:44">
      <c r="V1282">
        <v>1274</v>
      </c>
      <c r="W1282">
        <v>341.74391704314542</v>
      </c>
      <c r="AQ1282">
        <f>SMALL('Iter No Test'!$W$9:$W$5008,1280)</f>
        <v>157.08059792084561</v>
      </c>
      <c r="AR1282">
        <f>1/(COUNT('Iter No Test'!$W$9:$W$5008)-1)+$AR$1281</f>
        <v>0.25585117023405329</v>
      </c>
    </row>
    <row r="1283" spans="22:44">
      <c r="V1283">
        <v>1275</v>
      </c>
      <c r="W1283">
        <v>116.79301020558682</v>
      </c>
      <c r="AQ1283">
        <f>SMALL('Iter No Test'!$W$9:$W$5008,1281)</f>
        <v>157.1011756306138</v>
      </c>
      <c r="AR1283">
        <f>1/(COUNT('Iter No Test'!$W$9:$W$5008)-1)+$AR$1282</f>
        <v>0.25605121024205491</v>
      </c>
    </row>
    <row r="1284" spans="22:44">
      <c r="V1284">
        <v>1276</v>
      </c>
      <c r="W1284">
        <v>164.5269907214545</v>
      </c>
      <c r="AQ1284">
        <f>SMALL('Iter No Test'!$W$9:$W$5008,1282)</f>
        <v>157.13735147719791</v>
      </c>
      <c r="AR1284">
        <f>1/(COUNT('Iter No Test'!$W$9:$W$5008)-1)+$AR$1283</f>
        <v>0.25625125025005652</v>
      </c>
    </row>
    <row r="1285" spans="22:44">
      <c r="V1285">
        <v>1277</v>
      </c>
      <c r="W1285">
        <v>298.81501925207829</v>
      </c>
      <c r="AQ1285">
        <f>SMALL('Iter No Test'!$W$9:$W$5008,1283)</f>
        <v>157.2314516946135</v>
      </c>
      <c r="AR1285">
        <f>1/(COUNT('Iter No Test'!$W$9:$W$5008)-1)+$AR$1284</f>
        <v>0.25645129025805813</v>
      </c>
    </row>
    <row r="1286" spans="22:44">
      <c r="V1286">
        <v>1278</v>
      </c>
      <c r="W1286">
        <v>133.86462275618982</v>
      </c>
      <c r="AQ1286">
        <f>SMALL('Iter No Test'!$W$9:$W$5008,1284)</f>
        <v>157.23989379714152</v>
      </c>
      <c r="AR1286">
        <f>1/(COUNT('Iter No Test'!$W$9:$W$5008)-1)+$AR$1285</f>
        <v>0.25665133026605974</v>
      </c>
    </row>
    <row r="1287" spans="22:44">
      <c r="V1287">
        <v>1279</v>
      </c>
      <c r="W1287">
        <v>141.47127296007756</v>
      </c>
      <c r="AQ1287">
        <f>SMALL('Iter No Test'!$W$9:$W$5008,1285)</f>
        <v>157.2408366421285</v>
      </c>
      <c r="AR1287">
        <f>1/(COUNT('Iter No Test'!$W$9:$W$5008)-1)+$AR$1286</f>
        <v>0.25685137027406135</v>
      </c>
    </row>
    <row r="1288" spans="22:44">
      <c r="V1288">
        <v>1280</v>
      </c>
      <c r="W1288">
        <v>166.14776369001086</v>
      </c>
      <c r="AQ1288">
        <f>SMALL('Iter No Test'!$W$9:$W$5008,1286)</f>
        <v>157.25095749128732</v>
      </c>
      <c r="AR1288">
        <f>1/(COUNT('Iter No Test'!$W$9:$W$5008)-1)+$AR$1287</f>
        <v>0.25705141028206296</v>
      </c>
    </row>
    <row r="1289" spans="22:44">
      <c r="V1289">
        <v>1281</v>
      </c>
      <c r="W1289">
        <v>120.39535261262321</v>
      </c>
      <c r="AQ1289">
        <f>SMALL('Iter No Test'!$W$9:$W$5008,1287)</f>
        <v>157.27285618985573</v>
      </c>
      <c r="AR1289">
        <f>1/(COUNT('Iter No Test'!$W$9:$W$5008)-1)+$AR$1288</f>
        <v>0.25725145029006458</v>
      </c>
    </row>
    <row r="1290" spans="22:44">
      <c r="V1290">
        <v>1282</v>
      </c>
      <c r="W1290">
        <v>244.31133605403596</v>
      </c>
      <c r="AQ1290">
        <f>SMALL('Iter No Test'!$W$9:$W$5008,1288)</f>
        <v>157.32478134506184</v>
      </c>
      <c r="AR1290">
        <f>1/(COUNT('Iter No Test'!$W$9:$W$5008)-1)+$AR$1289</f>
        <v>0.25745149029806619</v>
      </c>
    </row>
    <row r="1291" spans="22:44">
      <c r="V1291">
        <v>1283</v>
      </c>
      <c r="W1291">
        <v>255.42192045198675</v>
      </c>
      <c r="AQ1291">
        <f>SMALL('Iter No Test'!$W$9:$W$5008,1289)</f>
        <v>157.330298971274</v>
      </c>
      <c r="AR1291">
        <f>1/(COUNT('Iter No Test'!$W$9:$W$5008)-1)+$AR$1290</f>
        <v>0.2576515303060678</v>
      </c>
    </row>
    <row r="1292" spans="22:44">
      <c r="V1292">
        <v>1284</v>
      </c>
      <c r="W1292">
        <v>424.80595235342548</v>
      </c>
      <c r="AQ1292">
        <f>SMALL('Iter No Test'!$W$9:$W$5008,1290)</f>
        <v>157.33238728873945</v>
      </c>
      <c r="AR1292">
        <f>1/(COUNT('Iter No Test'!$W$9:$W$5008)-1)+$AR$1291</f>
        <v>0.25785157031406941</v>
      </c>
    </row>
    <row r="1293" spans="22:44">
      <c r="V1293">
        <v>1285</v>
      </c>
      <c r="W1293">
        <v>251.76478651954241</v>
      </c>
      <c r="AQ1293">
        <f>SMALL('Iter No Test'!$W$9:$W$5008,1291)</f>
        <v>157.3631187788809</v>
      </c>
      <c r="AR1293">
        <f>1/(COUNT('Iter No Test'!$W$9:$W$5008)-1)+$AR$1292</f>
        <v>0.25805161032207102</v>
      </c>
    </row>
    <row r="1294" spans="22:44">
      <c r="V1294">
        <v>1286</v>
      </c>
      <c r="W1294">
        <v>129.98834731142921</v>
      </c>
      <c r="AQ1294">
        <f>SMALL('Iter No Test'!$W$9:$W$5008,1292)</f>
        <v>157.42672048867507</v>
      </c>
      <c r="AR1294">
        <f>1/(COUNT('Iter No Test'!$W$9:$W$5008)-1)+$AR$1293</f>
        <v>0.25825165033007264</v>
      </c>
    </row>
    <row r="1295" spans="22:44">
      <c r="V1295">
        <v>1287</v>
      </c>
      <c r="W1295">
        <v>156.9597102119277</v>
      </c>
      <c r="AQ1295">
        <f>SMALL('Iter No Test'!$W$9:$W$5008,1293)</f>
        <v>157.43595920057135</v>
      </c>
      <c r="AR1295">
        <f>1/(COUNT('Iter No Test'!$W$9:$W$5008)-1)+$AR$1294</f>
        <v>0.25845169033807425</v>
      </c>
    </row>
    <row r="1296" spans="22:44">
      <c r="V1296">
        <v>1288</v>
      </c>
      <c r="W1296">
        <v>96.001581505256553</v>
      </c>
      <c r="AQ1296">
        <f>SMALL('Iter No Test'!$W$9:$W$5008,1294)</f>
        <v>157.46168959198334</v>
      </c>
      <c r="AR1296">
        <f>1/(COUNT('Iter No Test'!$W$9:$W$5008)-1)+$AR$1295</f>
        <v>0.25865173034607586</v>
      </c>
    </row>
    <row r="1297" spans="22:44">
      <c r="V1297">
        <v>1289</v>
      </c>
      <c r="W1297">
        <v>407.1175638900126</v>
      </c>
      <c r="AQ1297">
        <f>SMALL('Iter No Test'!$W$9:$W$5008,1295)</f>
        <v>157.52039142829449</v>
      </c>
      <c r="AR1297">
        <f>1/(COUNT('Iter No Test'!$W$9:$W$5008)-1)+$AR$1296</f>
        <v>0.25885177035407747</v>
      </c>
    </row>
    <row r="1298" spans="22:44">
      <c r="V1298">
        <v>1290</v>
      </c>
      <c r="W1298">
        <v>347.43513552004424</v>
      </c>
      <c r="AQ1298">
        <f>SMALL('Iter No Test'!$W$9:$W$5008,1296)</f>
        <v>157.60388995087624</v>
      </c>
      <c r="AR1298">
        <f>1/(COUNT('Iter No Test'!$W$9:$W$5008)-1)+$AR$1297</f>
        <v>0.25905181036207908</v>
      </c>
    </row>
    <row r="1299" spans="22:44">
      <c r="V1299">
        <v>1291</v>
      </c>
      <c r="W1299">
        <v>141.91683364482395</v>
      </c>
      <c r="AQ1299">
        <f>SMALL('Iter No Test'!$W$9:$W$5008,1297)</f>
        <v>157.66698267701179</v>
      </c>
      <c r="AR1299">
        <f>1/(COUNT('Iter No Test'!$W$9:$W$5008)-1)+$AR$1298</f>
        <v>0.25925185037008069</v>
      </c>
    </row>
    <row r="1300" spans="22:44">
      <c r="V1300">
        <v>1292</v>
      </c>
      <c r="W1300">
        <v>341.99336060432302</v>
      </c>
      <c r="AQ1300">
        <f>SMALL('Iter No Test'!$W$9:$W$5008,1298)</f>
        <v>157.76859992249621</v>
      </c>
      <c r="AR1300">
        <f>1/(COUNT('Iter No Test'!$W$9:$W$5008)-1)+$AR$1299</f>
        <v>0.25945189037808231</v>
      </c>
    </row>
    <row r="1301" spans="22:44">
      <c r="V1301">
        <v>1293</v>
      </c>
      <c r="W1301">
        <v>290.23313161332777</v>
      </c>
      <c r="AQ1301">
        <f>SMALL('Iter No Test'!$W$9:$W$5008,1299)</f>
        <v>157.89819772086054</v>
      </c>
      <c r="AR1301">
        <f>1/(COUNT('Iter No Test'!$W$9:$W$5008)-1)+$AR$1300</f>
        <v>0.25965193038608392</v>
      </c>
    </row>
    <row r="1302" spans="22:44">
      <c r="V1302">
        <v>1294</v>
      </c>
      <c r="W1302">
        <v>152.31059811980955</v>
      </c>
      <c r="AQ1302">
        <f>SMALL('Iter No Test'!$W$9:$W$5008,1300)</f>
        <v>157.96355002882873</v>
      </c>
      <c r="AR1302">
        <f>1/(COUNT('Iter No Test'!$W$9:$W$5008)-1)+$AR$1301</f>
        <v>0.25985197039408553</v>
      </c>
    </row>
    <row r="1303" spans="22:44">
      <c r="V1303">
        <v>1295</v>
      </c>
      <c r="W1303">
        <v>187.99998717385554</v>
      </c>
      <c r="AQ1303">
        <f>SMALL('Iter No Test'!$W$9:$W$5008,1301)</f>
        <v>157.97107755499684</v>
      </c>
      <c r="AR1303">
        <f>1/(COUNT('Iter No Test'!$W$9:$W$5008)-1)+$AR$1302</f>
        <v>0.26005201040208714</v>
      </c>
    </row>
    <row r="1304" spans="22:44">
      <c r="V1304">
        <v>1296</v>
      </c>
      <c r="W1304">
        <v>198.21882259556634</v>
      </c>
      <c r="AQ1304">
        <f>SMALL('Iter No Test'!$W$9:$W$5008,1302)</f>
        <v>157.98382244606316</v>
      </c>
      <c r="AR1304">
        <f>1/(COUNT('Iter No Test'!$W$9:$W$5008)-1)+$AR$1303</f>
        <v>0.26025205041008875</v>
      </c>
    </row>
    <row r="1305" spans="22:44">
      <c r="V1305">
        <v>1297</v>
      </c>
      <c r="W1305">
        <v>332.31719570300385</v>
      </c>
      <c r="AQ1305">
        <f>SMALL('Iter No Test'!$W$9:$W$5008,1303)</f>
        <v>158.02532404843288</v>
      </c>
      <c r="AR1305">
        <f>1/(COUNT('Iter No Test'!$W$9:$W$5008)-1)+$AR$1304</f>
        <v>0.26045209041809037</v>
      </c>
    </row>
    <row r="1306" spans="22:44">
      <c r="V1306">
        <v>1298</v>
      </c>
      <c r="W1306">
        <v>233.43844273163043</v>
      </c>
      <c r="AQ1306">
        <f>SMALL('Iter No Test'!$W$9:$W$5008,1304)</f>
        <v>158.10127735748893</v>
      </c>
      <c r="AR1306">
        <f>1/(COUNT('Iter No Test'!$W$9:$W$5008)-1)+$AR$1305</f>
        <v>0.26065213042609198</v>
      </c>
    </row>
    <row r="1307" spans="22:44">
      <c r="V1307">
        <v>1299</v>
      </c>
      <c r="W1307">
        <v>223.40897946180789</v>
      </c>
      <c r="AQ1307">
        <f>SMALL('Iter No Test'!$W$9:$W$5008,1305)</f>
        <v>158.25442453856527</v>
      </c>
      <c r="AR1307">
        <f>1/(COUNT('Iter No Test'!$W$9:$W$5008)-1)+$AR$1306</f>
        <v>0.26085217043409359</v>
      </c>
    </row>
    <row r="1308" spans="22:44">
      <c r="V1308">
        <v>1300</v>
      </c>
      <c r="W1308">
        <v>316.54176154851916</v>
      </c>
      <c r="AQ1308">
        <f>SMALL('Iter No Test'!$W$9:$W$5008,1306)</f>
        <v>158.27570483127298</v>
      </c>
      <c r="AR1308">
        <f>1/(COUNT('Iter No Test'!$W$9:$W$5008)-1)+$AR$1307</f>
        <v>0.2610522104420952</v>
      </c>
    </row>
    <row r="1309" spans="22:44">
      <c r="V1309">
        <v>1301</v>
      </c>
      <c r="W1309">
        <v>210.45339906678493</v>
      </c>
      <c r="AQ1309">
        <f>SMALL('Iter No Test'!$W$9:$W$5008,1307)</f>
        <v>158.28816952210286</v>
      </c>
      <c r="AR1309">
        <f>1/(COUNT('Iter No Test'!$W$9:$W$5008)-1)+$AR$1308</f>
        <v>0.26125225045009681</v>
      </c>
    </row>
    <row r="1310" spans="22:44">
      <c r="V1310">
        <v>1302</v>
      </c>
      <c r="W1310">
        <v>253.0296687086429</v>
      </c>
      <c r="AQ1310">
        <f>SMALL('Iter No Test'!$W$9:$W$5008,1308)</f>
        <v>158.31667017166913</v>
      </c>
      <c r="AR1310">
        <f>1/(COUNT('Iter No Test'!$W$9:$W$5008)-1)+$AR$1309</f>
        <v>0.26145229045809842</v>
      </c>
    </row>
    <row r="1311" spans="22:44">
      <c r="V1311">
        <v>1303</v>
      </c>
      <c r="W1311">
        <v>430.75226894019386</v>
      </c>
      <c r="AQ1311">
        <f>SMALL('Iter No Test'!$W$9:$W$5008,1309)</f>
        <v>158.36505819651404</v>
      </c>
      <c r="AR1311">
        <f>1/(COUNT('Iter No Test'!$W$9:$W$5008)-1)+$AR$1310</f>
        <v>0.26165233046610004</v>
      </c>
    </row>
    <row r="1312" spans="22:44">
      <c r="V1312">
        <v>1304</v>
      </c>
      <c r="W1312">
        <v>189.06342331727575</v>
      </c>
      <c r="AQ1312">
        <f>SMALL('Iter No Test'!$W$9:$W$5008,1310)</f>
        <v>158.64980920182168</v>
      </c>
      <c r="AR1312">
        <f>1/(COUNT('Iter No Test'!$W$9:$W$5008)-1)+$AR$1311</f>
        <v>0.26185237047410165</v>
      </c>
    </row>
    <row r="1313" spans="22:44">
      <c r="V1313">
        <v>1305</v>
      </c>
      <c r="W1313">
        <v>323.35624064888106</v>
      </c>
      <c r="AQ1313">
        <f>SMALL('Iter No Test'!$W$9:$W$5008,1311)</f>
        <v>158.75420192328255</v>
      </c>
      <c r="AR1313">
        <f>1/(COUNT('Iter No Test'!$W$9:$W$5008)-1)+$AR$1312</f>
        <v>0.26205241048210326</v>
      </c>
    </row>
    <row r="1314" spans="22:44">
      <c r="V1314">
        <v>1306</v>
      </c>
      <c r="W1314">
        <v>275.49816174472755</v>
      </c>
      <c r="AQ1314">
        <f>SMALL('Iter No Test'!$W$9:$W$5008,1312)</f>
        <v>158.82915657670867</v>
      </c>
      <c r="AR1314">
        <f>1/(COUNT('Iter No Test'!$W$9:$W$5008)-1)+$AR$1313</f>
        <v>0.26225245049010487</v>
      </c>
    </row>
    <row r="1315" spans="22:44">
      <c r="V1315">
        <v>1307</v>
      </c>
      <c r="W1315">
        <v>263.65091581216245</v>
      </c>
      <c r="AQ1315">
        <f>SMALL('Iter No Test'!$W$9:$W$5008,1313)</f>
        <v>158.82977954093283</v>
      </c>
      <c r="AR1315">
        <f>1/(COUNT('Iter No Test'!$W$9:$W$5008)-1)+$AR$1314</f>
        <v>0.26245249049810648</v>
      </c>
    </row>
    <row r="1316" spans="22:44">
      <c r="V1316">
        <v>1308</v>
      </c>
      <c r="W1316">
        <v>184.92072714184681</v>
      </c>
      <c r="AQ1316">
        <f>SMALL('Iter No Test'!$W$9:$W$5008,1314)</f>
        <v>158.89619837218225</v>
      </c>
      <c r="AR1316">
        <f>1/(COUNT('Iter No Test'!$W$9:$W$5008)-1)+$AR$1315</f>
        <v>0.2626525305061081</v>
      </c>
    </row>
    <row r="1317" spans="22:44">
      <c r="V1317">
        <v>1309</v>
      </c>
      <c r="W1317">
        <v>343.90138151371104</v>
      </c>
      <c r="AQ1317">
        <f>SMALL('Iter No Test'!$W$9:$W$5008,1315)</f>
        <v>158.91934815314829</v>
      </c>
      <c r="AR1317">
        <f>1/(COUNT('Iter No Test'!$W$9:$W$5008)-1)+$AR$1316</f>
        <v>0.26285257051410971</v>
      </c>
    </row>
    <row r="1318" spans="22:44">
      <c r="V1318">
        <v>1310</v>
      </c>
      <c r="W1318">
        <v>210.49367036195034</v>
      </c>
      <c r="AQ1318">
        <f>SMALL('Iter No Test'!$W$9:$W$5008,1316)</f>
        <v>158.9458629587136</v>
      </c>
      <c r="AR1318">
        <f>1/(COUNT('Iter No Test'!$W$9:$W$5008)-1)+$AR$1317</f>
        <v>0.26305261052211132</v>
      </c>
    </row>
    <row r="1319" spans="22:44">
      <c r="V1319">
        <v>1311</v>
      </c>
      <c r="W1319">
        <v>171.64356947495446</v>
      </c>
      <c r="AQ1319">
        <f>SMALL('Iter No Test'!$W$9:$W$5008,1317)</f>
        <v>158.95465124765104</v>
      </c>
      <c r="AR1319">
        <f>1/(COUNT('Iter No Test'!$W$9:$W$5008)-1)+$AR$1318</f>
        <v>0.26325265053011293</v>
      </c>
    </row>
    <row r="1320" spans="22:44">
      <c r="V1320">
        <v>1312</v>
      </c>
      <c r="W1320">
        <v>304.58540267172054</v>
      </c>
      <c r="AQ1320">
        <f>SMALL('Iter No Test'!$W$9:$W$5008,1318)</f>
        <v>158.98555144153897</v>
      </c>
      <c r="AR1320">
        <f>1/(COUNT('Iter No Test'!$W$9:$W$5008)-1)+$AR$1319</f>
        <v>0.26345269053811454</v>
      </c>
    </row>
    <row r="1321" spans="22:44">
      <c r="V1321">
        <v>1313</v>
      </c>
      <c r="W1321">
        <v>176.84046574242225</v>
      </c>
      <c r="AQ1321">
        <f>SMALL('Iter No Test'!$W$9:$W$5008,1319)</f>
        <v>159.16185411037085</v>
      </c>
      <c r="AR1321">
        <f>1/(COUNT('Iter No Test'!$W$9:$W$5008)-1)+$AR$1320</f>
        <v>0.26365273054611615</v>
      </c>
    </row>
    <row r="1322" spans="22:44">
      <c r="V1322">
        <v>1314</v>
      </c>
      <c r="W1322">
        <v>243.87299168356731</v>
      </c>
      <c r="AQ1322">
        <f>SMALL('Iter No Test'!$W$9:$W$5008,1320)</f>
        <v>159.16613266628249</v>
      </c>
      <c r="AR1322">
        <f>1/(COUNT('Iter No Test'!$W$9:$W$5008)-1)+$AR$1321</f>
        <v>0.26385277055411777</v>
      </c>
    </row>
    <row r="1323" spans="22:44">
      <c r="V1323">
        <v>1315</v>
      </c>
      <c r="W1323">
        <v>443.7264177398838</v>
      </c>
      <c r="AQ1323">
        <f>SMALL('Iter No Test'!$W$9:$W$5008,1321)</f>
        <v>159.20562398914655</v>
      </c>
      <c r="AR1323">
        <f>1/(COUNT('Iter No Test'!$W$9:$W$5008)-1)+$AR$1322</f>
        <v>0.26405281056211938</v>
      </c>
    </row>
    <row r="1324" spans="22:44">
      <c r="V1324">
        <v>1316</v>
      </c>
      <c r="W1324">
        <v>216.04822310861587</v>
      </c>
      <c r="AQ1324">
        <f>SMALL('Iter No Test'!$W$9:$W$5008,1322)</f>
        <v>159.31459843050357</v>
      </c>
      <c r="AR1324">
        <f>1/(COUNT('Iter No Test'!$W$9:$W$5008)-1)+$AR$1323</f>
        <v>0.26425285057012099</v>
      </c>
    </row>
    <row r="1325" spans="22:44">
      <c r="V1325">
        <v>1317</v>
      </c>
      <c r="W1325">
        <v>255.27148892343257</v>
      </c>
      <c r="AQ1325">
        <f>SMALL('Iter No Test'!$W$9:$W$5008,1323)</f>
        <v>159.40868412588401</v>
      </c>
      <c r="AR1325">
        <f>1/(COUNT('Iter No Test'!$W$9:$W$5008)-1)+$AR$1324</f>
        <v>0.2644528905781226</v>
      </c>
    </row>
    <row r="1326" spans="22:44">
      <c r="V1326">
        <v>1318</v>
      </c>
      <c r="W1326">
        <v>451.27661541503693</v>
      </c>
      <c r="AQ1326">
        <f>SMALL('Iter No Test'!$W$9:$W$5008,1324)</f>
        <v>159.42406748305069</v>
      </c>
      <c r="AR1326">
        <f>1/(COUNT('Iter No Test'!$W$9:$W$5008)-1)+$AR$1325</f>
        <v>0.26465293058612421</v>
      </c>
    </row>
    <row r="1327" spans="22:44">
      <c r="V1327">
        <v>1319</v>
      </c>
      <c r="W1327">
        <v>205.00553875601184</v>
      </c>
      <c r="AQ1327">
        <f>SMALL('Iter No Test'!$W$9:$W$5008,1325)</f>
        <v>159.42524091382671</v>
      </c>
      <c r="AR1327">
        <f>1/(COUNT('Iter No Test'!$W$9:$W$5008)-1)+$AR$1326</f>
        <v>0.26485297059412582</v>
      </c>
    </row>
    <row r="1328" spans="22:44">
      <c r="V1328">
        <v>1320</v>
      </c>
      <c r="W1328">
        <v>156.11265286915432</v>
      </c>
      <c r="AQ1328">
        <f>SMALL('Iter No Test'!$W$9:$W$5008,1326)</f>
        <v>159.48126934645637</v>
      </c>
      <c r="AR1328">
        <f>1/(COUNT('Iter No Test'!$W$9:$W$5008)-1)+$AR$1327</f>
        <v>0.26505301060212744</v>
      </c>
    </row>
    <row r="1329" spans="22:44">
      <c r="V1329">
        <v>1321</v>
      </c>
      <c r="W1329">
        <v>124.68772290850349</v>
      </c>
      <c r="AQ1329">
        <f>SMALL('Iter No Test'!$W$9:$W$5008,1327)</f>
        <v>159.55413444282587</v>
      </c>
      <c r="AR1329">
        <f>1/(COUNT('Iter No Test'!$W$9:$W$5008)-1)+$AR$1328</f>
        <v>0.26525305061012905</v>
      </c>
    </row>
    <row r="1330" spans="22:44">
      <c r="V1330">
        <v>1322</v>
      </c>
      <c r="W1330">
        <v>170.87320485472583</v>
      </c>
      <c r="AQ1330">
        <f>SMALL('Iter No Test'!$W$9:$W$5008,1328)</f>
        <v>159.58781138564368</v>
      </c>
      <c r="AR1330">
        <f>1/(COUNT('Iter No Test'!$W$9:$W$5008)-1)+$AR$1329</f>
        <v>0.26545309061813066</v>
      </c>
    </row>
    <row r="1331" spans="22:44">
      <c r="V1331">
        <v>1323</v>
      </c>
      <c r="W1331">
        <v>383.20086379939085</v>
      </c>
      <c r="AQ1331">
        <f>SMALL('Iter No Test'!$W$9:$W$5008,1329)</f>
        <v>159.67491955384799</v>
      </c>
      <c r="AR1331">
        <f>1/(COUNT('Iter No Test'!$W$9:$W$5008)-1)+$AR$1330</f>
        <v>0.26565313062613227</v>
      </c>
    </row>
    <row r="1332" spans="22:44">
      <c r="V1332">
        <v>1324</v>
      </c>
      <c r="W1332">
        <v>209.3648721297568</v>
      </c>
      <c r="AQ1332">
        <f>SMALL('Iter No Test'!$W$9:$W$5008,1330)</f>
        <v>159.71995136097445</v>
      </c>
      <c r="AR1332">
        <f>1/(COUNT('Iter No Test'!$W$9:$W$5008)-1)+$AR$1331</f>
        <v>0.26585317063413388</v>
      </c>
    </row>
    <row r="1333" spans="22:44">
      <c r="V1333">
        <v>1325</v>
      </c>
      <c r="W1333">
        <v>233.24420799789334</v>
      </c>
      <c r="AQ1333">
        <f>SMALL('Iter No Test'!$W$9:$W$5008,1331)</f>
        <v>159.72139334164592</v>
      </c>
      <c r="AR1333">
        <f>1/(COUNT('Iter No Test'!$W$9:$W$5008)-1)+$AR$1332</f>
        <v>0.2660532106421355</v>
      </c>
    </row>
    <row r="1334" spans="22:44">
      <c r="V1334">
        <v>1326</v>
      </c>
      <c r="W1334">
        <v>192.17710738466724</v>
      </c>
      <c r="AQ1334">
        <f>SMALL('Iter No Test'!$W$9:$W$5008,1332)</f>
        <v>159.78466305383631</v>
      </c>
      <c r="AR1334">
        <f>1/(COUNT('Iter No Test'!$W$9:$W$5008)-1)+$AR$1333</f>
        <v>0.26625325065013711</v>
      </c>
    </row>
    <row r="1335" spans="22:44">
      <c r="V1335">
        <v>1327</v>
      </c>
      <c r="W1335">
        <v>247.20191920758589</v>
      </c>
      <c r="AQ1335">
        <f>SMALL('Iter No Test'!$W$9:$W$5008,1333)</f>
        <v>159.79148993733708</v>
      </c>
      <c r="AR1335">
        <f>1/(COUNT('Iter No Test'!$W$9:$W$5008)-1)+$AR$1334</f>
        <v>0.26645329065813872</v>
      </c>
    </row>
    <row r="1336" spans="22:44">
      <c r="V1336">
        <v>1328</v>
      </c>
      <c r="W1336">
        <v>358.67609359039989</v>
      </c>
      <c r="AQ1336">
        <f>SMALL('Iter No Test'!$W$9:$W$5008,1334)</f>
        <v>159.89482984387391</v>
      </c>
      <c r="AR1336">
        <f>1/(COUNT('Iter No Test'!$W$9:$W$5008)-1)+$AR$1335</f>
        <v>0.26665333066614033</v>
      </c>
    </row>
    <row r="1337" spans="22:44">
      <c r="V1337">
        <v>1329</v>
      </c>
      <c r="W1337">
        <v>244.77285778616411</v>
      </c>
      <c r="AQ1337">
        <f>SMALL('Iter No Test'!$W$9:$W$5008,1335)</f>
        <v>159.98955680393794</v>
      </c>
      <c r="AR1337">
        <f>1/(COUNT('Iter No Test'!$W$9:$W$5008)-1)+$AR$1336</f>
        <v>0.26685337067414194</v>
      </c>
    </row>
    <row r="1338" spans="22:44">
      <c r="V1338">
        <v>1330</v>
      </c>
      <c r="W1338">
        <v>106.71668518870302</v>
      </c>
      <c r="AQ1338">
        <f>SMALL('Iter No Test'!$W$9:$W$5008,1336)</f>
        <v>160.03005863746728</v>
      </c>
      <c r="AR1338">
        <f>1/(COUNT('Iter No Test'!$W$9:$W$5008)-1)+$AR$1337</f>
        <v>0.26705341068214355</v>
      </c>
    </row>
    <row r="1339" spans="22:44">
      <c r="V1339">
        <v>1331</v>
      </c>
      <c r="W1339">
        <v>128.97347045310585</v>
      </c>
      <c r="AQ1339">
        <f>SMALL('Iter No Test'!$W$9:$W$5008,1337)</f>
        <v>160.09522872472127</v>
      </c>
      <c r="AR1339">
        <f>1/(COUNT('Iter No Test'!$W$9:$W$5008)-1)+$AR$1338</f>
        <v>0.26725345069014517</v>
      </c>
    </row>
    <row r="1340" spans="22:44">
      <c r="V1340">
        <v>1332</v>
      </c>
      <c r="W1340">
        <v>179.93399294648142</v>
      </c>
      <c r="AQ1340">
        <f>SMALL('Iter No Test'!$W$9:$W$5008,1338)</f>
        <v>160.13992470890707</v>
      </c>
      <c r="AR1340">
        <f>1/(COUNT('Iter No Test'!$W$9:$W$5008)-1)+$AR$1339</f>
        <v>0.26745349069814678</v>
      </c>
    </row>
    <row r="1341" spans="22:44">
      <c r="V1341">
        <v>1333</v>
      </c>
      <c r="W1341">
        <v>218.64082202037045</v>
      </c>
      <c r="AQ1341">
        <f>SMALL('Iter No Test'!$W$9:$W$5008,1339)</f>
        <v>160.14952190541274</v>
      </c>
      <c r="AR1341">
        <f>1/(COUNT('Iter No Test'!$W$9:$W$5008)-1)+$AR$1340</f>
        <v>0.26765353070614839</v>
      </c>
    </row>
    <row r="1342" spans="22:44">
      <c r="V1342">
        <v>1334</v>
      </c>
      <c r="W1342">
        <v>261.65086233415082</v>
      </c>
      <c r="AQ1342">
        <f>SMALL('Iter No Test'!$W$9:$W$5008,1340)</f>
        <v>160.15179684631227</v>
      </c>
      <c r="AR1342">
        <f>1/(COUNT('Iter No Test'!$W$9:$W$5008)-1)+$AR$1341</f>
        <v>0.26785357071415</v>
      </c>
    </row>
    <row r="1343" spans="22:44">
      <c r="V1343">
        <v>1335</v>
      </c>
      <c r="W1343">
        <v>210.15392427285099</v>
      </c>
      <c r="AQ1343">
        <f>SMALL('Iter No Test'!$W$9:$W$5008,1341)</f>
        <v>160.16718678241799</v>
      </c>
      <c r="AR1343">
        <f>1/(COUNT('Iter No Test'!$W$9:$W$5008)-1)+$AR$1342</f>
        <v>0.26805361072215161</v>
      </c>
    </row>
    <row r="1344" spans="22:44">
      <c r="V1344">
        <v>1336</v>
      </c>
      <c r="W1344">
        <v>247.02189739093075</v>
      </c>
      <c r="AQ1344">
        <f>SMALL('Iter No Test'!$W$9:$W$5008,1342)</f>
        <v>160.21195152874762</v>
      </c>
      <c r="AR1344">
        <f>1/(COUNT('Iter No Test'!$W$9:$W$5008)-1)+$AR$1343</f>
        <v>0.26825365073015323</v>
      </c>
    </row>
    <row r="1345" spans="22:44">
      <c r="V1345">
        <v>1337</v>
      </c>
      <c r="W1345">
        <v>499.27931677355639</v>
      </c>
      <c r="AQ1345">
        <f>SMALL('Iter No Test'!$W$9:$W$5008,1343)</f>
        <v>160.22330924935306</v>
      </c>
      <c r="AR1345">
        <f>1/(COUNT('Iter No Test'!$W$9:$W$5008)-1)+$AR$1344</f>
        <v>0.26845369073815484</v>
      </c>
    </row>
    <row r="1346" spans="22:44">
      <c r="V1346">
        <v>1338</v>
      </c>
      <c r="W1346">
        <v>252.46398631897063</v>
      </c>
      <c r="AQ1346">
        <f>SMALL('Iter No Test'!$W$9:$W$5008,1344)</f>
        <v>160.22602690210286</v>
      </c>
      <c r="AR1346">
        <f>1/(COUNT('Iter No Test'!$W$9:$W$5008)-1)+$AR$1345</f>
        <v>0.26865373074615645</v>
      </c>
    </row>
    <row r="1347" spans="22:44">
      <c r="V1347">
        <v>1339</v>
      </c>
      <c r="W1347">
        <v>290.18730909057172</v>
      </c>
      <c r="AQ1347">
        <f>SMALL('Iter No Test'!$W$9:$W$5008,1345)</f>
        <v>160.27550418973874</v>
      </c>
      <c r="AR1347">
        <f>1/(COUNT('Iter No Test'!$W$9:$W$5008)-1)+$AR$1346</f>
        <v>0.26885377075415806</v>
      </c>
    </row>
    <row r="1348" spans="22:44">
      <c r="V1348">
        <v>1340</v>
      </c>
      <c r="W1348">
        <v>256.00832188165532</v>
      </c>
      <c r="AQ1348">
        <f>SMALL('Iter No Test'!$W$9:$W$5008,1346)</f>
        <v>160.31438320202096</v>
      </c>
      <c r="AR1348">
        <f>1/(COUNT('Iter No Test'!$W$9:$W$5008)-1)+$AR$1347</f>
        <v>0.26905381076215967</v>
      </c>
    </row>
    <row r="1349" spans="22:44">
      <c r="V1349">
        <v>1341</v>
      </c>
      <c r="W1349">
        <v>150.7378181977102</v>
      </c>
      <c r="AQ1349">
        <f>SMALL('Iter No Test'!$W$9:$W$5008,1347)</f>
        <v>160.32451532756184</v>
      </c>
      <c r="AR1349">
        <f>1/(COUNT('Iter No Test'!$W$9:$W$5008)-1)+$AR$1348</f>
        <v>0.26925385077016128</v>
      </c>
    </row>
    <row r="1350" spans="22:44">
      <c r="V1350">
        <v>1342</v>
      </c>
      <c r="W1350">
        <v>207.55131335757841</v>
      </c>
      <c r="AQ1350">
        <f>SMALL('Iter No Test'!$W$9:$W$5008,1348)</f>
        <v>160.34427210351765</v>
      </c>
      <c r="AR1350">
        <f>1/(COUNT('Iter No Test'!$W$9:$W$5008)-1)+$AR$1349</f>
        <v>0.2694538907781629</v>
      </c>
    </row>
    <row r="1351" spans="22:44">
      <c r="V1351">
        <v>1343</v>
      </c>
      <c r="W1351">
        <v>169.26928819052597</v>
      </c>
      <c r="AQ1351">
        <f>SMALL('Iter No Test'!$W$9:$W$5008,1349)</f>
        <v>160.3535423343979</v>
      </c>
      <c r="AR1351">
        <f>1/(COUNT('Iter No Test'!$W$9:$W$5008)-1)+$AR$1350</f>
        <v>0.26965393078616451</v>
      </c>
    </row>
    <row r="1352" spans="22:44">
      <c r="V1352">
        <v>1344</v>
      </c>
      <c r="W1352">
        <v>385.67863855754524</v>
      </c>
      <c r="AQ1352">
        <f>SMALL('Iter No Test'!$W$9:$W$5008,1350)</f>
        <v>160.37647746722132</v>
      </c>
      <c r="AR1352">
        <f>1/(COUNT('Iter No Test'!$W$9:$W$5008)-1)+$AR$1351</f>
        <v>0.26985397079416612</v>
      </c>
    </row>
    <row r="1353" spans="22:44">
      <c r="V1353">
        <v>1345</v>
      </c>
      <c r="W1353">
        <v>186.35041462107566</v>
      </c>
      <c r="AQ1353">
        <f>SMALL('Iter No Test'!$W$9:$W$5008,1351)</f>
        <v>160.40447345189676</v>
      </c>
      <c r="AR1353">
        <f>1/(COUNT('Iter No Test'!$W$9:$W$5008)-1)+$AR$1352</f>
        <v>0.27005401080216773</v>
      </c>
    </row>
    <row r="1354" spans="22:44">
      <c r="V1354">
        <v>1346</v>
      </c>
      <c r="W1354">
        <v>72.977950294915473</v>
      </c>
      <c r="AQ1354">
        <f>SMALL('Iter No Test'!$W$9:$W$5008,1352)</f>
        <v>160.40507286561515</v>
      </c>
      <c r="AR1354">
        <f>1/(COUNT('Iter No Test'!$W$9:$W$5008)-1)+$AR$1353</f>
        <v>0.27025405081016934</v>
      </c>
    </row>
    <row r="1355" spans="22:44">
      <c r="V1355">
        <v>1347</v>
      </c>
      <c r="W1355">
        <v>163.22766249022948</v>
      </c>
      <c r="AQ1355">
        <f>SMALL('Iter No Test'!$W$9:$W$5008,1353)</f>
        <v>160.45934419043448</v>
      </c>
      <c r="AR1355">
        <f>1/(COUNT('Iter No Test'!$W$9:$W$5008)-1)+$AR$1354</f>
        <v>0.27045409081817096</v>
      </c>
    </row>
    <row r="1356" spans="22:44">
      <c r="V1356">
        <v>1348</v>
      </c>
      <c r="W1356">
        <v>258.64764760886118</v>
      </c>
      <c r="AQ1356">
        <f>SMALL('Iter No Test'!$W$9:$W$5008,1354)</f>
        <v>160.52329657819433</v>
      </c>
      <c r="AR1356">
        <f>1/(COUNT('Iter No Test'!$W$9:$W$5008)-1)+$AR$1355</f>
        <v>0.27065413082617257</v>
      </c>
    </row>
    <row r="1357" spans="22:44">
      <c r="V1357">
        <v>1349</v>
      </c>
      <c r="W1357">
        <v>231.79721910615399</v>
      </c>
      <c r="AQ1357">
        <f>SMALL('Iter No Test'!$W$9:$W$5008,1355)</f>
        <v>160.52991983898727</v>
      </c>
      <c r="AR1357">
        <f>1/(COUNT('Iter No Test'!$W$9:$W$5008)-1)+$AR$1356</f>
        <v>0.27085417083417418</v>
      </c>
    </row>
    <row r="1358" spans="22:44">
      <c r="V1358">
        <v>1350</v>
      </c>
      <c r="W1358">
        <v>227.53690057933699</v>
      </c>
      <c r="AQ1358">
        <f>SMALL('Iter No Test'!$W$9:$W$5008,1356)</f>
        <v>160.54864709948245</v>
      </c>
      <c r="AR1358">
        <f>1/(COUNT('Iter No Test'!$W$9:$W$5008)-1)+$AR$1357</f>
        <v>0.27105421084217579</v>
      </c>
    </row>
    <row r="1359" spans="22:44">
      <c r="V1359">
        <v>1351</v>
      </c>
      <c r="W1359">
        <v>257.27212596270101</v>
      </c>
      <c r="AQ1359">
        <f>SMALL('Iter No Test'!$W$9:$W$5008,1357)</f>
        <v>160.54970223723839</v>
      </c>
      <c r="AR1359">
        <f>1/(COUNT('Iter No Test'!$W$9:$W$5008)-1)+$AR$1358</f>
        <v>0.2712542508501774</v>
      </c>
    </row>
    <row r="1360" spans="22:44">
      <c r="V1360">
        <v>1352</v>
      </c>
      <c r="W1360">
        <v>325.14299886365404</v>
      </c>
      <c r="AQ1360">
        <f>SMALL('Iter No Test'!$W$9:$W$5008,1358)</f>
        <v>160.55947846997543</v>
      </c>
      <c r="AR1360">
        <f>1/(COUNT('Iter No Test'!$W$9:$W$5008)-1)+$AR$1359</f>
        <v>0.27145429085817901</v>
      </c>
    </row>
    <row r="1361" spans="22:44">
      <c r="V1361">
        <v>1353</v>
      </c>
      <c r="W1361">
        <v>148.73686794869315</v>
      </c>
      <c r="AQ1361">
        <f>SMALL('Iter No Test'!$W$9:$W$5008,1359)</f>
        <v>160.56282064110434</v>
      </c>
      <c r="AR1361">
        <f>1/(COUNT('Iter No Test'!$W$9:$W$5008)-1)+$AR$1360</f>
        <v>0.27165433086618063</v>
      </c>
    </row>
    <row r="1362" spans="22:44">
      <c r="V1362">
        <v>1354</v>
      </c>
      <c r="W1362">
        <v>338.52220751687668</v>
      </c>
      <c r="AQ1362">
        <f>SMALL('Iter No Test'!$W$9:$W$5008,1360)</f>
        <v>160.59011400687311</v>
      </c>
      <c r="AR1362">
        <f>1/(COUNT('Iter No Test'!$W$9:$W$5008)-1)+$AR$1361</f>
        <v>0.27185437087418224</v>
      </c>
    </row>
    <row r="1363" spans="22:44">
      <c r="V1363">
        <v>1355</v>
      </c>
      <c r="W1363">
        <v>238.31393485810119</v>
      </c>
      <c r="AQ1363">
        <f>SMALL('Iter No Test'!$W$9:$W$5008,1361)</f>
        <v>160.60294350795385</v>
      </c>
      <c r="AR1363">
        <f>1/(COUNT('Iter No Test'!$W$9:$W$5008)-1)+$AR$1362</f>
        <v>0.27205441088218385</v>
      </c>
    </row>
    <row r="1364" spans="22:44">
      <c r="V1364">
        <v>1356</v>
      </c>
      <c r="W1364">
        <v>369.60581449423034</v>
      </c>
      <c r="AQ1364">
        <f>SMALL('Iter No Test'!$W$9:$W$5008,1362)</f>
        <v>160.62020251354028</v>
      </c>
      <c r="AR1364">
        <f>1/(COUNT('Iter No Test'!$W$9:$W$5008)-1)+$AR$1363</f>
        <v>0.27225445089018546</v>
      </c>
    </row>
    <row r="1365" spans="22:44">
      <c r="V1365">
        <v>1357</v>
      </c>
      <c r="W1365">
        <v>86.297157864775528</v>
      </c>
      <c r="AQ1365">
        <f>SMALL('Iter No Test'!$W$9:$W$5008,1363)</f>
        <v>160.63349542935237</v>
      </c>
      <c r="AR1365">
        <f>1/(COUNT('Iter No Test'!$W$9:$W$5008)-1)+$AR$1364</f>
        <v>0.27245449089818707</v>
      </c>
    </row>
    <row r="1366" spans="22:44">
      <c r="V1366">
        <v>1358</v>
      </c>
      <c r="W1366">
        <v>301.17182674779656</v>
      </c>
      <c r="AQ1366">
        <f>SMALL('Iter No Test'!$W$9:$W$5008,1364)</f>
        <v>160.63922961365265</v>
      </c>
      <c r="AR1366">
        <f>1/(COUNT('Iter No Test'!$W$9:$W$5008)-1)+$AR$1365</f>
        <v>0.27265453090618869</v>
      </c>
    </row>
    <row r="1367" spans="22:44">
      <c r="V1367">
        <v>1359</v>
      </c>
      <c r="W1367">
        <v>337.17991148777344</v>
      </c>
      <c r="AQ1367">
        <f>SMALL('Iter No Test'!$W$9:$W$5008,1365)</f>
        <v>160.67730717040845</v>
      </c>
      <c r="AR1367">
        <f>1/(COUNT('Iter No Test'!$W$9:$W$5008)-1)+$AR$1366</f>
        <v>0.2728545709141903</v>
      </c>
    </row>
    <row r="1368" spans="22:44">
      <c r="V1368">
        <v>1360</v>
      </c>
      <c r="W1368">
        <v>238.25084971031092</v>
      </c>
      <c r="AQ1368">
        <f>SMALL('Iter No Test'!$W$9:$W$5008,1366)</f>
        <v>160.72928892915169</v>
      </c>
      <c r="AR1368">
        <f>1/(COUNT('Iter No Test'!$W$9:$W$5008)-1)+$AR$1367</f>
        <v>0.27305461092219191</v>
      </c>
    </row>
    <row r="1369" spans="22:44">
      <c r="V1369">
        <v>1361</v>
      </c>
      <c r="W1369">
        <v>241.23603976241958</v>
      </c>
      <c r="AQ1369">
        <f>SMALL('Iter No Test'!$W$9:$W$5008,1367)</f>
        <v>160.75997634496184</v>
      </c>
      <c r="AR1369">
        <f>1/(COUNT('Iter No Test'!$W$9:$W$5008)-1)+$AR$1368</f>
        <v>0.27325465093019352</v>
      </c>
    </row>
    <row r="1370" spans="22:44">
      <c r="V1370">
        <v>1362</v>
      </c>
      <c r="W1370">
        <v>350.62361009815004</v>
      </c>
      <c r="AQ1370">
        <f>SMALL('Iter No Test'!$W$9:$W$5008,1368)</f>
        <v>160.90805678242947</v>
      </c>
      <c r="AR1370">
        <f>1/(COUNT('Iter No Test'!$W$9:$W$5008)-1)+$AR$1369</f>
        <v>0.27345469093819513</v>
      </c>
    </row>
    <row r="1371" spans="22:44">
      <c r="V1371">
        <v>1363</v>
      </c>
      <c r="W1371">
        <v>84.304527809701909</v>
      </c>
      <c r="AQ1371">
        <f>SMALL('Iter No Test'!$W$9:$W$5008,1369)</f>
        <v>160.91800342477208</v>
      </c>
      <c r="AR1371">
        <f>1/(COUNT('Iter No Test'!$W$9:$W$5008)-1)+$AR$1370</f>
        <v>0.27365473094619674</v>
      </c>
    </row>
    <row r="1372" spans="22:44">
      <c r="V1372">
        <v>1364</v>
      </c>
      <c r="W1372">
        <v>189.55113472517345</v>
      </c>
      <c r="AQ1372">
        <f>SMALL('Iter No Test'!$W$9:$W$5008,1370)</f>
        <v>160.92542925579548</v>
      </c>
      <c r="AR1372">
        <f>1/(COUNT('Iter No Test'!$W$9:$W$5008)-1)+$AR$1371</f>
        <v>0.27385477095419836</v>
      </c>
    </row>
    <row r="1373" spans="22:44">
      <c r="V1373">
        <v>1365</v>
      </c>
      <c r="W1373">
        <v>164.65119241784191</v>
      </c>
      <c r="AQ1373">
        <f>SMALL('Iter No Test'!$W$9:$W$5008,1371)</f>
        <v>160.9480067164838</v>
      </c>
      <c r="AR1373">
        <f>1/(COUNT('Iter No Test'!$W$9:$W$5008)-1)+$AR$1372</f>
        <v>0.27405481096219997</v>
      </c>
    </row>
    <row r="1374" spans="22:44">
      <c r="V1374">
        <v>1366</v>
      </c>
      <c r="W1374">
        <v>407.92784202645964</v>
      </c>
      <c r="AQ1374">
        <f>SMALL('Iter No Test'!$W$9:$W$5008,1372)</f>
        <v>161.0026188667731</v>
      </c>
      <c r="AR1374">
        <f>1/(COUNT('Iter No Test'!$W$9:$W$5008)-1)+$AR$1373</f>
        <v>0.27425485097020158</v>
      </c>
    </row>
    <row r="1375" spans="22:44">
      <c r="V1375">
        <v>1367</v>
      </c>
      <c r="W1375">
        <v>181.63686501138608</v>
      </c>
      <c r="AQ1375">
        <f>SMALL('Iter No Test'!$W$9:$W$5008,1373)</f>
        <v>161.12337765794035</v>
      </c>
      <c r="AR1375">
        <f>1/(COUNT('Iter No Test'!$W$9:$W$5008)-1)+$AR$1374</f>
        <v>0.27445489097820319</v>
      </c>
    </row>
    <row r="1376" spans="22:44">
      <c r="V1376">
        <v>1368</v>
      </c>
      <c r="W1376">
        <v>463.13563371112559</v>
      </c>
      <c r="AQ1376">
        <f>SMALL('Iter No Test'!$W$9:$W$5008,1374)</f>
        <v>161.16930695192377</v>
      </c>
      <c r="AR1376">
        <f>1/(COUNT('Iter No Test'!$W$9:$W$5008)-1)+$AR$1375</f>
        <v>0.2746549309862048</v>
      </c>
    </row>
    <row r="1377" spans="22:44">
      <c r="V1377">
        <v>1369</v>
      </c>
      <c r="W1377">
        <v>339.62188987814454</v>
      </c>
      <c r="AQ1377">
        <f>SMALL('Iter No Test'!$W$9:$W$5008,1375)</f>
        <v>161.21274474303911</v>
      </c>
      <c r="AR1377">
        <f>1/(COUNT('Iter No Test'!$W$9:$W$5008)-1)+$AR$1376</f>
        <v>0.27485497099420642</v>
      </c>
    </row>
    <row r="1378" spans="22:44">
      <c r="V1378">
        <v>1370</v>
      </c>
      <c r="W1378">
        <v>177.9346404956039</v>
      </c>
      <c r="AQ1378">
        <f>SMALL('Iter No Test'!$W$9:$W$5008,1376)</f>
        <v>161.25931749452184</v>
      </c>
      <c r="AR1378">
        <f>1/(COUNT('Iter No Test'!$W$9:$W$5008)-1)+$AR$1377</f>
        <v>0.27505501100220803</v>
      </c>
    </row>
    <row r="1379" spans="22:44">
      <c r="V1379">
        <v>1371</v>
      </c>
      <c r="W1379">
        <v>161.7875941808781</v>
      </c>
      <c r="AQ1379">
        <f>SMALL('Iter No Test'!$W$9:$W$5008,1377)</f>
        <v>161.26813421079029</v>
      </c>
      <c r="AR1379">
        <f>1/(COUNT('Iter No Test'!$W$9:$W$5008)-1)+$AR$1378</f>
        <v>0.27525505101020964</v>
      </c>
    </row>
    <row r="1380" spans="22:44">
      <c r="V1380">
        <v>1372</v>
      </c>
      <c r="W1380">
        <v>75.794450089332116</v>
      </c>
      <c r="AQ1380">
        <f>SMALL('Iter No Test'!$W$9:$W$5008,1378)</f>
        <v>161.32792393595997</v>
      </c>
      <c r="AR1380">
        <f>1/(COUNT('Iter No Test'!$W$9:$W$5008)-1)+$AR$1379</f>
        <v>0.27545509101821125</v>
      </c>
    </row>
    <row r="1381" spans="22:44">
      <c r="V1381">
        <v>1373</v>
      </c>
      <c r="W1381">
        <v>219.3371132467131</v>
      </c>
      <c r="AQ1381">
        <f>SMALL('Iter No Test'!$W$9:$W$5008,1379)</f>
        <v>161.39541053314053</v>
      </c>
      <c r="AR1381">
        <f>1/(COUNT('Iter No Test'!$W$9:$W$5008)-1)+$AR$1380</f>
        <v>0.27565513102621286</v>
      </c>
    </row>
    <row r="1382" spans="22:44">
      <c r="V1382">
        <v>1374</v>
      </c>
      <c r="W1382">
        <v>149.5142385758142</v>
      </c>
      <c r="AQ1382">
        <f>SMALL('Iter No Test'!$W$9:$W$5008,1380)</f>
        <v>161.42028412745395</v>
      </c>
      <c r="AR1382">
        <f>1/(COUNT('Iter No Test'!$W$9:$W$5008)-1)+$AR$1381</f>
        <v>0.27585517103421447</v>
      </c>
    </row>
    <row r="1383" spans="22:44">
      <c r="V1383">
        <v>1375</v>
      </c>
      <c r="W1383">
        <v>132.69986961536284</v>
      </c>
      <c r="AQ1383">
        <f>SMALL('Iter No Test'!$W$9:$W$5008,1381)</f>
        <v>161.5314585803369</v>
      </c>
      <c r="AR1383">
        <f>1/(COUNT('Iter No Test'!$W$9:$W$5008)-1)+$AR$1382</f>
        <v>0.27605521104221609</v>
      </c>
    </row>
    <row r="1384" spans="22:44">
      <c r="V1384">
        <v>1376</v>
      </c>
      <c r="W1384">
        <v>254.26210147963513</v>
      </c>
      <c r="AQ1384">
        <f>SMALL('Iter No Test'!$W$9:$W$5008,1382)</f>
        <v>161.63917028749745</v>
      </c>
      <c r="AR1384">
        <f>1/(COUNT('Iter No Test'!$W$9:$W$5008)-1)+$AR$1383</f>
        <v>0.2762552510502177</v>
      </c>
    </row>
    <row r="1385" spans="22:44">
      <c r="V1385">
        <v>1377</v>
      </c>
      <c r="W1385">
        <v>104.5144433513569</v>
      </c>
      <c r="AQ1385">
        <f>SMALL('Iter No Test'!$W$9:$W$5008,1383)</f>
        <v>161.65722694529757</v>
      </c>
      <c r="AR1385">
        <f>1/(COUNT('Iter No Test'!$W$9:$W$5008)-1)+$AR$1384</f>
        <v>0.27645529105821931</v>
      </c>
    </row>
    <row r="1386" spans="22:44">
      <c r="V1386">
        <v>1378</v>
      </c>
      <c r="W1386">
        <v>243.04672815311358</v>
      </c>
      <c r="AQ1386">
        <f>SMALL('Iter No Test'!$W$9:$W$5008,1384)</f>
        <v>161.72530801135957</v>
      </c>
      <c r="AR1386">
        <f>1/(COUNT('Iter No Test'!$W$9:$W$5008)-1)+$AR$1385</f>
        <v>0.27665533106622092</v>
      </c>
    </row>
    <row r="1387" spans="22:44">
      <c r="V1387">
        <v>1379</v>
      </c>
      <c r="W1387">
        <v>355.35425617178322</v>
      </c>
      <c r="AQ1387">
        <f>SMALL('Iter No Test'!$W$9:$W$5008,1385)</f>
        <v>161.7457954641983</v>
      </c>
      <c r="AR1387">
        <f>1/(COUNT('Iter No Test'!$W$9:$W$5008)-1)+$AR$1386</f>
        <v>0.27685537107422253</v>
      </c>
    </row>
    <row r="1388" spans="22:44">
      <c r="V1388">
        <v>1380</v>
      </c>
      <c r="W1388">
        <v>126.00518448369608</v>
      </c>
      <c r="AQ1388">
        <f>SMALL('Iter No Test'!$W$9:$W$5008,1386)</f>
        <v>161.7875941808781</v>
      </c>
      <c r="AR1388">
        <f>1/(COUNT('Iter No Test'!$W$9:$W$5008)-1)+$AR$1387</f>
        <v>0.27705541108222415</v>
      </c>
    </row>
    <row r="1389" spans="22:44">
      <c r="V1389">
        <v>1381</v>
      </c>
      <c r="W1389">
        <v>317.90982740840002</v>
      </c>
      <c r="AQ1389">
        <f>SMALL('Iter No Test'!$W$9:$W$5008,1387)</f>
        <v>161.83060277396558</v>
      </c>
      <c r="AR1389">
        <f>1/(COUNT('Iter No Test'!$W$9:$W$5008)-1)+$AR$1388</f>
        <v>0.27725545109022576</v>
      </c>
    </row>
    <row r="1390" spans="22:44">
      <c r="V1390">
        <v>1382</v>
      </c>
      <c r="W1390">
        <v>184.29628949454366</v>
      </c>
      <c r="AQ1390">
        <f>SMALL('Iter No Test'!$W$9:$W$5008,1388)</f>
        <v>161.85785276498729</v>
      </c>
      <c r="AR1390">
        <f>1/(COUNT('Iter No Test'!$W$9:$W$5008)-1)+$AR$1389</f>
        <v>0.27745549109822737</v>
      </c>
    </row>
    <row r="1391" spans="22:44">
      <c r="V1391">
        <v>1383</v>
      </c>
      <c r="W1391">
        <v>201.50019590059335</v>
      </c>
      <c r="AQ1391">
        <f>SMALL('Iter No Test'!$W$9:$W$5008,1389)</f>
        <v>162.09632085903408</v>
      </c>
      <c r="AR1391">
        <f>1/(COUNT('Iter No Test'!$W$9:$W$5008)-1)+$AR$1390</f>
        <v>0.27765553110622898</v>
      </c>
    </row>
    <row r="1392" spans="22:44">
      <c r="V1392">
        <v>1384</v>
      </c>
      <c r="W1392">
        <v>244.15653062909382</v>
      </c>
      <c r="AQ1392">
        <f>SMALL('Iter No Test'!$W$9:$W$5008,1390)</f>
        <v>162.24983593185101</v>
      </c>
      <c r="AR1392">
        <f>1/(COUNT('Iter No Test'!$W$9:$W$5008)-1)+$AR$1391</f>
        <v>0.27785557111423059</v>
      </c>
    </row>
    <row r="1393" spans="22:44">
      <c r="V1393">
        <v>1385</v>
      </c>
      <c r="W1393">
        <v>192.62501424982202</v>
      </c>
      <c r="AQ1393">
        <f>SMALL('Iter No Test'!$W$9:$W$5008,1391)</f>
        <v>162.26032250258902</v>
      </c>
      <c r="AR1393">
        <f>1/(COUNT('Iter No Test'!$W$9:$W$5008)-1)+$AR$1392</f>
        <v>0.2780556111222322</v>
      </c>
    </row>
    <row r="1394" spans="22:44">
      <c r="V1394">
        <v>1386</v>
      </c>
      <c r="W1394">
        <v>135.39434165951408</v>
      </c>
      <c r="AQ1394">
        <f>SMALL('Iter No Test'!$W$9:$W$5008,1392)</f>
        <v>162.41155977614713</v>
      </c>
      <c r="AR1394">
        <f>1/(COUNT('Iter No Test'!$W$9:$W$5008)-1)+$AR$1393</f>
        <v>0.27825565113023382</v>
      </c>
    </row>
    <row r="1395" spans="22:44">
      <c r="V1395">
        <v>1387</v>
      </c>
      <c r="W1395">
        <v>180.84572600735487</v>
      </c>
      <c r="AQ1395">
        <f>SMALL('Iter No Test'!$W$9:$W$5008,1393)</f>
        <v>162.53587557728451</v>
      </c>
      <c r="AR1395">
        <f>1/(COUNT('Iter No Test'!$W$9:$W$5008)-1)+$AR$1394</f>
        <v>0.27845569113823543</v>
      </c>
    </row>
    <row r="1396" spans="22:44">
      <c r="V1396">
        <v>1388</v>
      </c>
      <c r="W1396">
        <v>202.55638100642574</v>
      </c>
      <c r="AQ1396">
        <f>SMALL('Iter No Test'!$W$9:$W$5008,1394)</f>
        <v>162.59326771762957</v>
      </c>
      <c r="AR1396">
        <f>1/(COUNT('Iter No Test'!$W$9:$W$5008)-1)+$AR$1395</f>
        <v>0.27865573114623704</v>
      </c>
    </row>
    <row r="1397" spans="22:44">
      <c r="V1397">
        <v>1389</v>
      </c>
      <c r="W1397">
        <v>263.00048514465379</v>
      </c>
      <c r="AQ1397">
        <f>SMALL('Iter No Test'!$W$9:$W$5008,1395)</f>
        <v>162.60185603728914</v>
      </c>
      <c r="AR1397">
        <f>1/(COUNT('Iter No Test'!$W$9:$W$5008)-1)+$AR$1396</f>
        <v>0.27885577115423865</v>
      </c>
    </row>
    <row r="1398" spans="22:44">
      <c r="V1398">
        <v>1390</v>
      </c>
      <c r="W1398">
        <v>266.45930257124184</v>
      </c>
      <c r="AQ1398">
        <f>SMALL('Iter No Test'!$W$9:$W$5008,1396)</f>
        <v>162.61294607964811</v>
      </c>
      <c r="AR1398">
        <f>1/(COUNT('Iter No Test'!$W$9:$W$5008)-1)+$AR$1397</f>
        <v>0.27905581116224026</v>
      </c>
    </row>
    <row r="1399" spans="22:44">
      <c r="V1399">
        <v>1391</v>
      </c>
      <c r="W1399">
        <v>203.03100189352628</v>
      </c>
      <c r="AQ1399">
        <f>SMALL('Iter No Test'!$W$9:$W$5008,1397)</f>
        <v>162.64019560285976</v>
      </c>
      <c r="AR1399">
        <f>1/(COUNT('Iter No Test'!$W$9:$W$5008)-1)+$AR$1398</f>
        <v>0.27925585117024188</v>
      </c>
    </row>
    <row r="1400" spans="22:44">
      <c r="V1400">
        <v>1392</v>
      </c>
      <c r="W1400">
        <v>270.14307426540677</v>
      </c>
      <c r="AQ1400">
        <f>SMALL('Iter No Test'!$W$9:$W$5008,1398)</f>
        <v>162.70241865184013</v>
      </c>
      <c r="AR1400">
        <f>1/(COUNT('Iter No Test'!$W$9:$W$5008)-1)+$AR$1399</f>
        <v>0.27945589117824349</v>
      </c>
    </row>
    <row r="1401" spans="22:44">
      <c r="V1401">
        <v>1393</v>
      </c>
      <c r="W1401">
        <v>349.21727228084603</v>
      </c>
      <c r="AQ1401">
        <f>SMALL('Iter No Test'!$W$9:$W$5008,1399)</f>
        <v>162.70286740970391</v>
      </c>
      <c r="AR1401">
        <f>1/(COUNT('Iter No Test'!$W$9:$W$5008)-1)+$AR$1400</f>
        <v>0.2796559311862451</v>
      </c>
    </row>
    <row r="1402" spans="22:44">
      <c r="V1402">
        <v>1394</v>
      </c>
      <c r="W1402">
        <v>218.40656759712263</v>
      </c>
      <c r="AQ1402">
        <f>SMALL('Iter No Test'!$W$9:$W$5008,1400)</f>
        <v>162.76605311418461</v>
      </c>
      <c r="AR1402">
        <f>1/(COUNT('Iter No Test'!$W$9:$W$5008)-1)+$AR$1401</f>
        <v>0.27985597119424671</v>
      </c>
    </row>
    <row r="1403" spans="22:44">
      <c r="V1403">
        <v>1395</v>
      </c>
      <c r="W1403">
        <v>154.21922536849021</v>
      </c>
      <c r="AQ1403">
        <f>SMALL('Iter No Test'!$W$9:$W$5008,1401)</f>
        <v>162.78555784484567</v>
      </c>
      <c r="AR1403">
        <f>1/(COUNT('Iter No Test'!$W$9:$W$5008)-1)+$AR$1402</f>
        <v>0.28005601120224832</v>
      </c>
    </row>
    <row r="1404" spans="22:44">
      <c r="V1404">
        <v>1396</v>
      </c>
      <c r="W1404">
        <v>237.895280852887</v>
      </c>
      <c r="AQ1404">
        <f>SMALL('Iter No Test'!$W$9:$W$5008,1402)</f>
        <v>162.78899539511866</v>
      </c>
      <c r="AR1404">
        <f>1/(COUNT('Iter No Test'!$W$9:$W$5008)-1)+$AR$1403</f>
        <v>0.28025605121024993</v>
      </c>
    </row>
    <row r="1405" spans="22:44">
      <c r="V1405">
        <v>1397</v>
      </c>
      <c r="W1405">
        <v>122.62623445355705</v>
      </c>
      <c r="AQ1405">
        <f>SMALL('Iter No Test'!$W$9:$W$5008,1403)</f>
        <v>162.79344226321433</v>
      </c>
      <c r="AR1405">
        <f>1/(COUNT('Iter No Test'!$W$9:$W$5008)-1)+$AR$1404</f>
        <v>0.28045609121825155</v>
      </c>
    </row>
    <row r="1406" spans="22:44">
      <c r="V1406">
        <v>1398</v>
      </c>
      <c r="W1406">
        <v>236.83544068079365</v>
      </c>
      <c r="AQ1406">
        <f>SMALL('Iter No Test'!$W$9:$W$5008,1404)</f>
        <v>162.85824448373742</v>
      </c>
      <c r="AR1406">
        <f>1/(COUNT('Iter No Test'!$W$9:$W$5008)-1)+$AR$1405</f>
        <v>0.28065613122625316</v>
      </c>
    </row>
    <row r="1407" spans="22:44">
      <c r="V1407">
        <v>1399</v>
      </c>
      <c r="W1407">
        <v>293.13341646981314</v>
      </c>
      <c r="AQ1407">
        <f>SMALL('Iter No Test'!$W$9:$W$5008,1405)</f>
        <v>162.88396153510189</v>
      </c>
      <c r="AR1407">
        <f>1/(COUNT('Iter No Test'!$W$9:$W$5008)-1)+$AR$1406</f>
        <v>0.28085617123425477</v>
      </c>
    </row>
    <row r="1408" spans="22:44">
      <c r="V1408">
        <v>1400</v>
      </c>
      <c r="W1408">
        <v>317.38384988454106</v>
      </c>
      <c r="AQ1408">
        <f>SMALL('Iter No Test'!$W$9:$W$5008,1406)</f>
        <v>162.90796294975891</v>
      </c>
      <c r="AR1408">
        <f>1/(COUNT('Iter No Test'!$W$9:$W$5008)-1)+$AR$1407</f>
        <v>0.28105621124225638</v>
      </c>
    </row>
    <row r="1409" spans="22:44">
      <c r="V1409">
        <v>1401</v>
      </c>
      <c r="W1409">
        <v>45.572193972098262</v>
      </c>
      <c r="AQ1409">
        <f>SMALL('Iter No Test'!$W$9:$W$5008,1407)</f>
        <v>163.0168622580029</v>
      </c>
      <c r="AR1409">
        <f>1/(COUNT('Iter No Test'!$W$9:$W$5008)-1)+$AR$1408</f>
        <v>0.28125625125025799</v>
      </c>
    </row>
    <row r="1410" spans="22:44">
      <c r="V1410">
        <v>1402</v>
      </c>
      <c r="W1410">
        <v>222.98111202672879</v>
      </c>
      <c r="AQ1410">
        <f>SMALL('Iter No Test'!$W$9:$W$5008,1408)</f>
        <v>163.08642332282642</v>
      </c>
      <c r="AR1410">
        <f>1/(COUNT('Iter No Test'!$W$9:$W$5008)-1)+$AR$1409</f>
        <v>0.28145629125825961</v>
      </c>
    </row>
    <row r="1411" spans="22:44">
      <c r="V1411">
        <v>1403</v>
      </c>
      <c r="W1411">
        <v>164.87558023590873</v>
      </c>
      <c r="AQ1411">
        <f>SMALL('Iter No Test'!$W$9:$W$5008,1409)</f>
        <v>163.15489072054754</v>
      </c>
      <c r="AR1411">
        <f>1/(COUNT('Iter No Test'!$W$9:$W$5008)-1)+$AR$1410</f>
        <v>0.28165633126626122</v>
      </c>
    </row>
    <row r="1412" spans="22:44">
      <c r="V1412">
        <v>1404</v>
      </c>
      <c r="W1412">
        <v>83.174637766614538</v>
      </c>
      <c r="AQ1412">
        <f>SMALL('Iter No Test'!$W$9:$W$5008,1410)</f>
        <v>163.22501892704801</v>
      </c>
      <c r="AR1412">
        <f>1/(COUNT('Iter No Test'!$W$9:$W$5008)-1)+$AR$1411</f>
        <v>0.28185637127426283</v>
      </c>
    </row>
    <row r="1413" spans="22:44">
      <c r="V1413">
        <v>1405</v>
      </c>
      <c r="W1413">
        <v>325.59401805194079</v>
      </c>
      <c r="AQ1413">
        <f>SMALL('Iter No Test'!$W$9:$W$5008,1411)</f>
        <v>163.22766249022948</v>
      </c>
      <c r="AR1413">
        <f>1/(COUNT('Iter No Test'!$W$9:$W$5008)-1)+$AR$1412</f>
        <v>0.28205641128226444</v>
      </c>
    </row>
    <row r="1414" spans="22:44">
      <c r="V1414">
        <v>1406</v>
      </c>
      <c r="W1414">
        <v>275.36932464575153</v>
      </c>
      <c r="AQ1414">
        <f>SMALL('Iter No Test'!$W$9:$W$5008,1412)</f>
        <v>163.23902755547221</v>
      </c>
      <c r="AR1414">
        <f>1/(COUNT('Iter No Test'!$W$9:$W$5008)-1)+$AR$1413</f>
        <v>0.28225645129026605</v>
      </c>
    </row>
    <row r="1415" spans="22:44">
      <c r="V1415">
        <v>1407</v>
      </c>
      <c r="W1415">
        <v>224.55756411070826</v>
      </c>
      <c r="AQ1415">
        <f>SMALL('Iter No Test'!$W$9:$W$5008,1413)</f>
        <v>163.24490375316276</v>
      </c>
      <c r="AR1415">
        <f>1/(COUNT('Iter No Test'!$W$9:$W$5008)-1)+$AR$1414</f>
        <v>0.28245649129826766</v>
      </c>
    </row>
    <row r="1416" spans="22:44">
      <c r="V1416">
        <v>1408</v>
      </c>
      <c r="W1416">
        <v>336.1975978101313</v>
      </c>
      <c r="AQ1416">
        <f>SMALL('Iter No Test'!$W$9:$W$5008,1414)</f>
        <v>163.30787450658354</v>
      </c>
      <c r="AR1416">
        <f>1/(COUNT('Iter No Test'!$W$9:$W$5008)-1)+$AR$1415</f>
        <v>0.28265653130626928</v>
      </c>
    </row>
    <row r="1417" spans="22:44">
      <c r="V1417">
        <v>1409</v>
      </c>
      <c r="W1417">
        <v>92.134907166843803</v>
      </c>
      <c r="AQ1417">
        <f>SMALL('Iter No Test'!$W$9:$W$5008,1415)</f>
        <v>163.40990353198356</v>
      </c>
      <c r="AR1417">
        <f>1/(COUNT('Iter No Test'!$W$9:$W$5008)-1)+$AR$1416</f>
        <v>0.28285657131427089</v>
      </c>
    </row>
    <row r="1418" spans="22:44">
      <c r="V1418">
        <v>1410</v>
      </c>
      <c r="W1418">
        <v>246.65929128328975</v>
      </c>
      <c r="AQ1418">
        <f>SMALL('Iter No Test'!$W$9:$W$5008,1416)</f>
        <v>163.52050474463573</v>
      </c>
      <c r="AR1418">
        <f>1/(COUNT('Iter No Test'!$W$9:$W$5008)-1)+$AR$1417</f>
        <v>0.2830566113222725</v>
      </c>
    </row>
    <row r="1419" spans="22:44">
      <c r="V1419">
        <v>1411</v>
      </c>
      <c r="W1419">
        <v>89.135186561686865</v>
      </c>
      <c r="AQ1419">
        <f>SMALL('Iter No Test'!$W$9:$W$5008,1417)</f>
        <v>163.64859867506686</v>
      </c>
      <c r="AR1419">
        <f>1/(COUNT('Iter No Test'!$W$9:$W$5008)-1)+$AR$1418</f>
        <v>0.28325665133027411</v>
      </c>
    </row>
    <row r="1420" spans="22:44">
      <c r="V1420">
        <v>1412</v>
      </c>
      <c r="W1420">
        <v>136.38199608085787</v>
      </c>
      <c r="AQ1420">
        <f>SMALL('Iter No Test'!$W$9:$W$5008,1418)</f>
        <v>163.68370052703483</v>
      </c>
      <c r="AR1420">
        <f>1/(COUNT('Iter No Test'!$W$9:$W$5008)-1)+$AR$1419</f>
        <v>0.28345669133827572</v>
      </c>
    </row>
    <row r="1421" spans="22:44">
      <c r="V1421">
        <v>1413</v>
      </c>
      <c r="W1421">
        <v>96.271563300592049</v>
      </c>
      <c r="AQ1421">
        <f>SMALL('Iter No Test'!$W$9:$W$5008,1419)</f>
        <v>163.68379779028169</v>
      </c>
      <c r="AR1421">
        <f>1/(COUNT('Iter No Test'!$W$9:$W$5008)-1)+$AR$1420</f>
        <v>0.28365673134627734</v>
      </c>
    </row>
    <row r="1422" spans="22:44">
      <c r="V1422">
        <v>1414</v>
      </c>
      <c r="W1422">
        <v>38.599441081564521</v>
      </c>
      <c r="AQ1422">
        <f>SMALL('Iter No Test'!$W$9:$W$5008,1420)</f>
        <v>163.7072433419757</v>
      </c>
      <c r="AR1422">
        <f>1/(COUNT('Iter No Test'!$W$9:$W$5008)-1)+$AR$1421</f>
        <v>0.28385677135427895</v>
      </c>
    </row>
    <row r="1423" spans="22:44">
      <c r="V1423">
        <v>1415</v>
      </c>
      <c r="W1423">
        <v>80.337769251676306</v>
      </c>
      <c r="AQ1423">
        <f>SMALL('Iter No Test'!$W$9:$W$5008,1421)</f>
        <v>163.71898025106208</v>
      </c>
      <c r="AR1423">
        <f>1/(COUNT('Iter No Test'!$W$9:$W$5008)-1)+$AR$1422</f>
        <v>0.28405681136228056</v>
      </c>
    </row>
    <row r="1424" spans="22:44">
      <c r="V1424">
        <v>1416</v>
      </c>
      <c r="W1424">
        <v>202.64606365898683</v>
      </c>
      <c r="AQ1424">
        <f>SMALL('Iter No Test'!$W$9:$W$5008,1422)</f>
        <v>163.72016879055204</v>
      </c>
      <c r="AR1424">
        <f>1/(COUNT('Iter No Test'!$W$9:$W$5008)-1)+$AR$1423</f>
        <v>0.28425685137028217</v>
      </c>
    </row>
    <row r="1425" spans="22:44">
      <c r="V1425">
        <v>1417</v>
      </c>
      <c r="W1425">
        <v>175.87547694694322</v>
      </c>
      <c r="AQ1425">
        <f>SMALL('Iter No Test'!$W$9:$W$5008,1423)</f>
        <v>163.72372425937127</v>
      </c>
      <c r="AR1425">
        <f>1/(COUNT('Iter No Test'!$W$9:$W$5008)-1)+$AR$1424</f>
        <v>0.28445689137828378</v>
      </c>
    </row>
    <row r="1426" spans="22:44">
      <c r="V1426">
        <v>1418</v>
      </c>
      <c r="W1426">
        <v>109.43507371554131</v>
      </c>
      <c r="AQ1426">
        <f>SMALL('Iter No Test'!$W$9:$W$5008,1424)</f>
        <v>163.74740883635491</v>
      </c>
      <c r="AR1426">
        <f>1/(COUNT('Iter No Test'!$W$9:$W$5008)-1)+$AR$1425</f>
        <v>0.28465693138628539</v>
      </c>
    </row>
    <row r="1427" spans="22:44">
      <c r="V1427">
        <v>1419</v>
      </c>
      <c r="W1427">
        <v>209.85902178830233</v>
      </c>
      <c r="AQ1427">
        <f>SMALL('Iter No Test'!$W$9:$W$5008,1425)</f>
        <v>163.80628194277583</v>
      </c>
      <c r="AR1427">
        <f>1/(COUNT('Iter No Test'!$W$9:$W$5008)-1)+$AR$1426</f>
        <v>0.28485697139428701</v>
      </c>
    </row>
    <row r="1428" spans="22:44">
      <c r="V1428">
        <v>1420</v>
      </c>
      <c r="W1428">
        <v>203.7420064807755</v>
      </c>
      <c r="AQ1428">
        <f>SMALL('Iter No Test'!$W$9:$W$5008,1426)</f>
        <v>163.86638180500722</v>
      </c>
      <c r="AR1428">
        <f>1/(COUNT('Iter No Test'!$W$9:$W$5008)-1)+$AR$1427</f>
        <v>0.28505701140228862</v>
      </c>
    </row>
    <row r="1429" spans="22:44">
      <c r="V1429">
        <v>1421</v>
      </c>
      <c r="W1429">
        <v>289.92216969857907</v>
      </c>
      <c r="AQ1429">
        <f>SMALL('Iter No Test'!$W$9:$W$5008,1427)</f>
        <v>163.92198762057811</v>
      </c>
      <c r="AR1429">
        <f>1/(COUNT('Iter No Test'!$W$9:$W$5008)-1)+$AR$1428</f>
        <v>0.28525705141029023</v>
      </c>
    </row>
    <row r="1430" spans="22:44">
      <c r="V1430">
        <v>1422</v>
      </c>
      <c r="W1430">
        <v>160.91800342477208</v>
      </c>
      <c r="AQ1430">
        <f>SMALL('Iter No Test'!$W$9:$W$5008,1428)</f>
        <v>163.93777088273407</v>
      </c>
      <c r="AR1430">
        <f>1/(COUNT('Iter No Test'!$W$9:$W$5008)-1)+$AR$1429</f>
        <v>0.28545709141829184</v>
      </c>
    </row>
    <row r="1431" spans="22:44">
      <c r="V1431">
        <v>1423</v>
      </c>
      <c r="W1431">
        <v>267.25327297093713</v>
      </c>
      <c r="AQ1431">
        <f>SMALL('Iter No Test'!$W$9:$W$5008,1429)</f>
        <v>163.95521680504038</v>
      </c>
      <c r="AR1431">
        <f>1/(COUNT('Iter No Test'!$W$9:$W$5008)-1)+$AR$1430</f>
        <v>0.28565713142629345</v>
      </c>
    </row>
    <row r="1432" spans="22:44">
      <c r="V1432">
        <v>1424</v>
      </c>
      <c r="W1432">
        <v>178.32691309613594</v>
      </c>
      <c r="AQ1432">
        <f>SMALL('Iter No Test'!$W$9:$W$5008,1430)</f>
        <v>163.95663406244728</v>
      </c>
      <c r="AR1432">
        <f>1/(COUNT('Iter No Test'!$W$9:$W$5008)-1)+$AR$1431</f>
        <v>0.28585717143429507</v>
      </c>
    </row>
    <row r="1433" spans="22:44">
      <c r="V1433">
        <v>1425</v>
      </c>
      <c r="W1433">
        <v>111.77670262535938</v>
      </c>
      <c r="AQ1433">
        <f>SMALL('Iter No Test'!$W$9:$W$5008,1431)</f>
        <v>164.02419698666102</v>
      </c>
      <c r="AR1433">
        <f>1/(COUNT('Iter No Test'!$W$9:$W$5008)-1)+$AR$1432</f>
        <v>0.28605721144229668</v>
      </c>
    </row>
    <row r="1434" spans="22:44">
      <c r="V1434">
        <v>1426</v>
      </c>
      <c r="W1434">
        <v>376.95027546044673</v>
      </c>
      <c r="AQ1434">
        <f>SMALL('Iter No Test'!$W$9:$W$5008,1432)</f>
        <v>164.02460740013245</v>
      </c>
      <c r="AR1434">
        <f>1/(COUNT('Iter No Test'!$W$9:$W$5008)-1)+$AR$1433</f>
        <v>0.28625725145029829</v>
      </c>
    </row>
    <row r="1435" spans="22:44">
      <c r="V1435">
        <v>1427</v>
      </c>
      <c r="W1435">
        <v>155.78274651278772</v>
      </c>
      <c r="AQ1435">
        <f>SMALL('Iter No Test'!$W$9:$W$5008,1433)</f>
        <v>164.08556920576598</v>
      </c>
      <c r="AR1435">
        <f>1/(COUNT('Iter No Test'!$W$9:$W$5008)-1)+$AR$1434</f>
        <v>0.2864572914582999</v>
      </c>
    </row>
    <row r="1436" spans="22:44">
      <c r="V1436">
        <v>1428</v>
      </c>
      <c r="W1436">
        <v>242.32701681036207</v>
      </c>
      <c r="AQ1436">
        <f>SMALL('Iter No Test'!$W$9:$W$5008,1434)</f>
        <v>164.1305439458134</v>
      </c>
      <c r="AR1436">
        <f>1/(COUNT('Iter No Test'!$W$9:$W$5008)-1)+$AR$1435</f>
        <v>0.28665733146630151</v>
      </c>
    </row>
    <row r="1437" spans="22:44">
      <c r="V1437">
        <v>1429</v>
      </c>
      <c r="W1437">
        <v>212.92679845373544</v>
      </c>
      <c r="AQ1437">
        <f>SMALL('Iter No Test'!$W$9:$W$5008,1435)</f>
        <v>164.14163441066773</v>
      </c>
      <c r="AR1437">
        <f>1/(COUNT('Iter No Test'!$W$9:$W$5008)-1)+$AR$1436</f>
        <v>0.28685737147430312</v>
      </c>
    </row>
    <row r="1438" spans="22:44">
      <c r="V1438">
        <v>1430</v>
      </c>
      <c r="W1438">
        <v>158.89619837218225</v>
      </c>
      <c r="AQ1438">
        <f>SMALL('Iter No Test'!$W$9:$W$5008,1436)</f>
        <v>164.15539420771751</v>
      </c>
      <c r="AR1438">
        <f>1/(COUNT('Iter No Test'!$W$9:$W$5008)-1)+$AR$1437</f>
        <v>0.28705741148230474</v>
      </c>
    </row>
    <row r="1439" spans="22:44">
      <c r="V1439">
        <v>1431</v>
      </c>
      <c r="W1439">
        <v>254.36193321902368</v>
      </c>
      <c r="AQ1439">
        <f>SMALL('Iter No Test'!$W$9:$W$5008,1437)</f>
        <v>164.16083031139033</v>
      </c>
      <c r="AR1439">
        <f>1/(COUNT('Iter No Test'!$W$9:$W$5008)-1)+$AR$1438</f>
        <v>0.28725745149030635</v>
      </c>
    </row>
    <row r="1440" spans="22:44">
      <c r="V1440">
        <v>1432</v>
      </c>
      <c r="W1440">
        <v>234.82249536202593</v>
      </c>
      <c r="AQ1440">
        <f>SMALL('Iter No Test'!$W$9:$W$5008,1438)</f>
        <v>164.26321591189031</v>
      </c>
      <c r="AR1440">
        <f>1/(COUNT('Iter No Test'!$W$9:$W$5008)-1)+$AR$1439</f>
        <v>0.28745749149830796</v>
      </c>
    </row>
    <row r="1441" spans="22:44">
      <c r="V1441">
        <v>1433</v>
      </c>
      <c r="W1441">
        <v>120.2243249983114</v>
      </c>
      <c r="AQ1441">
        <f>SMALL('Iter No Test'!$W$9:$W$5008,1439)</f>
        <v>164.28524478677576</v>
      </c>
      <c r="AR1441">
        <f>1/(COUNT('Iter No Test'!$W$9:$W$5008)-1)+$AR$1440</f>
        <v>0.28765753150630957</v>
      </c>
    </row>
    <row r="1442" spans="22:44">
      <c r="V1442">
        <v>1434</v>
      </c>
      <c r="W1442">
        <v>390.46779380617181</v>
      </c>
      <c r="AQ1442">
        <f>SMALL('Iter No Test'!$W$9:$W$5008,1440)</f>
        <v>164.30179426773503</v>
      </c>
      <c r="AR1442">
        <f>1/(COUNT('Iter No Test'!$W$9:$W$5008)-1)+$AR$1441</f>
        <v>0.28785757151431118</v>
      </c>
    </row>
    <row r="1443" spans="22:44">
      <c r="V1443">
        <v>1435</v>
      </c>
      <c r="W1443">
        <v>231.3935558030112</v>
      </c>
      <c r="AQ1443">
        <f>SMALL('Iter No Test'!$W$9:$W$5008,1441)</f>
        <v>164.34964860214234</v>
      </c>
      <c r="AR1443">
        <f>1/(COUNT('Iter No Test'!$W$9:$W$5008)-1)+$AR$1442</f>
        <v>0.2880576115223128</v>
      </c>
    </row>
    <row r="1444" spans="22:44">
      <c r="V1444">
        <v>1436</v>
      </c>
      <c r="W1444">
        <v>70.05935716696537</v>
      </c>
      <c r="AQ1444">
        <f>SMALL('Iter No Test'!$W$9:$W$5008,1442)</f>
        <v>164.42903377079642</v>
      </c>
      <c r="AR1444">
        <f>1/(COUNT('Iter No Test'!$W$9:$W$5008)-1)+$AR$1443</f>
        <v>0.28825765153031441</v>
      </c>
    </row>
    <row r="1445" spans="22:44">
      <c r="V1445">
        <v>1437</v>
      </c>
      <c r="W1445">
        <v>155.92097714345653</v>
      </c>
      <c r="AQ1445">
        <f>SMALL('Iter No Test'!$W$9:$W$5008,1443)</f>
        <v>164.43682274267914</v>
      </c>
      <c r="AR1445">
        <f>1/(COUNT('Iter No Test'!$W$9:$W$5008)-1)+$AR$1444</f>
        <v>0.28845769153831602</v>
      </c>
    </row>
    <row r="1446" spans="22:44">
      <c r="V1446">
        <v>1438</v>
      </c>
      <c r="W1446">
        <v>199.77008391947447</v>
      </c>
      <c r="AQ1446">
        <f>SMALL('Iter No Test'!$W$9:$W$5008,1444)</f>
        <v>164.43862363313087</v>
      </c>
      <c r="AR1446">
        <f>1/(COUNT('Iter No Test'!$W$9:$W$5008)-1)+$AR$1445</f>
        <v>0.28865773154631763</v>
      </c>
    </row>
    <row r="1447" spans="22:44">
      <c r="V1447">
        <v>1439</v>
      </c>
      <c r="W1447">
        <v>346.02684705524121</v>
      </c>
      <c r="AQ1447">
        <f>SMALL('Iter No Test'!$W$9:$W$5008,1445)</f>
        <v>164.45654653370406</v>
      </c>
      <c r="AR1447">
        <f>1/(COUNT('Iter No Test'!$W$9:$W$5008)-1)+$AR$1446</f>
        <v>0.28885777155431924</v>
      </c>
    </row>
    <row r="1448" spans="22:44">
      <c r="V1448">
        <v>1440</v>
      </c>
      <c r="W1448">
        <v>71.631006047318408</v>
      </c>
      <c r="AQ1448">
        <f>SMALL('Iter No Test'!$W$9:$W$5008,1446)</f>
        <v>164.49774560126005</v>
      </c>
      <c r="AR1448">
        <f>1/(COUNT('Iter No Test'!$W$9:$W$5008)-1)+$AR$1447</f>
        <v>0.28905781156232085</v>
      </c>
    </row>
    <row r="1449" spans="22:44">
      <c r="V1449">
        <v>1441</v>
      </c>
      <c r="W1449">
        <v>98.728344733150507</v>
      </c>
      <c r="AQ1449">
        <f>SMALL('Iter No Test'!$W$9:$W$5008,1447)</f>
        <v>164.5269907214545</v>
      </c>
      <c r="AR1449">
        <f>1/(COUNT('Iter No Test'!$W$9:$W$5008)-1)+$AR$1448</f>
        <v>0.28925785157032247</v>
      </c>
    </row>
    <row r="1450" spans="22:44">
      <c r="V1450">
        <v>1442</v>
      </c>
      <c r="W1450">
        <v>168.2681435180391</v>
      </c>
      <c r="AQ1450">
        <f>SMALL('Iter No Test'!$W$9:$W$5008,1448)</f>
        <v>164.54570865142597</v>
      </c>
      <c r="AR1450">
        <f>1/(COUNT('Iter No Test'!$W$9:$W$5008)-1)+$AR$1449</f>
        <v>0.28945789157832408</v>
      </c>
    </row>
    <row r="1451" spans="22:44">
      <c r="V1451">
        <v>1443</v>
      </c>
      <c r="W1451">
        <v>121.2315885550981</v>
      </c>
      <c r="AQ1451">
        <f>SMALL('Iter No Test'!$W$9:$W$5008,1449)</f>
        <v>164.54831522922683</v>
      </c>
      <c r="AR1451">
        <f>1/(COUNT('Iter No Test'!$W$9:$W$5008)-1)+$AR$1450</f>
        <v>0.28965793158632569</v>
      </c>
    </row>
    <row r="1452" spans="22:44">
      <c r="V1452">
        <v>1444</v>
      </c>
      <c r="W1452">
        <v>474.33251928315906</v>
      </c>
      <c r="AQ1452">
        <f>SMALL('Iter No Test'!$W$9:$W$5008,1450)</f>
        <v>164.57782908285762</v>
      </c>
      <c r="AR1452">
        <f>1/(COUNT('Iter No Test'!$W$9:$W$5008)-1)+$AR$1451</f>
        <v>0.2898579715943273</v>
      </c>
    </row>
    <row r="1453" spans="22:44">
      <c r="V1453">
        <v>1445</v>
      </c>
      <c r="W1453">
        <v>250.389335437489</v>
      </c>
      <c r="AQ1453">
        <f>SMALL('Iter No Test'!$W$9:$W$5008,1451)</f>
        <v>164.59092763585443</v>
      </c>
      <c r="AR1453">
        <f>1/(COUNT('Iter No Test'!$W$9:$W$5008)-1)+$AR$1452</f>
        <v>0.29005801160232891</v>
      </c>
    </row>
    <row r="1454" spans="22:44">
      <c r="V1454">
        <v>1446</v>
      </c>
      <c r="W1454">
        <v>223.53073402920813</v>
      </c>
      <c r="AQ1454">
        <f>SMALL('Iter No Test'!$W$9:$W$5008,1452)</f>
        <v>164.6379390334593</v>
      </c>
      <c r="AR1454">
        <f>1/(COUNT('Iter No Test'!$W$9:$W$5008)-1)+$AR$1453</f>
        <v>0.29025805161033053</v>
      </c>
    </row>
    <row r="1455" spans="22:44">
      <c r="V1455">
        <v>1447</v>
      </c>
      <c r="W1455">
        <v>282.11642575973599</v>
      </c>
      <c r="AQ1455">
        <f>SMALL('Iter No Test'!$W$9:$W$5008,1453)</f>
        <v>164.65119241784191</v>
      </c>
      <c r="AR1455">
        <f>1/(COUNT('Iter No Test'!$W$9:$W$5008)-1)+$AR$1454</f>
        <v>0.29045809161833214</v>
      </c>
    </row>
    <row r="1456" spans="22:44">
      <c r="V1456">
        <v>1448</v>
      </c>
      <c r="W1456">
        <v>291.08643924956021</v>
      </c>
      <c r="AQ1456">
        <f>SMALL('Iter No Test'!$W$9:$W$5008,1454)</f>
        <v>164.6547206112192</v>
      </c>
      <c r="AR1456">
        <f>1/(COUNT('Iter No Test'!$W$9:$W$5008)-1)+$AR$1455</f>
        <v>0.29065813162633375</v>
      </c>
    </row>
    <row r="1457" spans="22:44">
      <c r="V1457">
        <v>1449</v>
      </c>
      <c r="W1457">
        <v>210.91214764464371</v>
      </c>
      <c r="AQ1457">
        <f>SMALL('Iter No Test'!$W$9:$W$5008,1455)</f>
        <v>164.6786708718231</v>
      </c>
      <c r="AR1457">
        <f>1/(COUNT('Iter No Test'!$W$9:$W$5008)-1)+$AR$1456</f>
        <v>0.29085817163433536</v>
      </c>
    </row>
    <row r="1458" spans="22:44">
      <c r="V1458">
        <v>1450</v>
      </c>
      <c r="W1458">
        <v>252.62302447525954</v>
      </c>
      <c r="AQ1458">
        <f>SMALL('Iter No Test'!$W$9:$W$5008,1456)</f>
        <v>164.70664096086915</v>
      </c>
      <c r="AR1458">
        <f>1/(COUNT('Iter No Test'!$W$9:$W$5008)-1)+$AR$1457</f>
        <v>0.29105821164233697</v>
      </c>
    </row>
    <row r="1459" spans="22:44">
      <c r="V1459">
        <v>1451</v>
      </c>
      <c r="W1459">
        <v>263.94595297267477</v>
      </c>
      <c r="AQ1459">
        <f>SMALL('Iter No Test'!$W$9:$W$5008,1457)</f>
        <v>164.72907235712017</v>
      </c>
      <c r="AR1459">
        <f>1/(COUNT('Iter No Test'!$W$9:$W$5008)-1)+$AR$1458</f>
        <v>0.29125825165033858</v>
      </c>
    </row>
    <row r="1460" spans="22:44">
      <c r="V1460">
        <v>1452</v>
      </c>
      <c r="W1460">
        <v>219.13269510709881</v>
      </c>
      <c r="AQ1460">
        <f>SMALL('Iter No Test'!$W$9:$W$5008,1458)</f>
        <v>164.87558023590873</v>
      </c>
      <c r="AR1460">
        <f>1/(COUNT('Iter No Test'!$W$9:$W$5008)-1)+$AR$1459</f>
        <v>0.2914582916583402</v>
      </c>
    </row>
    <row r="1461" spans="22:44">
      <c r="V1461">
        <v>1453</v>
      </c>
      <c r="W1461">
        <v>302.91729540002927</v>
      </c>
      <c r="AQ1461">
        <f>SMALL('Iter No Test'!$W$9:$W$5008,1459)</f>
        <v>164.93902332114584</v>
      </c>
      <c r="AR1461">
        <f>1/(COUNT('Iter No Test'!$W$9:$W$5008)-1)+$AR$1460</f>
        <v>0.29165833166634181</v>
      </c>
    </row>
    <row r="1462" spans="22:44">
      <c r="V1462">
        <v>1454</v>
      </c>
      <c r="W1462">
        <v>300.60574518892702</v>
      </c>
      <c r="AQ1462">
        <f>SMALL('Iter No Test'!$W$9:$W$5008,1460)</f>
        <v>164.9939617864602</v>
      </c>
      <c r="AR1462">
        <f>1/(COUNT('Iter No Test'!$W$9:$W$5008)-1)+$AR$1461</f>
        <v>0.29185837167434342</v>
      </c>
    </row>
    <row r="1463" spans="22:44">
      <c r="V1463">
        <v>1455</v>
      </c>
      <c r="W1463">
        <v>290.00776835479974</v>
      </c>
      <c r="AQ1463">
        <f>SMALL('Iter No Test'!$W$9:$W$5008,1461)</f>
        <v>165.02505565211351</v>
      </c>
      <c r="AR1463">
        <f>1/(COUNT('Iter No Test'!$W$9:$W$5008)-1)+$AR$1462</f>
        <v>0.29205841168234503</v>
      </c>
    </row>
    <row r="1464" spans="22:44">
      <c r="V1464">
        <v>1456</v>
      </c>
      <c r="W1464">
        <v>241.04756143375161</v>
      </c>
      <c r="AQ1464">
        <f>SMALL('Iter No Test'!$W$9:$W$5008,1462)</f>
        <v>165.175506814041</v>
      </c>
      <c r="AR1464">
        <f>1/(COUNT('Iter No Test'!$W$9:$W$5008)-1)+$AR$1463</f>
        <v>0.29225845169034664</v>
      </c>
    </row>
    <row r="1465" spans="22:44">
      <c r="V1465">
        <v>1457</v>
      </c>
      <c r="W1465">
        <v>146.88795809432634</v>
      </c>
      <c r="AQ1465">
        <f>SMALL('Iter No Test'!$W$9:$W$5008,1463)</f>
        <v>165.58542596268273</v>
      </c>
      <c r="AR1465">
        <f>1/(COUNT('Iter No Test'!$W$9:$W$5008)-1)+$AR$1464</f>
        <v>0.29245849169834826</v>
      </c>
    </row>
    <row r="1466" spans="22:44">
      <c r="V1466">
        <v>1458</v>
      </c>
      <c r="W1466">
        <v>165.73381690033295</v>
      </c>
      <c r="AQ1466">
        <f>SMALL('Iter No Test'!$W$9:$W$5008,1464)</f>
        <v>165.60976893146753</v>
      </c>
      <c r="AR1466">
        <f>1/(COUNT('Iter No Test'!$W$9:$W$5008)-1)+$AR$1465</f>
        <v>0.29265853170634987</v>
      </c>
    </row>
    <row r="1467" spans="22:44">
      <c r="V1467">
        <v>1459</v>
      </c>
      <c r="W1467">
        <v>59.876729991428704</v>
      </c>
      <c r="AQ1467">
        <f>SMALL('Iter No Test'!$W$9:$W$5008,1465)</f>
        <v>165.63770988383465</v>
      </c>
      <c r="AR1467">
        <f>1/(COUNT('Iter No Test'!$W$9:$W$5008)-1)+$AR$1466</f>
        <v>0.29285857171435148</v>
      </c>
    </row>
    <row r="1468" spans="22:44">
      <c r="V1468">
        <v>1460</v>
      </c>
      <c r="W1468">
        <v>334.53194618314751</v>
      </c>
      <c r="AQ1468">
        <f>SMALL('Iter No Test'!$W$9:$W$5008,1466)</f>
        <v>165.68061029147506</v>
      </c>
      <c r="AR1468">
        <f>1/(COUNT('Iter No Test'!$W$9:$W$5008)-1)+$AR$1467</f>
        <v>0.29305861172235309</v>
      </c>
    </row>
    <row r="1469" spans="22:44">
      <c r="V1469">
        <v>1461</v>
      </c>
      <c r="W1469">
        <v>213.46435704101106</v>
      </c>
      <c r="AQ1469">
        <f>SMALL('Iter No Test'!$W$9:$W$5008,1467)</f>
        <v>165.6871325419622</v>
      </c>
      <c r="AR1469">
        <f>1/(COUNT('Iter No Test'!$W$9:$W$5008)-1)+$AR$1468</f>
        <v>0.2932586517303547</v>
      </c>
    </row>
    <row r="1470" spans="22:44">
      <c r="V1470">
        <v>1462</v>
      </c>
      <c r="W1470">
        <v>274.2360098825452</v>
      </c>
      <c r="AQ1470">
        <f>SMALL('Iter No Test'!$W$9:$W$5008,1468)</f>
        <v>165.73381690033295</v>
      </c>
      <c r="AR1470">
        <f>1/(COUNT('Iter No Test'!$W$9:$W$5008)-1)+$AR$1469</f>
        <v>0.29345869173835631</v>
      </c>
    </row>
    <row r="1471" spans="22:44">
      <c r="V1471">
        <v>1463</v>
      </c>
      <c r="W1471">
        <v>77.787171965939805</v>
      </c>
      <c r="AQ1471">
        <f>SMALL('Iter No Test'!$W$9:$W$5008,1469)</f>
        <v>165.74358219892926</v>
      </c>
      <c r="AR1471">
        <f>1/(COUNT('Iter No Test'!$W$9:$W$5008)-1)+$AR$1470</f>
        <v>0.29365873174635793</v>
      </c>
    </row>
    <row r="1472" spans="22:44">
      <c r="V1472">
        <v>1464</v>
      </c>
      <c r="W1472">
        <v>170.17978099322437</v>
      </c>
      <c r="AQ1472">
        <f>SMALL('Iter No Test'!$W$9:$W$5008,1470)</f>
        <v>165.77042869492951</v>
      </c>
      <c r="AR1472">
        <f>1/(COUNT('Iter No Test'!$W$9:$W$5008)-1)+$AR$1471</f>
        <v>0.29385877175435954</v>
      </c>
    </row>
    <row r="1473" spans="22:44">
      <c r="V1473">
        <v>1465</v>
      </c>
      <c r="W1473">
        <v>145.81112999143897</v>
      </c>
      <c r="AQ1473">
        <f>SMALL('Iter No Test'!$W$9:$W$5008,1471)</f>
        <v>165.82391575373003</v>
      </c>
      <c r="AR1473">
        <f>1/(COUNT('Iter No Test'!$W$9:$W$5008)-1)+$AR$1472</f>
        <v>0.29405881176236115</v>
      </c>
    </row>
    <row r="1474" spans="22:44">
      <c r="V1474">
        <v>1466</v>
      </c>
      <c r="W1474">
        <v>194.13529827737946</v>
      </c>
      <c r="AQ1474">
        <f>SMALL('Iter No Test'!$W$9:$W$5008,1472)</f>
        <v>165.90587190264</v>
      </c>
      <c r="AR1474">
        <f>1/(COUNT('Iter No Test'!$W$9:$W$5008)-1)+$AR$1473</f>
        <v>0.29425885177036276</v>
      </c>
    </row>
    <row r="1475" spans="22:44">
      <c r="V1475">
        <v>1467</v>
      </c>
      <c r="W1475">
        <v>133.56880966797485</v>
      </c>
      <c r="AQ1475">
        <f>SMALL('Iter No Test'!$W$9:$W$5008,1473)</f>
        <v>165.9609414342271</v>
      </c>
      <c r="AR1475">
        <f>1/(COUNT('Iter No Test'!$W$9:$W$5008)-1)+$AR$1474</f>
        <v>0.29445889177836437</v>
      </c>
    </row>
    <row r="1476" spans="22:44">
      <c r="V1476">
        <v>1468</v>
      </c>
      <c r="W1476">
        <v>84.768788387977565</v>
      </c>
      <c r="AQ1476">
        <f>SMALL('Iter No Test'!$W$9:$W$5008,1474)</f>
        <v>166.02853002679973</v>
      </c>
      <c r="AR1476">
        <f>1/(COUNT('Iter No Test'!$W$9:$W$5008)-1)+$AR$1475</f>
        <v>0.29465893178636599</v>
      </c>
    </row>
    <row r="1477" spans="22:44">
      <c r="V1477">
        <v>1469</v>
      </c>
      <c r="W1477">
        <v>279.39688377410926</v>
      </c>
      <c r="AQ1477">
        <f>SMALL('Iter No Test'!$W$9:$W$5008,1475)</f>
        <v>166.06676039219209</v>
      </c>
      <c r="AR1477">
        <f>1/(COUNT('Iter No Test'!$W$9:$W$5008)-1)+$AR$1476</f>
        <v>0.2948589717943676</v>
      </c>
    </row>
    <row r="1478" spans="22:44">
      <c r="V1478">
        <v>1470</v>
      </c>
      <c r="W1478">
        <v>247.09488173838409</v>
      </c>
      <c r="AQ1478">
        <f>SMALL('Iter No Test'!$W$9:$W$5008,1476)</f>
        <v>166.08907398049661</v>
      </c>
      <c r="AR1478">
        <f>1/(COUNT('Iter No Test'!$W$9:$W$5008)-1)+$AR$1477</f>
        <v>0.29505901180236921</v>
      </c>
    </row>
    <row r="1479" spans="22:44">
      <c r="V1479">
        <v>1471</v>
      </c>
      <c r="W1479">
        <v>188.30249134915837</v>
      </c>
      <c r="AQ1479">
        <f>SMALL('Iter No Test'!$W$9:$W$5008,1477)</f>
        <v>166.09780236433016</v>
      </c>
      <c r="AR1479">
        <f>1/(COUNT('Iter No Test'!$W$9:$W$5008)-1)+$AR$1478</f>
        <v>0.29525905181037082</v>
      </c>
    </row>
    <row r="1480" spans="22:44">
      <c r="V1480">
        <v>1472</v>
      </c>
      <c r="W1480">
        <v>191.61167046255389</v>
      </c>
      <c r="AQ1480">
        <f>SMALL('Iter No Test'!$W$9:$W$5008,1478)</f>
        <v>166.11080919538264</v>
      </c>
      <c r="AR1480">
        <f>1/(COUNT('Iter No Test'!$W$9:$W$5008)-1)+$AR$1479</f>
        <v>0.29545909181837243</v>
      </c>
    </row>
    <row r="1481" spans="22:44">
      <c r="V1481">
        <v>1473</v>
      </c>
      <c r="W1481">
        <v>165.63770988383465</v>
      </c>
      <c r="AQ1481">
        <f>SMALL('Iter No Test'!$W$9:$W$5008,1479)</f>
        <v>166.12091762795933</v>
      </c>
      <c r="AR1481">
        <f>1/(COUNT('Iter No Test'!$W$9:$W$5008)-1)+$AR$1480</f>
        <v>0.29565913182637404</v>
      </c>
    </row>
    <row r="1482" spans="22:44">
      <c r="V1482">
        <v>1474</v>
      </c>
      <c r="W1482">
        <v>205.42204816689031</v>
      </c>
      <c r="AQ1482">
        <f>SMALL('Iter No Test'!$W$9:$W$5008,1480)</f>
        <v>166.13288056874615</v>
      </c>
      <c r="AR1482">
        <f>1/(COUNT('Iter No Test'!$W$9:$W$5008)-1)+$AR$1481</f>
        <v>0.29585917183437566</v>
      </c>
    </row>
    <row r="1483" spans="22:44">
      <c r="V1483">
        <v>1475</v>
      </c>
      <c r="W1483">
        <v>195.53051488566993</v>
      </c>
      <c r="AQ1483">
        <f>SMALL('Iter No Test'!$W$9:$W$5008,1481)</f>
        <v>166.14776369001086</v>
      </c>
      <c r="AR1483">
        <f>1/(COUNT('Iter No Test'!$W$9:$W$5008)-1)+$AR$1482</f>
        <v>0.29605921184237727</v>
      </c>
    </row>
    <row r="1484" spans="22:44">
      <c r="V1484">
        <v>1476</v>
      </c>
      <c r="W1484">
        <v>164.15539420771751</v>
      </c>
      <c r="AQ1484">
        <f>SMALL('Iter No Test'!$W$9:$W$5008,1482)</f>
        <v>166.14900138760714</v>
      </c>
      <c r="AR1484">
        <f>1/(COUNT('Iter No Test'!$W$9:$W$5008)-1)+$AR$1483</f>
        <v>0.29625925185037888</v>
      </c>
    </row>
    <row r="1485" spans="22:44">
      <c r="V1485">
        <v>1477</v>
      </c>
      <c r="W1485">
        <v>130.07729829519465</v>
      </c>
      <c r="AQ1485">
        <f>SMALL('Iter No Test'!$W$9:$W$5008,1483)</f>
        <v>166.17255527361581</v>
      </c>
      <c r="AR1485">
        <f>1/(COUNT('Iter No Test'!$W$9:$W$5008)-1)+$AR$1484</f>
        <v>0.29645929185838049</v>
      </c>
    </row>
    <row r="1486" spans="22:44">
      <c r="V1486">
        <v>1478</v>
      </c>
      <c r="W1486">
        <v>243.30516742789467</v>
      </c>
      <c r="AQ1486">
        <f>SMALL('Iter No Test'!$W$9:$W$5008,1484)</f>
        <v>166.29343658479718</v>
      </c>
      <c r="AR1486">
        <f>1/(COUNT('Iter No Test'!$W$9:$W$5008)-1)+$AR$1485</f>
        <v>0.2966593318663821</v>
      </c>
    </row>
    <row r="1487" spans="22:44">
      <c r="V1487">
        <v>1479</v>
      </c>
      <c r="W1487">
        <v>228.26523981570259</v>
      </c>
      <c r="AQ1487">
        <f>SMALL('Iter No Test'!$W$9:$W$5008,1485)</f>
        <v>166.31663579877898</v>
      </c>
      <c r="AR1487">
        <f>1/(COUNT('Iter No Test'!$W$9:$W$5008)-1)+$AR$1486</f>
        <v>0.29685937187438372</v>
      </c>
    </row>
    <row r="1488" spans="22:44">
      <c r="V1488">
        <v>1480</v>
      </c>
      <c r="W1488">
        <v>240.13612294354036</v>
      </c>
      <c r="AQ1488">
        <f>SMALL('Iter No Test'!$W$9:$W$5008,1486)</f>
        <v>166.33063055107232</v>
      </c>
      <c r="AR1488">
        <f>1/(COUNT('Iter No Test'!$W$9:$W$5008)-1)+$AR$1487</f>
        <v>0.29705941188238533</v>
      </c>
    </row>
    <row r="1489" spans="22:44">
      <c r="V1489">
        <v>1481</v>
      </c>
      <c r="W1489">
        <v>164.70664096086915</v>
      </c>
      <c r="AQ1489">
        <f>SMALL('Iter No Test'!$W$9:$W$5008,1487)</f>
        <v>166.46399410809323</v>
      </c>
      <c r="AR1489">
        <f>1/(COUNT('Iter No Test'!$W$9:$W$5008)-1)+$AR$1488</f>
        <v>0.29725945189038694</v>
      </c>
    </row>
    <row r="1490" spans="22:44">
      <c r="V1490">
        <v>1482</v>
      </c>
      <c r="W1490">
        <v>299.81828091932374</v>
      </c>
      <c r="AQ1490">
        <f>SMALL('Iter No Test'!$W$9:$W$5008,1488)</f>
        <v>166.55895302637822</v>
      </c>
      <c r="AR1490">
        <f>1/(COUNT('Iter No Test'!$W$9:$W$5008)-1)+$AR$1489</f>
        <v>0.29745949189838855</v>
      </c>
    </row>
    <row r="1491" spans="22:44">
      <c r="V1491">
        <v>1483</v>
      </c>
      <c r="W1491">
        <v>324.18559361052121</v>
      </c>
      <c r="AQ1491">
        <f>SMALL('Iter No Test'!$W$9:$W$5008,1489)</f>
        <v>166.61216214930431</v>
      </c>
      <c r="AR1491">
        <f>1/(COUNT('Iter No Test'!$W$9:$W$5008)-1)+$AR$1490</f>
        <v>0.29765953190639016</v>
      </c>
    </row>
    <row r="1492" spans="22:44">
      <c r="V1492">
        <v>1484</v>
      </c>
      <c r="W1492">
        <v>155.60233944224785</v>
      </c>
      <c r="AQ1492">
        <f>SMALL('Iter No Test'!$W$9:$W$5008,1490)</f>
        <v>166.70834412553126</v>
      </c>
      <c r="AR1492">
        <f>1/(COUNT('Iter No Test'!$W$9:$W$5008)-1)+$AR$1491</f>
        <v>0.29785957191439177</v>
      </c>
    </row>
    <row r="1493" spans="22:44">
      <c r="V1493">
        <v>1485</v>
      </c>
      <c r="W1493">
        <v>128.61556077628887</v>
      </c>
      <c r="AQ1493">
        <f>SMALL('Iter No Test'!$W$9:$W$5008,1491)</f>
        <v>166.73657075697059</v>
      </c>
      <c r="AR1493">
        <f>1/(COUNT('Iter No Test'!$W$9:$W$5008)-1)+$AR$1492</f>
        <v>0.29805961192239339</v>
      </c>
    </row>
    <row r="1494" spans="22:44">
      <c r="V1494">
        <v>1486</v>
      </c>
      <c r="W1494">
        <v>40.906381295866936</v>
      </c>
      <c r="AQ1494">
        <f>SMALL('Iter No Test'!$W$9:$W$5008,1492)</f>
        <v>166.75314650749854</v>
      </c>
      <c r="AR1494">
        <f>1/(COUNT('Iter No Test'!$W$9:$W$5008)-1)+$AR$1493</f>
        <v>0.298259651930395</v>
      </c>
    </row>
    <row r="1495" spans="22:44">
      <c r="V1495">
        <v>1487</v>
      </c>
      <c r="W1495">
        <v>238.06953405965413</v>
      </c>
      <c r="AQ1495">
        <f>SMALL('Iter No Test'!$W$9:$W$5008,1493)</f>
        <v>166.77790896359386</v>
      </c>
      <c r="AR1495">
        <f>1/(COUNT('Iter No Test'!$W$9:$W$5008)-1)+$AR$1494</f>
        <v>0.29845969193839661</v>
      </c>
    </row>
    <row r="1496" spans="22:44">
      <c r="V1496">
        <v>1488</v>
      </c>
      <c r="W1496">
        <v>96.327524664306779</v>
      </c>
      <c r="AQ1496">
        <f>SMALL('Iter No Test'!$W$9:$W$5008,1494)</f>
        <v>166.82676835734799</v>
      </c>
      <c r="AR1496">
        <f>1/(COUNT('Iter No Test'!$W$9:$W$5008)-1)+$AR$1495</f>
        <v>0.29865973194639822</v>
      </c>
    </row>
    <row r="1497" spans="22:44">
      <c r="V1497">
        <v>1489</v>
      </c>
      <c r="W1497">
        <v>73.66261144769291</v>
      </c>
      <c r="AQ1497">
        <f>SMALL('Iter No Test'!$W$9:$W$5008,1495)</f>
        <v>166.82729138380705</v>
      </c>
      <c r="AR1497">
        <f>1/(COUNT('Iter No Test'!$W$9:$W$5008)-1)+$AR$1496</f>
        <v>0.29885977195439983</v>
      </c>
    </row>
    <row r="1498" spans="22:44">
      <c r="V1498">
        <v>1490</v>
      </c>
      <c r="W1498">
        <v>359.9115476064913</v>
      </c>
      <c r="AQ1498">
        <f>SMALL('Iter No Test'!$W$9:$W$5008,1496)</f>
        <v>167.05642699743578</v>
      </c>
      <c r="AR1498">
        <f>1/(COUNT('Iter No Test'!$W$9:$W$5008)-1)+$AR$1497</f>
        <v>0.29905981196240145</v>
      </c>
    </row>
    <row r="1499" spans="22:44">
      <c r="V1499">
        <v>1491</v>
      </c>
      <c r="W1499">
        <v>112.99545925410777</v>
      </c>
      <c r="AQ1499">
        <f>SMALL('Iter No Test'!$W$9:$W$5008,1497)</f>
        <v>167.13943090625003</v>
      </c>
      <c r="AR1499">
        <f>1/(COUNT('Iter No Test'!$W$9:$W$5008)-1)+$AR$1498</f>
        <v>0.29925985197040306</v>
      </c>
    </row>
    <row r="1500" spans="22:44">
      <c r="V1500">
        <v>1492</v>
      </c>
      <c r="W1500">
        <v>248.36591335036684</v>
      </c>
      <c r="AQ1500">
        <f>SMALL('Iter No Test'!$W$9:$W$5008,1498)</f>
        <v>167.20897191386348</v>
      </c>
      <c r="AR1500">
        <f>1/(COUNT('Iter No Test'!$W$9:$W$5008)-1)+$AR$1499</f>
        <v>0.29945989197840467</v>
      </c>
    </row>
    <row r="1501" spans="22:44">
      <c r="V1501">
        <v>1493</v>
      </c>
      <c r="W1501">
        <v>293.42386185948396</v>
      </c>
      <c r="AQ1501">
        <f>SMALL('Iter No Test'!$W$9:$W$5008,1499)</f>
        <v>167.37867600194926</v>
      </c>
      <c r="AR1501">
        <f>1/(COUNT('Iter No Test'!$W$9:$W$5008)-1)+$AR$1500</f>
        <v>0.29965993198640628</v>
      </c>
    </row>
    <row r="1502" spans="22:44">
      <c r="V1502">
        <v>1494</v>
      </c>
      <c r="W1502">
        <v>206.19263408905005</v>
      </c>
      <c r="AQ1502">
        <f>SMALL('Iter No Test'!$W$9:$W$5008,1500)</f>
        <v>167.4192755305682</v>
      </c>
      <c r="AR1502">
        <f>1/(COUNT('Iter No Test'!$W$9:$W$5008)-1)+$AR$1501</f>
        <v>0.29985997199440789</v>
      </c>
    </row>
    <row r="1503" spans="22:44">
      <c r="V1503">
        <v>1495</v>
      </c>
      <c r="W1503">
        <v>136.02659894215893</v>
      </c>
      <c r="AQ1503">
        <f>SMALL('Iter No Test'!$W$9:$W$5008,1501)</f>
        <v>167.54019866712531</v>
      </c>
      <c r="AR1503">
        <f>1/(COUNT('Iter No Test'!$W$9:$W$5008)-1)+$AR$1502</f>
        <v>0.3000600120024095</v>
      </c>
    </row>
    <row r="1504" spans="22:44">
      <c r="V1504">
        <v>1496</v>
      </c>
      <c r="W1504">
        <v>169.42649207201322</v>
      </c>
      <c r="AQ1504">
        <f>SMALL('Iter No Test'!$W$9:$W$5008,1502)</f>
        <v>167.54877692702695</v>
      </c>
      <c r="AR1504">
        <f>1/(COUNT('Iter No Test'!$W$9:$W$5008)-1)+$AR$1503</f>
        <v>0.30026005201041112</v>
      </c>
    </row>
    <row r="1505" spans="22:44">
      <c r="V1505">
        <v>1497</v>
      </c>
      <c r="W1505">
        <v>274.3730362691374</v>
      </c>
      <c r="AQ1505">
        <f>SMALL('Iter No Test'!$W$9:$W$5008,1503)</f>
        <v>167.5547348906012</v>
      </c>
      <c r="AR1505">
        <f>1/(COUNT('Iter No Test'!$W$9:$W$5008)-1)+$AR$1504</f>
        <v>0.30046009201841273</v>
      </c>
    </row>
    <row r="1506" spans="22:44">
      <c r="V1506">
        <v>1498</v>
      </c>
      <c r="W1506">
        <v>223.58023776144387</v>
      </c>
      <c r="AQ1506">
        <f>SMALL('Iter No Test'!$W$9:$W$5008,1504)</f>
        <v>167.56553148198219</v>
      </c>
      <c r="AR1506">
        <f>1/(COUNT('Iter No Test'!$W$9:$W$5008)-1)+$AR$1505</f>
        <v>0.30066013202641434</v>
      </c>
    </row>
    <row r="1507" spans="22:44">
      <c r="V1507">
        <v>1499</v>
      </c>
      <c r="W1507">
        <v>395.03936151861956</v>
      </c>
      <c r="AQ1507">
        <f>SMALL('Iter No Test'!$W$9:$W$5008,1505)</f>
        <v>167.64598961134709</v>
      </c>
      <c r="AR1507">
        <f>1/(COUNT('Iter No Test'!$W$9:$W$5008)-1)+$AR$1506</f>
        <v>0.30086017203441595</v>
      </c>
    </row>
    <row r="1508" spans="22:44">
      <c r="V1508">
        <v>1500</v>
      </c>
      <c r="W1508">
        <v>223.86699309968316</v>
      </c>
      <c r="AQ1508">
        <f>SMALL('Iter No Test'!$W$9:$W$5008,1506)</f>
        <v>167.64715739647357</v>
      </c>
      <c r="AR1508">
        <f>1/(COUNT('Iter No Test'!$W$9:$W$5008)-1)+$AR$1507</f>
        <v>0.30106021204241756</v>
      </c>
    </row>
    <row r="1509" spans="22:44">
      <c r="V1509">
        <v>1501</v>
      </c>
      <c r="W1509">
        <v>412.2274831436103</v>
      </c>
      <c r="AQ1509">
        <f>SMALL('Iter No Test'!$W$9:$W$5008,1507)</f>
        <v>167.69096081739144</v>
      </c>
      <c r="AR1509">
        <f>1/(COUNT('Iter No Test'!$W$9:$W$5008)-1)+$AR$1508</f>
        <v>0.30126025205041917</v>
      </c>
    </row>
    <row r="1510" spans="22:44">
      <c r="V1510">
        <v>1502</v>
      </c>
      <c r="W1510">
        <v>184.2792886334517</v>
      </c>
      <c r="AQ1510">
        <f>SMALL('Iter No Test'!$W$9:$W$5008,1508)</f>
        <v>167.70316423485463</v>
      </c>
      <c r="AR1510">
        <f>1/(COUNT('Iter No Test'!$W$9:$W$5008)-1)+$AR$1509</f>
        <v>0.30146029205842079</v>
      </c>
    </row>
    <row r="1511" spans="22:44">
      <c r="V1511">
        <v>1503</v>
      </c>
      <c r="W1511">
        <v>177.81618214123517</v>
      </c>
      <c r="AQ1511">
        <f>SMALL('Iter No Test'!$W$9:$W$5008,1509)</f>
        <v>167.71336227436825</v>
      </c>
      <c r="AR1511">
        <f>1/(COUNT('Iter No Test'!$W$9:$W$5008)-1)+$AR$1510</f>
        <v>0.3016603320664224</v>
      </c>
    </row>
    <row r="1512" spans="22:44">
      <c r="V1512">
        <v>1504</v>
      </c>
      <c r="W1512">
        <v>236.90544074146538</v>
      </c>
      <c r="AQ1512">
        <f>SMALL('Iter No Test'!$W$9:$W$5008,1510)</f>
        <v>167.73554313350022</v>
      </c>
      <c r="AR1512">
        <f>1/(COUNT('Iter No Test'!$W$9:$W$5008)-1)+$AR$1511</f>
        <v>0.30186037207442401</v>
      </c>
    </row>
    <row r="1513" spans="22:44">
      <c r="V1513">
        <v>1505</v>
      </c>
      <c r="W1513">
        <v>29.680922461449171</v>
      </c>
      <c r="AQ1513">
        <f>SMALL('Iter No Test'!$W$9:$W$5008,1511)</f>
        <v>167.73657923482125</v>
      </c>
      <c r="AR1513">
        <f>1/(COUNT('Iter No Test'!$W$9:$W$5008)-1)+$AR$1512</f>
        <v>0.30206041208242562</v>
      </c>
    </row>
    <row r="1514" spans="22:44">
      <c r="V1514">
        <v>1506</v>
      </c>
      <c r="W1514">
        <v>169.65917091981407</v>
      </c>
      <c r="AQ1514">
        <f>SMALL('Iter No Test'!$W$9:$W$5008,1512)</f>
        <v>167.84832992253686</v>
      </c>
      <c r="AR1514">
        <f>1/(COUNT('Iter No Test'!$W$9:$W$5008)-1)+$AR$1513</f>
        <v>0.30226045209042723</v>
      </c>
    </row>
    <row r="1515" spans="22:44">
      <c r="V1515">
        <v>1507</v>
      </c>
      <c r="W1515">
        <v>403.89061048067327</v>
      </c>
      <c r="AQ1515">
        <f>SMALL('Iter No Test'!$W$9:$W$5008,1513)</f>
        <v>167.86919742212987</v>
      </c>
      <c r="AR1515">
        <f>1/(COUNT('Iter No Test'!$W$9:$W$5008)-1)+$AR$1514</f>
        <v>0.30246049209842885</v>
      </c>
    </row>
    <row r="1516" spans="22:44">
      <c r="V1516">
        <v>1508</v>
      </c>
      <c r="W1516">
        <v>219.05609271675195</v>
      </c>
      <c r="AQ1516">
        <f>SMALL('Iter No Test'!$W$9:$W$5008,1514)</f>
        <v>167.87966966712295</v>
      </c>
      <c r="AR1516">
        <f>1/(COUNT('Iter No Test'!$W$9:$W$5008)-1)+$AR$1515</f>
        <v>0.30266053210643046</v>
      </c>
    </row>
    <row r="1517" spans="22:44">
      <c r="V1517">
        <v>1509</v>
      </c>
      <c r="W1517">
        <v>282.96667559657186</v>
      </c>
      <c r="AQ1517">
        <f>SMALL('Iter No Test'!$W$9:$W$5008,1515)</f>
        <v>167.91892449988998</v>
      </c>
      <c r="AR1517">
        <f>1/(COUNT('Iter No Test'!$W$9:$W$5008)-1)+$AR$1516</f>
        <v>0.30286057211443207</v>
      </c>
    </row>
    <row r="1518" spans="22:44">
      <c r="V1518">
        <v>1510</v>
      </c>
      <c r="W1518">
        <v>137.4152103859781</v>
      </c>
      <c r="AQ1518">
        <f>SMALL('Iter No Test'!$W$9:$W$5008,1516)</f>
        <v>167.95990544132187</v>
      </c>
      <c r="AR1518">
        <f>1/(COUNT('Iter No Test'!$W$9:$W$5008)-1)+$AR$1517</f>
        <v>0.30306061212243368</v>
      </c>
    </row>
    <row r="1519" spans="22:44">
      <c r="V1519">
        <v>1511</v>
      </c>
      <c r="W1519">
        <v>252.32728395046402</v>
      </c>
      <c r="AQ1519">
        <f>SMALL('Iter No Test'!$W$9:$W$5008,1517)</f>
        <v>167.979009719473</v>
      </c>
      <c r="AR1519">
        <f>1/(COUNT('Iter No Test'!$W$9:$W$5008)-1)+$AR$1518</f>
        <v>0.30326065213043529</v>
      </c>
    </row>
    <row r="1520" spans="22:44">
      <c r="V1520">
        <v>1512</v>
      </c>
      <c r="W1520">
        <v>180.09479802919716</v>
      </c>
      <c r="AQ1520">
        <f>SMALL('Iter No Test'!$W$9:$W$5008,1518)</f>
        <v>167.98470439945112</v>
      </c>
      <c r="AR1520">
        <f>1/(COUNT('Iter No Test'!$W$9:$W$5008)-1)+$AR$1519</f>
        <v>0.3034606921384369</v>
      </c>
    </row>
    <row r="1521" spans="22:44">
      <c r="V1521">
        <v>1513</v>
      </c>
      <c r="W1521">
        <v>324.55116702410407</v>
      </c>
      <c r="AQ1521">
        <f>SMALL('Iter No Test'!$W$9:$W$5008,1519)</f>
        <v>168.01406375087817</v>
      </c>
      <c r="AR1521">
        <f>1/(COUNT('Iter No Test'!$W$9:$W$5008)-1)+$AR$1520</f>
        <v>0.30366073214643852</v>
      </c>
    </row>
    <row r="1522" spans="22:44">
      <c r="V1522">
        <v>1514</v>
      </c>
      <c r="W1522">
        <v>268.42667594796507</v>
      </c>
      <c r="AQ1522">
        <f>SMALL('Iter No Test'!$W$9:$W$5008,1520)</f>
        <v>168.15079976245852</v>
      </c>
      <c r="AR1522">
        <f>1/(COUNT('Iter No Test'!$W$9:$W$5008)-1)+$AR$1521</f>
        <v>0.30386077215444013</v>
      </c>
    </row>
    <row r="1523" spans="22:44">
      <c r="V1523">
        <v>1515</v>
      </c>
      <c r="W1523">
        <v>321.51657023872735</v>
      </c>
      <c r="AQ1523">
        <f>SMALL('Iter No Test'!$W$9:$W$5008,1521)</f>
        <v>168.2681435180391</v>
      </c>
      <c r="AR1523">
        <f>1/(COUNT('Iter No Test'!$W$9:$W$5008)-1)+$AR$1522</f>
        <v>0.30406081216244174</v>
      </c>
    </row>
    <row r="1524" spans="22:44">
      <c r="V1524">
        <v>1516</v>
      </c>
      <c r="W1524">
        <v>145.3548690218548</v>
      </c>
      <c r="AQ1524">
        <f>SMALL('Iter No Test'!$W$9:$W$5008,1522)</f>
        <v>168.28819894593349</v>
      </c>
      <c r="AR1524">
        <f>1/(COUNT('Iter No Test'!$W$9:$W$5008)-1)+$AR$1523</f>
        <v>0.30426085217044335</v>
      </c>
    </row>
    <row r="1525" spans="22:44">
      <c r="V1525">
        <v>1517</v>
      </c>
      <c r="W1525">
        <v>249.58403351154504</v>
      </c>
      <c r="AQ1525">
        <f>SMALL('Iter No Test'!$W$9:$W$5008,1523)</f>
        <v>168.31011659854329</v>
      </c>
      <c r="AR1525">
        <f>1/(COUNT('Iter No Test'!$W$9:$W$5008)-1)+$AR$1524</f>
        <v>0.30446089217844496</v>
      </c>
    </row>
    <row r="1526" spans="22:44">
      <c r="V1526">
        <v>1518</v>
      </c>
      <c r="W1526">
        <v>382.15826949504026</v>
      </c>
      <c r="AQ1526">
        <f>SMALL('Iter No Test'!$W$9:$W$5008,1524)</f>
        <v>168.38617814888309</v>
      </c>
      <c r="AR1526">
        <f>1/(COUNT('Iter No Test'!$W$9:$W$5008)-1)+$AR$1525</f>
        <v>0.30466093218644658</v>
      </c>
    </row>
    <row r="1527" spans="22:44">
      <c r="V1527">
        <v>1519</v>
      </c>
      <c r="W1527">
        <v>100.01211486106628</v>
      </c>
      <c r="AQ1527">
        <f>SMALL('Iter No Test'!$W$9:$W$5008,1525)</f>
        <v>168.42426830118598</v>
      </c>
      <c r="AR1527">
        <f>1/(COUNT('Iter No Test'!$W$9:$W$5008)-1)+$AR$1526</f>
        <v>0.30486097219444819</v>
      </c>
    </row>
    <row r="1528" spans="22:44">
      <c r="V1528">
        <v>1520</v>
      </c>
      <c r="W1528">
        <v>200.65655362774393</v>
      </c>
      <c r="AQ1528">
        <f>SMALL('Iter No Test'!$W$9:$W$5008,1526)</f>
        <v>168.42725079366335</v>
      </c>
      <c r="AR1528">
        <f>1/(COUNT('Iter No Test'!$W$9:$W$5008)-1)+$AR$1527</f>
        <v>0.3050610122024498</v>
      </c>
    </row>
    <row r="1529" spans="22:44">
      <c r="V1529">
        <v>1521</v>
      </c>
      <c r="W1529">
        <v>172.84500866571213</v>
      </c>
      <c r="AQ1529">
        <f>SMALL('Iter No Test'!$W$9:$W$5008,1527)</f>
        <v>168.44284516157077</v>
      </c>
      <c r="AR1529">
        <f>1/(COUNT('Iter No Test'!$W$9:$W$5008)-1)+$AR$1528</f>
        <v>0.30526105221045141</v>
      </c>
    </row>
    <row r="1530" spans="22:44">
      <c r="V1530">
        <v>1522</v>
      </c>
      <c r="W1530">
        <v>223.78291192739599</v>
      </c>
      <c r="AQ1530">
        <f>SMALL('Iter No Test'!$W$9:$W$5008,1528)</f>
        <v>168.47207531891488</v>
      </c>
      <c r="AR1530">
        <f>1/(COUNT('Iter No Test'!$W$9:$W$5008)-1)+$AR$1529</f>
        <v>0.30546109221845302</v>
      </c>
    </row>
    <row r="1531" spans="22:44">
      <c r="V1531">
        <v>1523</v>
      </c>
      <c r="W1531">
        <v>318.80832451206487</v>
      </c>
      <c r="AQ1531">
        <f>SMALL('Iter No Test'!$W$9:$W$5008,1529)</f>
        <v>168.49625383072981</v>
      </c>
      <c r="AR1531">
        <f>1/(COUNT('Iter No Test'!$W$9:$W$5008)-1)+$AR$1530</f>
        <v>0.30566113222645463</v>
      </c>
    </row>
    <row r="1532" spans="22:44">
      <c r="V1532">
        <v>1524</v>
      </c>
      <c r="W1532">
        <v>170.93812808276766</v>
      </c>
      <c r="AQ1532">
        <f>SMALL('Iter No Test'!$W$9:$W$5008,1530)</f>
        <v>168.49816579072095</v>
      </c>
      <c r="AR1532">
        <f>1/(COUNT('Iter No Test'!$W$9:$W$5008)-1)+$AR$1531</f>
        <v>0.30586117223445625</v>
      </c>
    </row>
    <row r="1533" spans="22:44">
      <c r="V1533">
        <v>1525</v>
      </c>
      <c r="W1533">
        <v>362.35574451058437</v>
      </c>
      <c r="AQ1533">
        <f>SMALL('Iter No Test'!$W$9:$W$5008,1531)</f>
        <v>168.51957502239867</v>
      </c>
      <c r="AR1533">
        <f>1/(COUNT('Iter No Test'!$W$9:$W$5008)-1)+$AR$1532</f>
        <v>0.30606121224245786</v>
      </c>
    </row>
    <row r="1534" spans="22:44">
      <c r="V1534">
        <v>1526</v>
      </c>
      <c r="W1534">
        <v>319.25320914168924</v>
      </c>
      <c r="AQ1534">
        <f>SMALL('Iter No Test'!$W$9:$W$5008,1532)</f>
        <v>168.52703952233537</v>
      </c>
      <c r="AR1534">
        <f>1/(COUNT('Iter No Test'!$W$9:$W$5008)-1)+$AR$1533</f>
        <v>0.30626125225045947</v>
      </c>
    </row>
    <row r="1535" spans="22:44">
      <c r="V1535">
        <v>1527</v>
      </c>
      <c r="W1535">
        <v>135.76887987213246</v>
      </c>
      <c r="AQ1535">
        <f>SMALL('Iter No Test'!$W$9:$W$5008,1533)</f>
        <v>168.57876887464812</v>
      </c>
      <c r="AR1535">
        <f>1/(COUNT('Iter No Test'!$W$9:$W$5008)-1)+$AR$1534</f>
        <v>0.30646129225846108</v>
      </c>
    </row>
    <row r="1536" spans="22:44">
      <c r="V1536">
        <v>1528</v>
      </c>
      <c r="W1536">
        <v>229.80982426480563</v>
      </c>
      <c r="AQ1536">
        <f>SMALL('Iter No Test'!$W$9:$W$5008,1534)</f>
        <v>168.59637087991811</v>
      </c>
      <c r="AR1536">
        <f>1/(COUNT('Iter No Test'!$W$9:$W$5008)-1)+$AR$1535</f>
        <v>0.30666133226646269</v>
      </c>
    </row>
    <row r="1537" spans="22:44">
      <c r="V1537">
        <v>1529</v>
      </c>
      <c r="W1537">
        <v>219.97827146483493</v>
      </c>
      <c r="AQ1537">
        <f>SMALL('Iter No Test'!$W$9:$W$5008,1535)</f>
        <v>168.63295473136031</v>
      </c>
      <c r="AR1537">
        <f>1/(COUNT('Iter No Test'!$W$9:$W$5008)-1)+$AR$1536</f>
        <v>0.30686137227446431</v>
      </c>
    </row>
    <row r="1538" spans="22:44">
      <c r="V1538">
        <v>1530</v>
      </c>
      <c r="W1538">
        <v>182.66103573021977</v>
      </c>
      <c r="AQ1538">
        <f>SMALL('Iter No Test'!$W$9:$W$5008,1536)</f>
        <v>168.63693893825447</v>
      </c>
      <c r="AR1538">
        <f>1/(COUNT('Iter No Test'!$W$9:$W$5008)-1)+$AR$1537</f>
        <v>0.30706141228246592</v>
      </c>
    </row>
    <row r="1539" spans="22:44">
      <c r="V1539">
        <v>1531</v>
      </c>
      <c r="W1539">
        <v>106.32862591716489</v>
      </c>
      <c r="AQ1539">
        <f>SMALL('Iter No Test'!$W$9:$W$5008,1537)</f>
        <v>168.67496878891561</v>
      </c>
      <c r="AR1539">
        <f>1/(COUNT('Iter No Test'!$W$9:$W$5008)-1)+$AR$1538</f>
        <v>0.30726145229046753</v>
      </c>
    </row>
    <row r="1540" spans="22:44">
      <c r="V1540">
        <v>1532</v>
      </c>
      <c r="W1540">
        <v>279.19641324147801</v>
      </c>
      <c r="AQ1540">
        <f>SMALL('Iter No Test'!$W$9:$W$5008,1538)</f>
        <v>168.75142283099825</v>
      </c>
      <c r="AR1540">
        <f>1/(COUNT('Iter No Test'!$W$9:$W$5008)-1)+$AR$1539</f>
        <v>0.30746149229846914</v>
      </c>
    </row>
    <row r="1541" spans="22:44">
      <c r="V1541">
        <v>1533</v>
      </c>
      <c r="W1541">
        <v>238.02788228947094</v>
      </c>
      <c r="AQ1541">
        <f>SMALL('Iter No Test'!$W$9:$W$5008,1539)</f>
        <v>168.88972949275785</v>
      </c>
      <c r="AR1541">
        <f>1/(COUNT('Iter No Test'!$W$9:$W$5008)-1)+$AR$1540</f>
        <v>0.30766153230647075</v>
      </c>
    </row>
    <row r="1542" spans="22:44">
      <c r="V1542">
        <v>1534</v>
      </c>
      <c r="W1542">
        <v>233.57967330970331</v>
      </c>
      <c r="AQ1542">
        <f>SMALL('Iter No Test'!$W$9:$W$5008,1540)</f>
        <v>169.04737821579823</v>
      </c>
      <c r="AR1542">
        <f>1/(COUNT('Iter No Test'!$W$9:$W$5008)-1)+$AR$1541</f>
        <v>0.30786157231447236</v>
      </c>
    </row>
    <row r="1543" spans="22:44">
      <c r="V1543">
        <v>1535</v>
      </c>
      <c r="W1543">
        <v>209.95224521922552</v>
      </c>
      <c r="AQ1543">
        <f>SMALL('Iter No Test'!$W$9:$W$5008,1541)</f>
        <v>169.0964731770944</v>
      </c>
      <c r="AR1543">
        <f>1/(COUNT('Iter No Test'!$W$9:$W$5008)-1)+$AR$1542</f>
        <v>0.30806161232247398</v>
      </c>
    </row>
    <row r="1544" spans="22:44">
      <c r="V1544">
        <v>1536</v>
      </c>
      <c r="W1544">
        <v>133.86756473209633</v>
      </c>
      <c r="AQ1544">
        <f>SMALL('Iter No Test'!$W$9:$W$5008,1542)</f>
        <v>169.25416019424793</v>
      </c>
      <c r="AR1544">
        <f>1/(COUNT('Iter No Test'!$W$9:$W$5008)-1)+$AR$1543</f>
        <v>0.30826165233047559</v>
      </c>
    </row>
    <row r="1545" spans="22:44">
      <c r="V1545">
        <v>1537</v>
      </c>
      <c r="W1545">
        <v>130.34145879162622</v>
      </c>
      <c r="AQ1545">
        <f>SMALL('Iter No Test'!$W$9:$W$5008,1543)</f>
        <v>169.26928819052597</v>
      </c>
      <c r="AR1545">
        <f>1/(COUNT('Iter No Test'!$W$9:$W$5008)-1)+$AR$1544</f>
        <v>0.3084616923384772</v>
      </c>
    </row>
    <row r="1546" spans="22:44">
      <c r="V1546">
        <v>1538</v>
      </c>
      <c r="W1546">
        <v>116.93134875732244</v>
      </c>
      <c r="AQ1546">
        <f>SMALL('Iter No Test'!$W$9:$W$5008,1544)</f>
        <v>169.29726711038643</v>
      </c>
      <c r="AR1546">
        <f>1/(COUNT('Iter No Test'!$W$9:$W$5008)-1)+$AR$1545</f>
        <v>0.30866173234647881</v>
      </c>
    </row>
    <row r="1547" spans="22:44">
      <c r="V1547">
        <v>1539</v>
      </c>
      <c r="W1547">
        <v>209.97693692249118</v>
      </c>
      <c r="AQ1547">
        <f>SMALL('Iter No Test'!$W$9:$W$5008,1545)</f>
        <v>169.33764197461937</v>
      </c>
      <c r="AR1547">
        <f>1/(COUNT('Iter No Test'!$W$9:$W$5008)-1)+$AR$1546</f>
        <v>0.30886177235448042</v>
      </c>
    </row>
    <row r="1548" spans="22:44">
      <c r="V1548">
        <v>1540</v>
      </c>
      <c r="W1548">
        <v>173.14166766243403</v>
      </c>
      <c r="AQ1548">
        <f>SMALL('Iter No Test'!$W$9:$W$5008,1546)</f>
        <v>169.34448796857095</v>
      </c>
      <c r="AR1548">
        <f>1/(COUNT('Iter No Test'!$W$9:$W$5008)-1)+$AR$1547</f>
        <v>0.30906181236248204</v>
      </c>
    </row>
    <row r="1549" spans="22:44">
      <c r="V1549">
        <v>1541</v>
      </c>
      <c r="W1549">
        <v>191.55904297719275</v>
      </c>
      <c r="AQ1549">
        <f>SMALL('Iter No Test'!$W$9:$W$5008,1547)</f>
        <v>169.40470308656714</v>
      </c>
      <c r="AR1549">
        <f>1/(COUNT('Iter No Test'!$W$9:$W$5008)-1)+$AR$1548</f>
        <v>0.30926185237048365</v>
      </c>
    </row>
    <row r="1550" spans="22:44">
      <c r="V1550">
        <v>1542</v>
      </c>
      <c r="W1550">
        <v>299.25323300957234</v>
      </c>
      <c r="AQ1550">
        <f>SMALL('Iter No Test'!$W$9:$W$5008,1548)</f>
        <v>169.41153535434793</v>
      </c>
      <c r="AR1550">
        <f>1/(COUNT('Iter No Test'!$W$9:$W$5008)-1)+$AR$1549</f>
        <v>0.30946189237848526</v>
      </c>
    </row>
    <row r="1551" spans="22:44">
      <c r="V1551">
        <v>1543</v>
      </c>
      <c r="W1551">
        <v>186.78626313330403</v>
      </c>
      <c r="AQ1551">
        <f>SMALL('Iter No Test'!$W$9:$W$5008,1549)</f>
        <v>169.42649207201322</v>
      </c>
      <c r="AR1551">
        <f>1/(COUNT('Iter No Test'!$W$9:$W$5008)-1)+$AR$1550</f>
        <v>0.30966193238648687</v>
      </c>
    </row>
    <row r="1552" spans="22:44">
      <c r="V1552">
        <v>1544</v>
      </c>
      <c r="W1552">
        <v>268.90286189041183</v>
      </c>
      <c r="AQ1552">
        <f>SMALL('Iter No Test'!$W$9:$W$5008,1550)</f>
        <v>169.43255734091733</v>
      </c>
      <c r="AR1552">
        <f>1/(COUNT('Iter No Test'!$W$9:$W$5008)-1)+$AR$1551</f>
        <v>0.30986197239448848</v>
      </c>
    </row>
    <row r="1553" spans="22:44">
      <c r="V1553">
        <v>1545</v>
      </c>
      <c r="W1553">
        <v>265.91416704503695</v>
      </c>
      <c r="AQ1553">
        <f>SMALL('Iter No Test'!$W$9:$W$5008,1551)</f>
        <v>169.52792731706134</v>
      </c>
      <c r="AR1553">
        <f>1/(COUNT('Iter No Test'!$W$9:$W$5008)-1)+$AR$1552</f>
        <v>0.31006201240249009</v>
      </c>
    </row>
    <row r="1554" spans="22:44">
      <c r="V1554">
        <v>1546</v>
      </c>
      <c r="W1554">
        <v>108.24341952040911</v>
      </c>
      <c r="AQ1554">
        <f>SMALL('Iter No Test'!$W$9:$W$5008,1552)</f>
        <v>169.62098747040224</v>
      </c>
      <c r="AR1554">
        <f>1/(COUNT('Iter No Test'!$W$9:$W$5008)-1)+$AR$1553</f>
        <v>0.31026205241049171</v>
      </c>
    </row>
    <row r="1555" spans="22:44">
      <c r="V1555">
        <v>1547</v>
      </c>
      <c r="W1555">
        <v>385.95173354190979</v>
      </c>
      <c r="AQ1555">
        <f>SMALL('Iter No Test'!$W$9:$W$5008,1553)</f>
        <v>169.65917091981407</v>
      </c>
      <c r="AR1555">
        <f>1/(COUNT('Iter No Test'!$W$9:$W$5008)-1)+$AR$1554</f>
        <v>0.31046209241849332</v>
      </c>
    </row>
    <row r="1556" spans="22:44">
      <c r="V1556">
        <v>1548</v>
      </c>
      <c r="W1556">
        <v>333.5127651015938</v>
      </c>
      <c r="AQ1556">
        <f>SMALL('Iter No Test'!$W$9:$W$5008,1554)</f>
        <v>169.67167576971607</v>
      </c>
      <c r="AR1556">
        <f>1/(COUNT('Iter No Test'!$W$9:$W$5008)-1)+$AR$1555</f>
        <v>0.31066213242649493</v>
      </c>
    </row>
    <row r="1557" spans="22:44">
      <c r="V1557">
        <v>1549</v>
      </c>
      <c r="W1557">
        <v>149.90583921844956</v>
      </c>
      <c r="AQ1557">
        <f>SMALL('Iter No Test'!$W$9:$W$5008,1555)</f>
        <v>169.69736779928155</v>
      </c>
      <c r="AR1557">
        <f>1/(COUNT('Iter No Test'!$W$9:$W$5008)-1)+$AR$1556</f>
        <v>0.31086217243449654</v>
      </c>
    </row>
    <row r="1558" spans="22:44">
      <c r="V1558">
        <v>1550</v>
      </c>
      <c r="W1558">
        <v>209.0274169254692</v>
      </c>
      <c r="AQ1558">
        <f>SMALL('Iter No Test'!$W$9:$W$5008,1556)</f>
        <v>169.88851128204408</v>
      </c>
      <c r="AR1558">
        <f>1/(COUNT('Iter No Test'!$W$9:$W$5008)-1)+$AR$1557</f>
        <v>0.31106221244249815</v>
      </c>
    </row>
    <row r="1559" spans="22:44">
      <c r="V1559">
        <v>1551</v>
      </c>
      <c r="W1559">
        <v>186.26245104723577</v>
      </c>
      <c r="AQ1559">
        <f>SMALL('Iter No Test'!$W$9:$W$5008,1557)</f>
        <v>169.94758753005286</v>
      </c>
      <c r="AR1559">
        <f>1/(COUNT('Iter No Test'!$W$9:$W$5008)-1)+$AR$1558</f>
        <v>0.31126225245049977</v>
      </c>
    </row>
    <row r="1560" spans="22:44">
      <c r="V1560">
        <v>1552</v>
      </c>
      <c r="W1560">
        <v>173.8276057854109</v>
      </c>
      <c r="AQ1560">
        <f>SMALL('Iter No Test'!$W$9:$W$5008,1558)</f>
        <v>169.96130315366347</v>
      </c>
      <c r="AR1560">
        <f>1/(COUNT('Iter No Test'!$W$9:$W$5008)-1)+$AR$1559</f>
        <v>0.31146229245850138</v>
      </c>
    </row>
    <row r="1561" spans="22:44">
      <c r="V1561">
        <v>1553</v>
      </c>
      <c r="W1561">
        <v>240.21376665507631</v>
      </c>
      <c r="AQ1561">
        <f>SMALL('Iter No Test'!$W$9:$W$5008,1559)</f>
        <v>169.97325016493474</v>
      </c>
      <c r="AR1561">
        <f>1/(COUNT('Iter No Test'!$W$9:$W$5008)-1)+$AR$1560</f>
        <v>0.31166233246650299</v>
      </c>
    </row>
    <row r="1562" spans="22:44">
      <c r="V1562">
        <v>1554</v>
      </c>
      <c r="W1562">
        <v>186.31117957031</v>
      </c>
      <c r="AQ1562">
        <f>SMALL('Iter No Test'!$W$9:$W$5008,1560)</f>
        <v>170.00807712786377</v>
      </c>
      <c r="AR1562">
        <f>1/(COUNT('Iter No Test'!$W$9:$W$5008)-1)+$AR$1561</f>
        <v>0.3118623724745046</v>
      </c>
    </row>
    <row r="1563" spans="22:44">
      <c r="V1563">
        <v>1555</v>
      </c>
      <c r="W1563">
        <v>229.32990852176761</v>
      </c>
      <c r="AQ1563">
        <f>SMALL('Iter No Test'!$W$9:$W$5008,1561)</f>
        <v>170.04423596468399</v>
      </c>
      <c r="AR1563">
        <f>1/(COUNT('Iter No Test'!$W$9:$W$5008)-1)+$AR$1562</f>
        <v>0.31206241248250621</v>
      </c>
    </row>
    <row r="1564" spans="22:44">
      <c r="V1564">
        <v>1556</v>
      </c>
      <c r="W1564">
        <v>254.23796451554441</v>
      </c>
      <c r="AQ1564">
        <f>SMALL('Iter No Test'!$W$9:$W$5008,1562)</f>
        <v>170.09592846903084</v>
      </c>
      <c r="AR1564">
        <f>1/(COUNT('Iter No Test'!$W$9:$W$5008)-1)+$AR$1563</f>
        <v>0.31226245249050782</v>
      </c>
    </row>
    <row r="1565" spans="22:44">
      <c r="V1565">
        <v>1557</v>
      </c>
      <c r="W1565">
        <v>245.73838374316657</v>
      </c>
      <c r="AQ1565">
        <f>SMALL('Iter No Test'!$W$9:$W$5008,1563)</f>
        <v>170.17978099322437</v>
      </c>
      <c r="AR1565">
        <f>1/(COUNT('Iter No Test'!$W$9:$W$5008)-1)+$AR$1564</f>
        <v>0.31246249249850944</v>
      </c>
    </row>
    <row r="1566" spans="22:44">
      <c r="V1566">
        <v>1558</v>
      </c>
      <c r="W1566">
        <v>198.04728334816105</v>
      </c>
      <c r="AQ1566">
        <f>SMALL('Iter No Test'!$W$9:$W$5008,1564)</f>
        <v>170.19934757555356</v>
      </c>
      <c r="AR1566">
        <f>1/(COUNT('Iter No Test'!$W$9:$W$5008)-1)+$AR$1565</f>
        <v>0.31266253250651105</v>
      </c>
    </row>
    <row r="1567" spans="22:44">
      <c r="V1567">
        <v>1559</v>
      </c>
      <c r="W1567">
        <v>47.694024383319729</v>
      </c>
      <c r="AQ1567">
        <f>SMALL('Iter No Test'!$W$9:$W$5008,1565)</f>
        <v>170.22152351329203</v>
      </c>
      <c r="AR1567">
        <f>1/(COUNT('Iter No Test'!$W$9:$W$5008)-1)+$AR$1566</f>
        <v>0.31286257251451266</v>
      </c>
    </row>
    <row r="1568" spans="22:44">
      <c r="V1568">
        <v>1560</v>
      </c>
      <c r="W1568">
        <v>306.98326709085018</v>
      </c>
      <c r="AQ1568">
        <f>SMALL('Iter No Test'!$W$9:$W$5008,1566)</f>
        <v>170.3755427969204</v>
      </c>
      <c r="AR1568">
        <f>1/(COUNT('Iter No Test'!$W$9:$W$5008)-1)+$AR$1567</f>
        <v>0.31306261252251427</v>
      </c>
    </row>
    <row r="1569" spans="22:44">
      <c r="V1569">
        <v>1561</v>
      </c>
      <c r="W1569">
        <v>202.18484509676409</v>
      </c>
      <c r="AQ1569">
        <f>SMALL('Iter No Test'!$W$9:$W$5008,1567)</f>
        <v>170.53725176859695</v>
      </c>
      <c r="AR1569">
        <f>1/(COUNT('Iter No Test'!$W$9:$W$5008)-1)+$AR$1568</f>
        <v>0.31326265253051588</v>
      </c>
    </row>
    <row r="1570" spans="22:44">
      <c r="V1570">
        <v>1562</v>
      </c>
      <c r="W1570">
        <v>206.46096559362667</v>
      </c>
      <c r="AQ1570">
        <f>SMALL('Iter No Test'!$W$9:$W$5008,1568)</f>
        <v>170.62952060966336</v>
      </c>
      <c r="AR1570">
        <f>1/(COUNT('Iter No Test'!$W$9:$W$5008)-1)+$AR$1569</f>
        <v>0.3134626925385175</v>
      </c>
    </row>
    <row r="1571" spans="22:44">
      <c r="V1571">
        <v>1563</v>
      </c>
      <c r="W1571">
        <v>259.54429534525252</v>
      </c>
      <c r="AQ1571">
        <f>SMALL('Iter No Test'!$W$9:$W$5008,1569)</f>
        <v>170.64986843925504</v>
      </c>
      <c r="AR1571">
        <f>1/(COUNT('Iter No Test'!$W$9:$W$5008)-1)+$AR$1570</f>
        <v>0.31366273254651911</v>
      </c>
    </row>
    <row r="1572" spans="22:44">
      <c r="V1572">
        <v>1564</v>
      </c>
      <c r="W1572">
        <v>309.8565038897014</v>
      </c>
      <c r="AQ1572">
        <f>SMALL('Iter No Test'!$W$9:$W$5008,1570)</f>
        <v>170.69219930097844</v>
      </c>
      <c r="AR1572">
        <f>1/(COUNT('Iter No Test'!$W$9:$W$5008)-1)+$AR$1571</f>
        <v>0.31386277255452072</v>
      </c>
    </row>
    <row r="1573" spans="22:44">
      <c r="V1573">
        <v>1565</v>
      </c>
      <c r="W1573">
        <v>135.93929571211132</v>
      </c>
      <c r="AQ1573">
        <f>SMALL('Iter No Test'!$W$9:$W$5008,1571)</f>
        <v>170.81316650546276</v>
      </c>
      <c r="AR1573">
        <f>1/(COUNT('Iter No Test'!$W$9:$W$5008)-1)+$AR$1572</f>
        <v>0.31406281256252233</v>
      </c>
    </row>
    <row r="1574" spans="22:44">
      <c r="V1574">
        <v>1566</v>
      </c>
      <c r="W1574">
        <v>222.93801622521178</v>
      </c>
      <c r="AQ1574">
        <f>SMALL('Iter No Test'!$W$9:$W$5008,1572)</f>
        <v>170.82759944438678</v>
      </c>
      <c r="AR1574">
        <f>1/(COUNT('Iter No Test'!$W$9:$W$5008)-1)+$AR$1573</f>
        <v>0.31426285257052394</v>
      </c>
    </row>
    <row r="1575" spans="22:44">
      <c r="V1575">
        <v>1567</v>
      </c>
      <c r="W1575">
        <v>26.158232728139083</v>
      </c>
      <c r="AQ1575">
        <f>SMALL('Iter No Test'!$W$9:$W$5008,1573)</f>
        <v>170.87320485472583</v>
      </c>
      <c r="AR1575">
        <f>1/(COUNT('Iter No Test'!$W$9:$W$5008)-1)+$AR$1574</f>
        <v>0.31446289257852555</v>
      </c>
    </row>
    <row r="1576" spans="22:44">
      <c r="V1576">
        <v>1568</v>
      </c>
      <c r="W1576">
        <v>253.72755952529229</v>
      </c>
      <c r="AQ1576">
        <f>SMALL('Iter No Test'!$W$9:$W$5008,1574)</f>
        <v>170.93812808276766</v>
      </c>
      <c r="AR1576">
        <f>1/(COUNT('Iter No Test'!$W$9:$W$5008)-1)+$AR$1575</f>
        <v>0.31466293258652717</v>
      </c>
    </row>
    <row r="1577" spans="22:44">
      <c r="V1577">
        <v>1569</v>
      </c>
      <c r="W1577">
        <v>302.11488426374638</v>
      </c>
      <c r="AQ1577">
        <f>SMALL('Iter No Test'!$W$9:$W$5008,1575)</f>
        <v>171.04890071217551</v>
      </c>
      <c r="AR1577">
        <f>1/(COUNT('Iter No Test'!$W$9:$W$5008)-1)+$AR$1576</f>
        <v>0.31486297259452878</v>
      </c>
    </row>
    <row r="1578" spans="22:44">
      <c r="V1578">
        <v>1570</v>
      </c>
      <c r="W1578">
        <v>107.04931441934005</v>
      </c>
      <c r="AQ1578">
        <f>SMALL('Iter No Test'!$W$9:$W$5008,1576)</f>
        <v>171.13507274534305</v>
      </c>
      <c r="AR1578">
        <f>1/(COUNT('Iter No Test'!$W$9:$W$5008)-1)+$AR$1577</f>
        <v>0.31506301260253039</v>
      </c>
    </row>
    <row r="1579" spans="22:44">
      <c r="V1579">
        <v>1571</v>
      </c>
      <c r="W1579">
        <v>179.89547221340786</v>
      </c>
      <c r="AQ1579">
        <f>SMALL('Iter No Test'!$W$9:$W$5008,1577)</f>
        <v>171.18568818985884</v>
      </c>
      <c r="AR1579">
        <f>1/(COUNT('Iter No Test'!$W$9:$W$5008)-1)+$AR$1578</f>
        <v>0.315263052610532</v>
      </c>
    </row>
    <row r="1580" spans="22:44">
      <c r="V1580">
        <v>1572</v>
      </c>
      <c r="W1580">
        <v>176.85604301603155</v>
      </c>
      <c r="AQ1580">
        <f>SMALL('Iter No Test'!$W$9:$W$5008,1578)</f>
        <v>171.22863563678311</v>
      </c>
      <c r="AR1580">
        <f>1/(COUNT('Iter No Test'!$W$9:$W$5008)-1)+$AR$1579</f>
        <v>0.31546309261853361</v>
      </c>
    </row>
    <row r="1581" spans="22:44">
      <c r="V1581">
        <v>1573</v>
      </c>
      <c r="W1581">
        <v>243.2168639340031</v>
      </c>
      <c r="AQ1581">
        <f>SMALL('Iter No Test'!$W$9:$W$5008,1579)</f>
        <v>171.2620576616207</v>
      </c>
      <c r="AR1581">
        <f>1/(COUNT('Iter No Test'!$W$9:$W$5008)-1)+$AR$1580</f>
        <v>0.31566313262653523</v>
      </c>
    </row>
    <row r="1582" spans="22:44">
      <c r="V1582">
        <v>1574</v>
      </c>
      <c r="W1582">
        <v>256.09037696396246</v>
      </c>
      <c r="AQ1582">
        <f>SMALL('Iter No Test'!$W$9:$W$5008,1580)</f>
        <v>171.39474281193191</v>
      </c>
      <c r="AR1582">
        <f>1/(COUNT('Iter No Test'!$W$9:$W$5008)-1)+$AR$1581</f>
        <v>0.31586317263453684</v>
      </c>
    </row>
    <row r="1583" spans="22:44">
      <c r="V1583">
        <v>1575</v>
      </c>
      <c r="W1583">
        <v>257.26918520671381</v>
      </c>
      <c r="AQ1583">
        <f>SMALL('Iter No Test'!$W$9:$W$5008,1581)</f>
        <v>171.44556371298654</v>
      </c>
      <c r="AR1583">
        <f>1/(COUNT('Iter No Test'!$W$9:$W$5008)-1)+$AR$1582</f>
        <v>0.31606321264253845</v>
      </c>
    </row>
    <row r="1584" spans="22:44">
      <c r="V1584">
        <v>1576</v>
      </c>
      <c r="W1584">
        <v>194.45862051326657</v>
      </c>
      <c r="AQ1584">
        <f>SMALL('Iter No Test'!$W$9:$W$5008,1582)</f>
        <v>171.44706653045228</v>
      </c>
      <c r="AR1584">
        <f>1/(COUNT('Iter No Test'!$W$9:$W$5008)-1)+$AR$1583</f>
        <v>0.31626325265054006</v>
      </c>
    </row>
    <row r="1585" spans="22:44">
      <c r="V1585">
        <v>1577</v>
      </c>
      <c r="W1585">
        <v>159.79148993733708</v>
      </c>
      <c r="AQ1585">
        <f>SMALL('Iter No Test'!$W$9:$W$5008,1583)</f>
        <v>171.52025949172364</v>
      </c>
      <c r="AR1585">
        <f>1/(COUNT('Iter No Test'!$W$9:$W$5008)-1)+$AR$1584</f>
        <v>0.31646329265854167</v>
      </c>
    </row>
    <row r="1586" spans="22:44">
      <c r="V1586">
        <v>1578</v>
      </c>
      <c r="W1586">
        <v>375.86837231336</v>
      </c>
      <c r="AQ1586">
        <f>SMALL('Iter No Test'!$W$9:$W$5008,1584)</f>
        <v>171.60674427519234</v>
      </c>
      <c r="AR1586">
        <f>1/(COUNT('Iter No Test'!$W$9:$W$5008)-1)+$AR$1585</f>
        <v>0.31666333266654328</v>
      </c>
    </row>
    <row r="1587" spans="22:44">
      <c r="V1587">
        <v>1579</v>
      </c>
      <c r="W1587">
        <v>217.74744286349397</v>
      </c>
      <c r="AQ1587">
        <f>SMALL('Iter No Test'!$W$9:$W$5008,1585)</f>
        <v>171.60717755306439</v>
      </c>
      <c r="AR1587">
        <f>1/(COUNT('Iter No Test'!$W$9:$W$5008)-1)+$AR$1586</f>
        <v>0.3168633726745449</v>
      </c>
    </row>
    <row r="1588" spans="22:44">
      <c r="V1588">
        <v>1580</v>
      </c>
      <c r="W1588">
        <v>230.61909423401102</v>
      </c>
      <c r="AQ1588">
        <f>SMALL('Iter No Test'!$W$9:$W$5008,1586)</f>
        <v>171.61924338815916</v>
      </c>
      <c r="AR1588">
        <f>1/(COUNT('Iter No Test'!$W$9:$W$5008)-1)+$AR$1587</f>
        <v>0.31706341268254651</v>
      </c>
    </row>
    <row r="1589" spans="22:44">
      <c r="V1589">
        <v>1581</v>
      </c>
      <c r="W1589">
        <v>270.65352108002998</v>
      </c>
      <c r="AQ1589">
        <f>SMALL('Iter No Test'!$W$9:$W$5008,1587)</f>
        <v>171.64356947495446</v>
      </c>
      <c r="AR1589">
        <f>1/(COUNT('Iter No Test'!$W$9:$W$5008)-1)+$AR$1588</f>
        <v>0.31726345269054812</v>
      </c>
    </row>
    <row r="1590" spans="22:44">
      <c r="V1590">
        <v>1582</v>
      </c>
      <c r="W1590">
        <v>225.89017428037226</v>
      </c>
      <c r="AQ1590">
        <f>SMALL('Iter No Test'!$W$9:$W$5008,1588)</f>
        <v>171.71303201549955</v>
      </c>
      <c r="AR1590">
        <f>1/(COUNT('Iter No Test'!$W$9:$W$5008)-1)+$AR$1589</f>
        <v>0.31746349269854973</v>
      </c>
    </row>
    <row r="1591" spans="22:44">
      <c r="V1591">
        <v>1583</v>
      </c>
      <c r="W1591">
        <v>225.59860861129664</v>
      </c>
      <c r="AQ1591">
        <f>SMALL('Iter No Test'!$W$9:$W$5008,1589)</f>
        <v>171.81630789312024</v>
      </c>
      <c r="AR1591">
        <f>1/(COUNT('Iter No Test'!$W$9:$W$5008)-1)+$AR$1590</f>
        <v>0.31766353270655134</v>
      </c>
    </row>
    <row r="1592" spans="22:44">
      <c r="V1592">
        <v>1584</v>
      </c>
      <c r="W1592">
        <v>103.84995126927821</v>
      </c>
      <c r="AQ1592">
        <f>SMALL('Iter No Test'!$W$9:$W$5008,1590)</f>
        <v>171.85696111442743</v>
      </c>
      <c r="AR1592">
        <f>1/(COUNT('Iter No Test'!$W$9:$W$5008)-1)+$AR$1591</f>
        <v>0.31786357271455296</v>
      </c>
    </row>
    <row r="1593" spans="22:44">
      <c r="V1593">
        <v>1585</v>
      </c>
      <c r="W1593">
        <v>84.166580678921179</v>
      </c>
      <c r="AQ1593">
        <f>SMALL('Iter No Test'!$W$9:$W$5008,1591)</f>
        <v>171.956873916398</v>
      </c>
      <c r="AR1593">
        <f>1/(COUNT('Iter No Test'!$W$9:$W$5008)-1)+$AR$1592</f>
        <v>0.31806361272255457</v>
      </c>
    </row>
    <row r="1594" spans="22:44">
      <c r="V1594">
        <v>1586</v>
      </c>
      <c r="W1594">
        <v>160.45934419043448</v>
      </c>
      <c r="AQ1594">
        <f>SMALL('Iter No Test'!$W$9:$W$5008,1592)</f>
        <v>172.00345443880849</v>
      </c>
      <c r="AR1594">
        <f>1/(COUNT('Iter No Test'!$W$9:$W$5008)-1)+$AR$1593</f>
        <v>0.31826365273055618</v>
      </c>
    </row>
    <row r="1595" spans="22:44">
      <c r="V1595">
        <v>1587</v>
      </c>
      <c r="W1595">
        <v>329.60579525570637</v>
      </c>
      <c r="AQ1595">
        <f>SMALL('Iter No Test'!$W$9:$W$5008,1593)</f>
        <v>172.01265993099148</v>
      </c>
      <c r="AR1595">
        <f>1/(COUNT('Iter No Test'!$W$9:$W$5008)-1)+$AR$1594</f>
        <v>0.31846369273855779</v>
      </c>
    </row>
    <row r="1596" spans="22:44">
      <c r="V1596">
        <v>1588</v>
      </c>
      <c r="W1596">
        <v>287.64593931389902</v>
      </c>
      <c r="AQ1596">
        <f>SMALL('Iter No Test'!$W$9:$W$5008,1594)</f>
        <v>172.02810020201355</v>
      </c>
      <c r="AR1596">
        <f>1/(COUNT('Iter No Test'!$W$9:$W$5008)-1)+$AR$1595</f>
        <v>0.3186637327465594</v>
      </c>
    </row>
    <row r="1597" spans="22:44">
      <c r="V1597">
        <v>1589</v>
      </c>
      <c r="W1597">
        <v>88.155509712362004</v>
      </c>
      <c r="AQ1597">
        <f>SMALL('Iter No Test'!$W$9:$W$5008,1595)</f>
        <v>172.04078751885481</v>
      </c>
      <c r="AR1597">
        <f>1/(COUNT('Iter No Test'!$W$9:$W$5008)-1)+$AR$1596</f>
        <v>0.31886377275456101</v>
      </c>
    </row>
    <row r="1598" spans="22:44">
      <c r="V1598">
        <v>1590</v>
      </c>
      <c r="W1598">
        <v>300.46228477647173</v>
      </c>
      <c r="AQ1598">
        <f>SMALL('Iter No Test'!$W$9:$W$5008,1596)</f>
        <v>172.05936296982043</v>
      </c>
      <c r="AR1598">
        <f>1/(COUNT('Iter No Test'!$W$9:$W$5008)-1)+$AR$1597</f>
        <v>0.31906381276256263</v>
      </c>
    </row>
    <row r="1599" spans="22:44">
      <c r="V1599">
        <v>1591</v>
      </c>
      <c r="W1599">
        <v>211.38055307582351</v>
      </c>
      <c r="AQ1599">
        <f>SMALL('Iter No Test'!$W$9:$W$5008,1597)</f>
        <v>172.24901147659912</v>
      </c>
      <c r="AR1599">
        <f>1/(COUNT('Iter No Test'!$W$9:$W$5008)-1)+$AR$1598</f>
        <v>0.31926385277056424</v>
      </c>
    </row>
    <row r="1600" spans="22:44">
      <c r="V1600">
        <v>1592</v>
      </c>
      <c r="W1600">
        <v>200.72920823748441</v>
      </c>
      <c r="AQ1600">
        <f>SMALL('Iter No Test'!$W$9:$W$5008,1598)</f>
        <v>172.2643298437896</v>
      </c>
      <c r="AR1600">
        <f>1/(COUNT('Iter No Test'!$W$9:$W$5008)-1)+$AR$1599</f>
        <v>0.31946389277856585</v>
      </c>
    </row>
    <row r="1601" spans="22:44">
      <c r="V1601">
        <v>1593</v>
      </c>
      <c r="W1601">
        <v>221.64237602378316</v>
      </c>
      <c r="AQ1601">
        <f>SMALL('Iter No Test'!$W$9:$W$5008,1599)</f>
        <v>172.26962331272358</v>
      </c>
      <c r="AR1601">
        <f>1/(COUNT('Iter No Test'!$W$9:$W$5008)-1)+$AR$1600</f>
        <v>0.31966393278656746</v>
      </c>
    </row>
    <row r="1602" spans="22:44">
      <c r="V1602">
        <v>1594</v>
      </c>
      <c r="W1602">
        <v>201.25672423923498</v>
      </c>
      <c r="AQ1602">
        <f>SMALL('Iter No Test'!$W$9:$W$5008,1600)</f>
        <v>172.27941087026679</v>
      </c>
      <c r="AR1602">
        <f>1/(COUNT('Iter No Test'!$W$9:$W$5008)-1)+$AR$1601</f>
        <v>0.31986397279456907</v>
      </c>
    </row>
    <row r="1603" spans="22:44">
      <c r="V1603">
        <v>1595</v>
      </c>
      <c r="W1603">
        <v>376.26606204359598</v>
      </c>
      <c r="AQ1603">
        <f>SMALL('Iter No Test'!$W$9:$W$5008,1601)</f>
        <v>172.33153728773306</v>
      </c>
      <c r="AR1603">
        <f>1/(COUNT('Iter No Test'!$W$9:$W$5008)-1)+$AR$1602</f>
        <v>0.32006401280257069</v>
      </c>
    </row>
    <row r="1604" spans="22:44">
      <c r="V1604">
        <v>1596</v>
      </c>
      <c r="W1604">
        <v>234.99118654772337</v>
      </c>
      <c r="AQ1604">
        <f>SMALL('Iter No Test'!$W$9:$W$5008,1602)</f>
        <v>172.35838988466713</v>
      </c>
      <c r="AR1604">
        <f>1/(COUNT('Iter No Test'!$W$9:$W$5008)-1)+$AR$1603</f>
        <v>0.3202640528105723</v>
      </c>
    </row>
    <row r="1605" spans="22:44">
      <c r="V1605">
        <v>1597</v>
      </c>
      <c r="W1605">
        <v>252.37195061240027</v>
      </c>
      <c r="AQ1605">
        <f>SMALL('Iter No Test'!$W$9:$W$5008,1603)</f>
        <v>172.45720669908866</v>
      </c>
      <c r="AR1605">
        <f>1/(COUNT('Iter No Test'!$W$9:$W$5008)-1)+$AR$1604</f>
        <v>0.32046409281857391</v>
      </c>
    </row>
    <row r="1606" spans="22:44">
      <c r="V1606">
        <v>1598</v>
      </c>
      <c r="W1606">
        <v>608.54970659210676</v>
      </c>
      <c r="AQ1606">
        <f>SMALL('Iter No Test'!$W$9:$W$5008,1604)</f>
        <v>172.47010881892001</v>
      </c>
      <c r="AR1606">
        <f>1/(COUNT('Iter No Test'!$W$9:$W$5008)-1)+$AR$1605</f>
        <v>0.32066413282657552</v>
      </c>
    </row>
    <row r="1607" spans="22:44">
      <c r="V1607">
        <v>1599</v>
      </c>
      <c r="W1607">
        <v>186.85535684054122</v>
      </c>
      <c r="AQ1607">
        <f>SMALL('Iter No Test'!$W$9:$W$5008,1605)</f>
        <v>172.80260804196428</v>
      </c>
      <c r="AR1607">
        <f>1/(COUNT('Iter No Test'!$W$9:$W$5008)-1)+$AR$1606</f>
        <v>0.32086417283457713</v>
      </c>
    </row>
    <row r="1608" spans="22:44">
      <c r="V1608">
        <v>1600</v>
      </c>
      <c r="W1608">
        <v>182.60843644522419</v>
      </c>
      <c r="AQ1608">
        <f>SMALL('Iter No Test'!$W$9:$W$5008,1606)</f>
        <v>172.82503111296398</v>
      </c>
      <c r="AR1608">
        <f>1/(COUNT('Iter No Test'!$W$9:$W$5008)-1)+$AR$1607</f>
        <v>0.32106421284257874</v>
      </c>
    </row>
    <row r="1609" spans="22:44">
      <c r="V1609">
        <v>1601</v>
      </c>
      <c r="W1609">
        <v>63.576096958374578</v>
      </c>
      <c r="AQ1609">
        <f>SMALL('Iter No Test'!$W$9:$W$5008,1607)</f>
        <v>172.84500866571213</v>
      </c>
      <c r="AR1609">
        <f>1/(COUNT('Iter No Test'!$W$9:$W$5008)-1)+$AR$1608</f>
        <v>0.32126425285058036</v>
      </c>
    </row>
    <row r="1610" spans="22:44">
      <c r="V1610">
        <v>1602</v>
      </c>
      <c r="W1610">
        <v>423.15467084213208</v>
      </c>
      <c r="AQ1610">
        <f>SMALL('Iter No Test'!$W$9:$W$5008,1608)</f>
        <v>172.86752302026213</v>
      </c>
      <c r="AR1610">
        <f>1/(COUNT('Iter No Test'!$W$9:$W$5008)-1)+$AR$1609</f>
        <v>0.32146429285858197</v>
      </c>
    </row>
    <row r="1611" spans="22:44">
      <c r="V1611">
        <v>1603</v>
      </c>
      <c r="W1611">
        <v>116.08156715615931</v>
      </c>
      <c r="AQ1611">
        <f>SMALL('Iter No Test'!$W$9:$W$5008,1609)</f>
        <v>172.87209357042423</v>
      </c>
      <c r="AR1611">
        <f>1/(COUNT('Iter No Test'!$W$9:$W$5008)-1)+$AR$1610</f>
        <v>0.32166433286658358</v>
      </c>
    </row>
    <row r="1612" spans="22:44">
      <c r="V1612">
        <v>1604</v>
      </c>
      <c r="W1612">
        <v>250.94502334333899</v>
      </c>
      <c r="AQ1612">
        <f>SMALL('Iter No Test'!$W$9:$W$5008,1610)</f>
        <v>172.90256367584658</v>
      </c>
      <c r="AR1612">
        <f>1/(COUNT('Iter No Test'!$W$9:$W$5008)-1)+$AR$1611</f>
        <v>0.32186437287458519</v>
      </c>
    </row>
    <row r="1613" spans="22:44">
      <c r="V1613">
        <v>1605</v>
      </c>
      <c r="W1613">
        <v>146.8617430896569</v>
      </c>
      <c r="AQ1613">
        <f>SMALL('Iter No Test'!$W$9:$W$5008,1611)</f>
        <v>172.92148773147085</v>
      </c>
      <c r="AR1613">
        <f>1/(COUNT('Iter No Test'!$W$9:$W$5008)-1)+$AR$1612</f>
        <v>0.3220644128825868</v>
      </c>
    </row>
    <row r="1614" spans="22:44">
      <c r="V1614">
        <v>1606</v>
      </c>
      <c r="W1614">
        <v>222.17160662149536</v>
      </c>
      <c r="AQ1614">
        <f>SMALL('Iter No Test'!$W$9:$W$5008,1612)</f>
        <v>172.96330581719846</v>
      </c>
      <c r="AR1614">
        <f>1/(COUNT('Iter No Test'!$W$9:$W$5008)-1)+$AR$1613</f>
        <v>0.32226445289058842</v>
      </c>
    </row>
    <row r="1615" spans="22:44">
      <c r="V1615">
        <v>1607</v>
      </c>
      <c r="W1615">
        <v>238.67163319793866</v>
      </c>
      <c r="AQ1615">
        <f>SMALL('Iter No Test'!$W$9:$W$5008,1613)</f>
        <v>172.9661074294701</v>
      </c>
      <c r="AR1615">
        <f>1/(COUNT('Iter No Test'!$W$9:$W$5008)-1)+$AR$1614</f>
        <v>0.32246449289859003</v>
      </c>
    </row>
    <row r="1616" spans="22:44">
      <c r="V1616">
        <v>1608</v>
      </c>
      <c r="W1616">
        <v>379.0506930063458</v>
      </c>
      <c r="AQ1616">
        <f>SMALL('Iter No Test'!$W$9:$W$5008,1614)</f>
        <v>172.99103240164743</v>
      </c>
      <c r="AR1616">
        <f>1/(COUNT('Iter No Test'!$W$9:$W$5008)-1)+$AR$1615</f>
        <v>0.32266453290659164</v>
      </c>
    </row>
    <row r="1617" spans="22:44">
      <c r="V1617">
        <v>1609</v>
      </c>
      <c r="W1617">
        <v>163.22501892704801</v>
      </c>
      <c r="AQ1617">
        <f>SMALL('Iter No Test'!$W$9:$W$5008,1615)</f>
        <v>173.0666306263708</v>
      </c>
      <c r="AR1617">
        <f>1/(COUNT('Iter No Test'!$W$9:$W$5008)-1)+$AR$1616</f>
        <v>0.32286457291459325</v>
      </c>
    </row>
    <row r="1618" spans="22:44">
      <c r="V1618">
        <v>1610</v>
      </c>
      <c r="W1618">
        <v>88.914174825135206</v>
      </c>
      <c r="AQ1618">
        <f>SMALL('Iter No Test'!$W$9:$W$5008,1616)</f>
        <v>173.08564868045994</v>
      </c>
      <c r="AR1618">
        <f>1/(COUNT('Iter No Test'!$W$9:$W$5008)-1)+$AR$1617</f>
        <v>0.32306461292259486</v>
      </c>
    </row>
    <row r="1619" spans="22:44">
      <c r="V1619">
        <v>1611</v>
      </c>
      <c r="W1619">
        <v>354.9108680992689</v>
      </c>
      <c r="AQ1619">
        <f>SMALL('Iter No Test'!$W$9:$W$5008,1617)</f>
        <v>173.09237980975405</v>
      </c>
      <c r="AR1619">
        <f>1/(COUNT('Iter No Test'!$W$9:$W$5008)-1)+$AR$1618</f>
        <v>0.32326465293059647</v>
      </c>
    </row>
    <row r="1620" spans="22:44">
      <c r="V1620">
        <v>1612</v>
      </c>
      <c r="W1620">
        <v>197.14509560128869</v>
      </c>
      <c r="AQ1620">
        <f>SMALL('Iter No Test'!$W$9:$W$5008,1618)</f>
        <v>173.14166766243403</v>
      </c>
      <c r="AR1620">
        <f>1/(COUNT('Iter No Test'!$W$9:$W$5008)-1)+$AR$1619</f>
        <v>0.32346469293859809</v>
      </c>
    </row>
    <row r="1621" spans="22:44">
      <c r="V1621">
        <v>1613</v>
      </c>
      <c r="W1621">
        <v>225.48342114950484</v>
      </c>
      <c r="AQ1621">
        <f>SMALL('Iter No Test'!$W$9:$W$5008,1619)</f>
        <v>173.15258014693879</v>
      </c>
      <c r="AR1621">
        <f>1/(COUNT('Iter No Test'!$W$9:$W$5008)-1)+$AR$1620</f>
        <v>0.3236647329465997</v>
      </c>
    </row>
    <row r="1622" spans="22:44">
      <c r="V1622">
        <v>1614</v>
      </c>
      <c r="W1622">
        <v>125.68186652893297</v>
      </c>
      <c r="AQ1622">
        <f>SMALL('Iter No Test'!$W$9:$W$5008,1620)</f>
        <v>173.19574366785585</v>
      </c>
      <c r="AR1622">
        <f>1/(COUNT('Iter No Test'!$W$9:$W$5008)-1)+$AR$1621</f>
        <v>0.32386477295460131</v>
      </c>
    </row>
    <row r="1623" spans="22:44">
      <c r="V1623">
        <v>1615</v>
      </c>
      <c r="W1623">
        <v>301.43634686631981</v>
      </c>
      <c r="AQ1623">
        <f>SMALL('Iter No Test'!$W$9:$W$5008,1621)</f>
        <v>173.23724563883115</v>
      </c>
      <c r="AR1623">
        <f>1/(COUNT('Iter No Test'!$W$9:$W$5008)-1)+$AR$1622</f>
        <v>0.32406481296260292</v>
      </c>
    </row>
    <row r="1624" spans="22:44">
      <c r="V1624">
        <v>1616</v>
      </c>
      <c r="W1624">
        <v>325.33551371394896</v>
      </c>
      <c r="AQ1624">
        <f>SMALL('Iter No Test'!$W$9:$W$5008,1622)</f>
        <v>173.27592180878261</v>
      </c>
      <c r="AR1624">
        <f>1/(COUNT('Iter No Test'!$W$9:$W$5008)-1)+$AR$1623</f>
        <v>0.32426485297060453</v>
      </c>
    </row>
    <row r="1625" spans="22:44">
      <c r="V1625">
        <v>1617</v>
      </c>
      <c r="W1625">
        <v>84.598538476665226</v>
      </c>
      <c r="AQ1625">
        <f>SMALL('Iter No Test'!$W$9:$W$5008,1623)</f>
        <v>173.29231257880406</v>
      </c>
      <c r="AR1625">
        <f>1/(COUNT('Iter No Test'!$W$9:$W$5008)-1)+$AR$1624</f>
        <v>0.32446489297860615</v>
      </c>
    </row>
    <row r="1626" spans="22:44">
      <c r="V1626">
        <v>1618</v>
      </c>
      <c r="W1626">
        <v>291.20202583346315</v>
      </c>
      <c r="AQ1626">
        <f>SMALL('Iter No Test'!$W$9:$W$5008,1624)</f>
        <v>173.33038270952699</v>
      </c>
      <c r="AR1626">
        <f>1/(COUNT('Iter No Test'!$W$9:$W$5008)-1)+$AR$1625</f>
        <v>0.32466493298660776</v>
      </c>
    </row>
    <row r="1627" spans="22:44">
      <c r="V1627">
        <v>1619</v>
      </c>
      <c r="W1627">
        <v>162.79344226321433</v>
      </c>
      <c r="AQ1627">
        <f>SMALL('Iter No Test'!$W$9:$W$5008,1625)</f>
        <v>173.33100445996712</v>
      </c>
      <c r="AR1627">
        <f>1/(COUNT('Iter No Test'!$W$9:$W$5008)-1)+$AR$1626</f>
        <v>0.32486497299460937</v>
      </c>
    </row>
    <row r="1628" spans="22:44">
      <c r="V1628">
        <v>1620</v>
      </c>
      <c r="W1628">
        <v>219.66485783441965</v>
      </c>
      <c r="AQ1628">
        <f>SMALL('Iter No Test'!$W$9:$W$5008,1626)</f>
        <v>173.35282930558671</v>
      </c>
      <c r="AR1628">
        <f>1/(COUNT('Iter No Test'!$W$9:$W$5008)-1)+$AR$1627</f>
        <v>0.32506501300261098</v>
      </c>
    </row>
    <row r="1629" spans="22:44">
      <c r="V1629">
        <v>1621</v>
      </c>
      <c r="W1629">
        <v>312.45769915503473</v>
      </c>
      <c r="AQ1629">
        <f>SMALL('Iter No Test'!$W$9:$W$5008,1627)</f>
        <v>173.37060489771477</v>
      </c>
      <c r="AR1629">
        <f>1/(COUNT('Iter No Test'!$W$9:$W$5008)-1)+$AR$1628</f>
        <v>0.32526505301061259</v>
      </c>
    </row>
    <row r="1630" spans="22:44">
      <c r="V1630">
        <v>1622</v>
      </c>
      <c r="W1630">
        <v>371.10622847538639</v>
      </c>
      <c r="AQ1630">
        <f>SMALL('Iter No Test'!$W$9:$W$5008,1628)</f>
        <v>173.39128649431683</v>
      </c>
      <c r="AR1630">
        <f>1/(COUNT('Iter No Test'!$W$9:$W$5008)-1)+$AR$1629</f>
        <v>0.3254650930186142</v>
      </c>
    </row>
    <row r="1631" spans="22:44">
      <c r="V1631">
        <v>1623</v>
      </c>
      <c r="W1631">
        <v>286.50644736761222</v>
      </c>
      <c r="AQ1631">
        <f>SMALL('Iter No Test'!$W$9:$W$5008,1629)</f>
        <v>173.4110877128652</v>
      </c>
      <c r="AR1631">
        <f>1/(COUNT('Iter No Test'!$W$9:$W$5008)-1)+$AR$1630</f>
        <v>0.32566513302661582</v>
      </c>
    </row>
    <row r="1632" spans="22:44">
      <c r="V1632">
        <v>1624</v>
      </c>
      <c r="W1632">
        <v>263.09047318223645</v>
      </c>
      <c r="AQ1632">
        <f>SMALL('Iter No Test'!$W$9:$W$5008,1630)</f>
        <v>173.41759875203283</v>
      </c>
      <c r="AR1632">
        <f>1/(COUNT('Iter No Test'!$W$9:$W$5008)-1)+$AR$1631</f>
        <v>0.32586517303461743</v>
      </c>
    </row>
    <row r="1633" spans="22:44">
      <c r="V1633">
        <v>1625</v>
      </c>
      <c r="W1633">
        <v>116.21643826119323</v>
      </c>
      <c r="AQ1633">
        <f>SMALL('Iter No Test'!$W$9:$W$5008,1631)</f>
        <v>173.45279564138764</v>
      </c>
      <c r="AR1633">
        <f>1/(COUNT('Iter No Test'!$W$9:$W$5008)-1)+$AR$1632</f>
        <v>0.32606521304261904</v>
      </c>
    </row>
    <row r="1634" spans="22:44">
      <c r="V1634">
        <v>1626</v>
      </c>
      <c r="W1634">
        <v>151.31307932540687</v>
      </c>
      <c r="AQ1634">
        <f>SMALL('Iter No Test'!$W$9:$W$5008,1632)</f>
        <v>173.4957026004995</v>
      </c>
      <c r="AR1634">
        <f>1/(COUNT('Iter No Test'!$W$9:$W$5008)-1)+$AR$1633</f>
        <v>0.32626525305062065</v>
      </c>
    </row>
    <row r="1635" spans="22:44">
      <c r="V1635">
        <v>1627</v>
      </c>
      <c r="W1635">
        <v>110.11356908174184</v>
      </c>
      <c r="AQ1635">
        <f>SMALL('Iter No Test'!$W$9:$W$5008,1633)</f>
        <v>173.50557507298117</v>
      </c>
      <c r="AR1635">
        <f>1/(COUNT('Iter No Test'!$W$9:$W$5008)-1)+$AR$1634</f>
        <v>0.32646529305862226</v>
      </c>
    </row>
    <row r="1636" spans="22:44">
      <c r="V1636">
        <v>1628</v>
      </c>
      <c r="W1636">
        <v>136.74250072130852</v>
      </c>
      <c r="AQ1636">
        <f>SMALL('Iter No Test'!$W$9:$W$5008,1634)</f>
        <v>173.51468700418869</v>
      </c>
      <c r="AR1636">
        <f>1/(COUNT('Iter No Test'!$W$9:$W$5008)-1)+$AR$1635</f>
        <v>0.32666533306662388</v>
      </c>
    </row>
    <row r="1637" spans="22:44">
      <c r="V1637">
        <v>1629</v>
      </c>
      <c r="W1637">
        <v>336.12735172698694</v>
      </c>
      <c r="AQ1637">
        <f>SMALL('Iter No Test'!$W$9:$W$5008,1635)</f>
        <v>173.51703050446196</v>
      </c>
      <c r="AR1637">
        <f>1/(COUNT('Iter No Test'!$W$9:$W$5008)-1)+$AR$1636</f>
        <v>0.32686537307462549</v>
      </c>
    </row>
    <row r="1638" spans="22:44">
      <c r="V1638">
        <v>1630</v>
      </c>
      <c r="W1638">
        <v>231.15179766545066</v>
      </c>
      <c r="AQ1638">
        <f>SMALL('Iter No Test'!$W$9:$W$5008,1636)</f>
        <v>173.59619618603784</v>
      </c>
      <c r="AR1638">
        <f>1/(COUNT('Iter No Test'!$W$9:$W$5008)-1)+$AR$1637</f>
        <v>0.3270654130826271</v>
      </c>
    </row>
    <row r="1639" spans="22:44">
      <c r="V1639">
        <v>1631</v>
      </c>
      <c r="W1639">
        <v>225.14600384530115</v>
      </c>
      <c r="AQ1639">
        <f>SMALL('Iter No Test'!$W$9:$W$5008,1637)</f>
        <v>173.64133161949329</v>
      </c>
      <c r="AR1639">
        <f>1/(COUNT('Iter No Test'!$W$9:$W$5008)-1)+$AR$1638</f>
        <v>0.32726545309062871</v>
      </c>
    </row>
    <row r="1640" spans="22:44">
      <c r="V1640">
        <v>1632</v>
      </c>
      <c r="W1640">
        <v>82.4682491304292</v>
      </c>
      <c r="AQ1640">
        <f>SMALL('Iter No Test'!$W$9:$W$5008,1638)</f>
        <v>173.67119439295217</v>
      </c>
      <c r="AR1640">
        <f>1/(COUNT('Iter No Test'!$W$9:$W$5008)-1)+$AR$1639</f>
        <v>0.32746549309863032</v>
      </c>
    </row>
    <row r="1641" spans="22:44">
      <c r="V1641">
        <v>1633</v>
      </c>
      <c r="W1641">
        <v>161.72530801135957</v>
      </c>
      <c r="AQ1641">
        <f>SMALL('Iter No Test'!$W$9:$W$5008,1639)</f>
        <v>173.71313629008014</v>
      </c>
      <c r="AR1641">
        <f>1/(COUNT('Iter No Test'!$W$9:$W$5008)-1)+$AR$1640</f>
        <v>0.32766553310663193</v>
      </c>
    </row>
    <row r="1642" spans="22:44">
      <c r="V1642">
        <v>1634</v>
      </c>
      <c r="W1642">
        <v>-17.990702386754919</v>
      </c>
      <c r="AQ1642">
        <f>SMALL('Iter No Test'!$W$9:$W$5008,1640)</f>
        <v>173.72554818720596</v>
      </c>
      <c r="AR1642">
        <f>1/(COUNT('Iter No Test'!$W$9:$W$5008)-1)+$AR$1641</f>
        <v>0.32786557311463355</v>
      </c>
    </row>
    <row r="1643" spans="22:44">
      <c r="V1643">
        <v>1635</v>
      </c>
      <c r="W1643">
        <v>215.38955426412207</v>
      </c>
      <c r="AQ1643">
        <f>SMALL('Iter No Test'!$W$9:$W$5008,1641)</f>
        <v>173.72744338641331</v>
      </c>
      <c r="AR1643">
        <f>1/(COUNT('Iter No Test'!$W$9:$W$5008)-1)+$AR$1642</f>
        <v>0.32806561312263516</v>
      </c>
    </row>
    <row r="1644" spans="22:44">
      <c r="V1644">
        <v>1636</v>
      </c>
      <c r="W1644">
        <v>146.19880855574252</v>
      </c>
      <c r="AQ1644">
        <f>SMALL('Iter No Test'!$W$9:$W$5008,1642)</f>
        <v>173.8276057854109</v>
      </c>
      <c r="AR1644">
        <f>1/(COUNT('Iter No Test'!$W$9:$W$5008)-1)+$AR$1643</f>
        <v>0.32826565313063677</v>
      </c>
    </row>
    <row r="1645" spans="22:44">
      <c r="V1645">
        <v>1637</v>
      </c>
      <c r="W1645">
        <v>82.452452421343409</v>
      </c>
      <c r="AQ1645">
        <f>SMALL('Iter No Test'!$W$9:$W$5008,1643)</f>
        <v>174.01294977746187</v>
      </c>
      <c r="AR1645">
        <f>1/(COUNT('Iter No Test'!$W$9:$W$5008)-1)+$AR$1644</f>
        <v>0.32846569313863838</v>
      </c>
    </row>
    <row r="1646" spans="22:44">
      <c r="V1646">
        <v>1638</v>
      </c>
      <c r="W1646">
        <v>166.55895302637822</v>
      </c>
      <c r="AQ1646">
        <f>SMALL('Iter No Test'!$W$9:$W$5008,1644)</f>
        <v>174.04878529635405</v>
      </c>
      <c r="AR1646">
        <f>1/(COUNT('Iter No Test'!$W$9:$W$5008)-1)+$AR$1645</f>
        <v>0.32866573314663999</v>
      </c>
    </row>
    <row r="1647" spans="22:44">
      <c r="V1647">
        <v>1639</v>
      </c>
      <c r="W1647">
        <v>397.5083127515245</v>
      </c>
      <c r="AQ1647">
        <f>SMALL('Iter No Test'!$W$9:$W$5008,1645)</f>
        <v>174.07980929169349</v>
      </c>
      <c r="AR1647">
        <f>1/(COUNT('Iter No Test'!$W$9:$W$5008)-1)+$AR$1646</f>
        <v>0.32886577315464161</v>
      </c>
    </row>
    <row r="1648" spans="22:44">
      <c r="V1648">
        <v>1640</v>
      </c>
      <c r="W1648">
        <v>203.32441871488638</v>
      </c>
      <c r="AQ1648">
        <f>SMALL('Iter No Test'!$W$9:$W$5008,1646)</f>
        <v>174.12223261544682</v>
      </c>
      <c r="AR1648">
        <f>1/(COUNT('Iter No Test'!$W$9:$W$5008)-1)+$AR$1647</f>
        <v>0.32906581316264322</v>
      </c>
    </row>
    <row r="1649" spans="22:44">
      <c r="V1649">
        <v>1641</v>
      </c>
      <c r="W1649">
        <v>214.89684025682868</v>
      </c>
      <c r="AQ1649">
        <f>SMALL('Iter No Test'!$W$9:$W$5008,1647)</f>
        <v>174.13128637247166</v>
      </c>
      <c r="AR1649">
        <f>1/(COUNT('Iter No Test'!$W$9:$W$5008)-1)+$AR$1648</f>
        <v>0.32926585317064483</v>
      </c>
    </row>
    <row r="1650" spans="22:44">
      <c r="V1650">
        <v>1642</v>
      </c>
      <c r="W1650">
        <v>228.92844770486596</v>
      </c>
      <c r="AQ1650">
        <f>SMALL('Iter No Test'!$W$9:$W$5008,1648)</f>
        <v>174.17229934234598</v>
      </c>
      <c r="AR1650">
        <f>1/(COUNT('Iter No Test'!$W$9:$W$5008)-1)+$AR$1649</f>
        <v>0.32946589317864644</v>
      </c>
    </row>
    <row r="1651" spans="22:44">
      <c r="V1651">
        <v>1643</v>
      </c>
      <c r="W1651">
        <v>184.37714020617389</v>
      </c>
      <c r="AQ1651">
        <f>SMALL('Iter No Test'!$W$9:$W$5008,1649)</f>
        <v>174.28191351696537</v>
      </c>
      <c r="AR1651">
        <f>1/(COUNT('Iter No Test'!$W$9:$W$5008)-1)+$AR$1650</f>
        <v>0.32966593318664805</v>
      </c>
    </row>
    <row r="1652" spans="22:44">
      <c r="V1652">
        <v>1644</v>
      </c>
      <c r="W1652">
        <v>211.57530192787004</v>
      </c>
      <c r="AQ1652">
        <f>SMALL('Iter No Test'!$W$9:$W$5008,1650)</f>
        <v>174.44874643592311</v>
      </c>
      <c r="AR1652">
        <f>1/(COUNT('Iter No Test'!$W$9:$W$5008)-1)+$AR$1651</f>
        <v>0.32986597319464966</v>
      </c>
    </row>
    <row r="1653" spans="22:44">
      <c r="V1653">
        <v>1645</v>
      </c>
      <c r="W1653">
        <v>128.40005569515972</v>
      </c>
      <c r="AQ1653">
        <f>SMALL('Iter No Test'!$W$9:$W$5008,1651)</f>
        <v>174.45022194300904</v>
      </c>
      <c r="AR1653">
        <f>1/(COUNT('Iter No Test'!$W$9:$W$5008)-1)+$AR$1652</f>
        <v>0.33006601320265128</v>
      </c>
    </row>
    <row r="1654" spans="22:44">
      <c r="V1654">
        <v>1646</v>
      </c>
      <c r="W1654">
        <v>201.58199986606826</v>
      </c>
      <c r="AQ1654">
        <f>SMALL('Iter No Test'!$W$9:$W$5008,1652)</f>
        <v>174.46105549722608</v>
      </c>
      <c r="AR1654">
        <f>1/(COUNT('Iter No Test'!$W$9:$W$5008)-1)+$AR$1653</f>
        <v>0.33026605321065289</v>
      </c>
    </row>
    <row r="1655" spans="22:44">
      <c r="V1655">
        <v>1647</v>
      </c>
      <c r="W1655">
        <v>76.240616357908124</v>
      </c>
      <c r="AQ1655">
        <f>SMALL('Iter No Test'!$W$9:$W$5008,1653)</f>
        <v>174.50501348118797</v>
      </c>
      <c r="AR1655">
        <f>1/(COUNT('Iter No Test'!$W$9:$W$5008)-1)+$AR$1654</f>
        <v>0.3304660932186545</v>
      </c>
    </row>
    <row r="1656" spans="22:44">
      <c r="V1656">
        <v>1648</v>
      </c>
      <c r="W1656">
        <v>210.11795110509547</v>
      </c>
      <c r="AQ1656">
        <f>SMALL('Iter No Test'!$W$9:$W$5008,1654)</f>
        <v>174.61707928990575</v>
      </c>
      <c r="AR1656">
        <f>1/(COUNT('Iter No Test'!$W$9:$W$5008)-1)+$AR$1655</f>
        <v>0.33066613322665611</v>
      </c>
    </row>
    <row r="1657" spans="22:44">
      <c r="V1657">
        <v>1649</v>
      </c>
      <c r="W1657">
        <v>232.86379252743242</v>
      </c>
      <c r="AQ1657">
        <f>SMALL('Iter No Test'!$W$9:$W$5008,1655)</f>
        <v>174.69093837189649</v>
      </c>
      <c r="AR1657">
        <f>1/(COUNT('Iter No Test'!$W$9:$W$5008)-1)+$AR$1656</f>
        <v>0.33086617323465772</v>
      </c>
    </row>
    <row r="1658" spans="22:44">
      <c r="V1658">
        <v>1650</v>
      </c>
      <c r="W1658">
        <v>208.80162930662641</v>
      </c>
      <c r="AQ1658">
        <f>SMALL('Iter No Test'!$W$9:$W$5008,1656)</f>
        <v>174.71051125417767</v>
      </c>
      <c r="AR1658">
        <f>1/(COUNT('Iter No Test'!$W$9:$W$5008)-1)+$AR$1657</f>
        <v>0.33106621324265934</v>
      </c>
    </row>
    <row r="1659" spans="22:44">
      <c r="V1659">
        <v>1651</v>
      </c>
      <c r="W1659">
        <v>293.06878974060123</v>
      </c>
      <c r="AQ1659">
        <f>SMALL('Iter No Test'!$W$9:$W$5008,1657)</f>
        <v>174.89940577972871</v>
      </c>
      <c r="AR1659">
        <f>1/(COUNT('Iter No Test'!$W$9:$W$5008)-1)+$AR$1658</f>
        <v>0.33126625325066095</v>
      </c>
    </row>
    <row r="1660" spans="22:44">
      <c r="V1660">
        <v>1652</v>
      </c>
      <c r="W1660">
        <v>61.092317983238303</v>
      </c>
      <c r="AQ1660">
        <f>SMALL('Iter No Test'!$W$9:$W$5008,1658)</f>
        <v>174.92593867402235</v>
      </c>
      <c r="AR1660">
        <f>1/(COUNT('Iter No Test'!$W$9:$W$5008)-1)+$AR$1659</f>
        <v>0.33146629325866256</v>
      </c>
    </row>
    <row r="1661" spans="22:44">
      <c r="V1661">
        <v>1653</v>
      </c>
      <c r="W1661">
        <v>155.48465929947201</v>
      </c>
      <c r="AQ1661">
        <f>SMALL('Iter No Test'!$W$9:$W$5008,1659)</f>
        <v>174.96142283429703</v>
      </c>
      <c r="AR1661">
        <f>1/(COUNT('Iter No Test'!$W$9:$W$5008)-1)+$AR$1660</f>
        <v>0.33166633326666417</v>
      </c>
    </row>
    <row r="1662" spans="22:44">
      <c r="V1662">
        <v>1654</v>
      </c>
      <c r="W1662">
        <v>248.03206499474663</v>
      </c>
      <c r="AQ1662">
        <f>SMALL('Iter No Test'!$W$9:$W$5008,1660)</f>
        <v>174.96892542390987</v>
      </c>
      <c r="AR1662">
        <f>1/(COUNT('Iter No Test'!$W$9:$W$5008)-1)+$AR$1661</f>
        <v>0.33186637327466578</v>
      </c>
    </row>
    <row r="1663" spans="22:44">
      <c r="V1663">
        <v>1655</v>
      </c>
      <c r="W1663">
        <v>190.34814257514725</v>
      </c>
      <c r="AQ1663">
        <f>SMALL('Iter No Test'!$W$9:$W$5008,1661)</f>
        <v>175.03492736507752</v>
      </c>
      <c r="AR1663">
        <f>1/(COUNT('Iter No Test'!$W$9:$W$5008)-1)+$AR$1662</f>
        <v>0.33206641328266739</v>
      </c>
    </row>
    <row r="1664" spans="22:44">
      <c r="V1664">
        <v>1656</v>
      </c>
      <c r="W1664">
        <v>144.80886894833549</v>
      </c>
      <c r="AQ1664">
        <f>SMALL('Iter No Test'!$W$9:$W$5008,1662)</f>
        <v>175.062898888295</v>
      </c>
      <c r="AR1664">
        <f>1/(COUNT('Iter No Test'!$W$9:$W$5008)-1)+$AR$1663</f>
        <v>0.33226645329066901</v>
      </c>
    </row>
    <row r="1665" spans="22:44">
      <c r="V1665">
        <v>1657</v>
      </c>
      <c r="W1665">
        <v>278.03563692987274</v>
      </c>
      <c r="AQ1665">
        <f>SMALL('Iter No Test'!$W$9:$W$5008,1663)</f>
        <v>175.06601890961426</v>
      </c>
      <c r="AR1665">
        <f>1/(COUNT('Iter No Test'!$W$9:$W$5008)-1)+$AR$1664</f>
        <v>0.33246649329867062</v>
      </c>
    </row>
    <row r="1666" spans="22:44">
      <c r="V1666">
        <v>1658</v>
      </c>
      <c r="W1666">
        <v>190.86847850230137</v>
      </c>
      <c r="AQ1666">
        <f>SMALL('Iter No Test'!$W$9:$W$5008,1664)</f>
        <v>175.09140443718627</v>
      </c>
      <c r="AR1666">
        <f>1/(COUNT('Iter No Test'!$W$9:$W$5008)-1)+$AR$1665</f>
        <v>0.33266653330667223</v>
      </c>
    </row>
    <row r="1667" spans="22:44">
      <c r="V1667">
        <v>1659</v>
      </c>
      <c r="W1667">
        <v>227.50106427446559</v>
      </c>
      <c r="AQ1667">
        <f>SMALL('Iter No Test'!$W$9:$W$5008,1665)</f>
        <v>175.21184731044917</v>
      </c>
      <c r="AR1667">
        <f>1/(COUNT('Iter No Test'!$W$9:$W$5008)-1)+$AR$1666</f>
        <v>0.33286657331467384</v>
      </c>
    </row>
    <row r="1668" spans="22:44">
      <c r="V1668">
        <v>1660</v>
      </c>
      <c r="W1668">
        <v>292.91897438013854</v>
      </c>
      <c r="AQ1668">
        <f>SMALL('Iter No Test'!$W$9:$W$5008,1666)</f>
        <v>175.2792501315613</v>
      </c>
      <c r="AR1668">
        <f>1/(COUNT('Iter No Test'!$W$9:$W$5008)-1)+$AR$1667</f>
        <v>0.33306661332267545</v>
      </c>
    </row>
    <row r="1669" spans="22:44">
      <c r="V1669">
        <v>1661</v>
      </c>
      <c r="W1669">
        <v>238.0972429660458</v>
      </c>
      <c r="AQ1669">
        <f>SMALL('Iter No Test'!$W$9:$W$5008,1667)</f>
        <v>175.38472073882122</v>
      </c>
      <c r="AR1669">
        <f>1/(COUNT('Iter No Test'!$W$9:$W$5008)-1)+$AR$1668</f>
        <v>0.33326665333067707</v>
      </c>
    </row>
    <row r="1670" spans="22:44">
      <c r="V1670">
        <v>1662</v>
      </c>
      <c r="W1670">
        <v>157.89819772086054</v>
      </c>
      <c r="AQ1670">
        <f>SMALL('Iter No Test'!$W$9:$W$5008,1668)</f>
        <v>175.45470615940079</v>
      </c>
      <c r="AR1670">
        <f>1/(COUNT('Iter No Test'!$W$9:$W$5008)-1)+$AR$1669</f>
        <v>0.33346669333867868</v>
      </c>
    </row>
    <row r="1671" spans="22:44">
      <c r="V1671">
        <v>1663</v>
      </c>
      <c r="W1671">
        <v>121.71947535434994</v>
      </c>
      <c r="AQ1671">
        <f>SMALL('Iter No Test'!$W$9:$W$5008,1669)</f>
        <v>175.4986752789294</v>
      </c>
      <c r="AR1671">
        <f>1/(COUNT('Iter No Test'!$W$9:$W$5008)-1)+$AR$1670</f>
        <v>0.33366673334668029</v>
      </c>
    </row>
    <row r="1672" spans="22:44">
      <c r="V1672">
        <v>1664</v>
      </c>
      <c r="W1672">
        <v>321.08248299326112</v>
      </c>
      <c r="AQ1672">
        <f>SMALL('Iter No Test'!$W$9:$W$5008,1670)</f>
        <v>175.56568501781521</v>
      </c>
      <c r="AR1672">
        <f>1/(COUNT('Iter No Test'!$W$9:$W$5008)-1)+$AR$1671</f>
        <v>0.3338667733546819</v>
      </c>
    </row>
    <row r="1673" spans="22:44">
      <c r="V1673">
        <v>1665</v>
      </c>
      <c r="W1673">
        <v>330.99223492665453</v>
      </c>
      <c r="AQ1673">
        <f>SMALL('Iter No Test'!$W$9:$W$5008,1671)</f>
        <v>175.60526578336055</v>
      </c>
      <c r="AR1673">
        <f>1/(COUNT('Iter No Test'!$W$9:$W$5008)-1)+$AR$1672</f>
        <v>0.33406681336268351</v>
      </c>
    </row>
    <row r="1674" spans="22:44">
      <c r="V1674">
        <v>1666</v>
      </c>
      <c r="W1674">
        <v>216.40078885662129</v>
      </c>
      <c r="AQ1674">
        <f>SMALL('Iter No Test'!$W$9:$W$5008,1672)</f>
        <v>175.65622173786562</v>
      </c>
      <c r="AR1674">
        <f>1/(COUNT('Iter No Test'!$W$9:$W$5008)-1)+$AR$1673</f>
        <v>0.33426685337068512</v>
      </c>
    </row>
    <row r="1675" spans="22:44">
      <c r="V1675">
        <v>1667</v>
      </c>
      <c r="W1675">
        <v>180.69970860746974</v>
      </c>
      <c r="AQ1675">
        <f>SMALL('Iter No Test'!$W$9:$W$5008,1673)</f>
        <v>175.6733216986178</v>
      </c>
      <c r="AR1675">
        <f>1/(COUNT('Iter No Test'!$W$9:$W$5008)-1)+$AR$1674</f>
        <v>0.33446689337868674</v>
      </c>
    </row>
    <row r="1676" spans="22:44">
      <c r="V1676">
        <v>1668</v>
      </c>
      <c r="W1676">
        <v>240.66754076197401</v>
      </c>
      <c r="AQ1676">
        <f>SMALL('Iter No Test'!$W$9:$W$5008,1674)</f>
        <v>175.74560273768313</v>
      </c>
      <c r="AR1676">
        <f>1/(COUNT('Iter No Test'!$W$9:$W$5008)-1)+$AR$1675</f>
        <v>0.33466693338668835</v>
      </c>
    </row>
    <row r="1677" spans="22:44">
      <c r="V1677">
        <v>1669</v>
      </c>
      <c r="W1677">
        <v>110.01139638453031</v>
      </c>
      <c r="AQ1677">
        <f>SMALL('Iter No Test'!$W$9:$W$5008,1675)</f>
        <v>175.77042966809626</v>
      </c>
      <c r="AR1677">
        <f>1/(COUNT('Iter No Test'!$W$9:$W$5008)-1)+$AR$1676</f>
        <v>0.33486697339468996</v>
      </c>
    </row>
    <row r="1678" spans="22:44">
      <c r="V1678">
        <v>1670</v>
      </c>
      <c r="W1678">
        <v>344.80403926000827</v>
      </c>
      <c r="AQ1678">
        <f>SMALL('Iter No Test'!$W$9:$W$5008,1676)</f>
        <v>175.83006263013078</v>
      </c>
      <c r="AR1678">
        <f>1/(COUNT('Iter No Test'!$W$9:$W$5008)-1)+$AR$1677</f>
        <v>0.33506701340269157</v>
      </c>
    </row>
    <row r="1679" spans="22:44">
      <c r="V1679">
        <v>1671</v>
      </c>
      <c r="W1679">
        <v>173.19574366785585</v>
      </c>
      <c r="AQ1679">
        <f>SMALL('Iter No Test'!$W$9:$W$5008,1677)</f>
        <v>175.83753336401458</v>
      </c>
      <c r="AR1679">
        <f>1/(COUNT('Iter No Test'!$W$9:$W$5008)-1)+$AR$1678</f>
        <v>0.33526705341069318</v>
      </c>
    </row>
    <row r="1680" spans="22:44">
      <c r="V1680">
        <v>1672</v>
      </c>
      <c r="W1680">
        <v>234.36698733508666</v>
      </c>
      <c r="AQ1680">
        <f>SMALL('Iter No Test'!$W$9:$W$5008,1678)</f>
        <v>175.87547694694322</v>
      </c>
      <c r="AR1680">
        <f>1/(COUNT('Iter No Test'!$W$9:$W$5008)-1)+$AR$1679</f>
        <v>0.3354670934186948</v>
      </c>
    </row>
    <row r="1681" spans="22:44">
      <c r="V1681">
        <v>1673</v>
      </c>
      <c r="W1681">
        <v>277.32057694453442</v>
      </c>
      <c r="AQ1681">
        <f>SMALL('Iter No Test'!$W$9:$W$5008,1679)</f>
        <v>175.91807632083325</v>
      </c>
      <c r="AR1681">
        <f>1/(COUNT('Iter No Test'!$W$9:$W$5008)-1)+$AR$1680</f>
        <v>0.33566713342669641</v>
      </c>
    </row>
    <row r="1682" spans="22:44">
      <c r="V1682">
        <v>1674</v>
      </c>
      <c r="W1682">
        <v>228.49354401299428</v>
      </c>
      <c r="AQ1682">
        <f>SMALL('Iter No Test'!$W$9:$W$5008,1680)</f>
        <v>176.02307600336394</v>
      </c>
      <c r="AR1682">
        <f>1/(COUNT('Iter No Test'!$W$9:$W$5008)-1)+$AR$1681</f>
        <v>0.33586717343469802</v>
      </c>
    </row>
    <row r="1683" spans="22:44">
      <c r="V1683">
        <v>1675</v>
      </c>
      <c r="W1683">
        <v>210.26468753550427</v>
      </c>
      <c r="AQ1683">
        <f>SMALL('Iter No Test'!$W$9:$W$5008,1681)</f>
        <v>176.04188330866475</v>
      </c>
      <c r="AR1683">
        <f>1/(COUNT('Iter No Test'!$W$9:$W$5008)-1)+$AR$1682</f>
        <v>0.33606721344269963</v>
      </c>
    </row>
    <row r="1684" spans="22:44">
      <c r="V1684">
        <v>1676</v>
      </c>
      <c r="W1684">
        <v>177.05061018258061</v>
      </c>
      <c r="AQ1684">
        <f>SMALL('Iter No Test'!$W$9:$W$5008,1682)</f>
        <v>176.08763369569948</v>
      </c>
      <c r="AR1684">
        <f>1/(COUNT('Iter No Test'!$W$9:$W$5008)-1)+$AR$1683</f>
        <v>0.33626725345070124</v>
      </c>
    </row>
    <row r="1685" spans="22:44">
      <c r="V1685">
        <v>1677</v>
      </c>
      <c r="W1685">
        <v>202.738883441079</v>
      </c>
      <c r="AQ1685">
        <f>SMALL('Iter No Test'!$W$9:$W$5008,1683)</f>
        <v>176.11275989470641</v>
      </c>
      <c r="AR1685">
        <f>1/(COUNT('Iter No Test'!$W$9:$W$5008)-1)+$AR$1684</f>
        <v>0.33646729345870285</v>
      </c>
    </row>
    <row r="1686" spans="22:44">
      <c r="V1686">
        <v>1678</v>
      </c>
      <c r="W1686">
        <v>177.96643594928898</v>
      </c>
      <c r="AQ1686">
        <f>SMALL('Iter No Test'!$W$9:$W$5008,1684)</f>
        <v>176.16854166044402</v>
      </c>
      <c r="AR1686">
        <f>1/(COUNT('Iter No Test'!$W$9:$W$5008)-1)+$AR$1685</f>
        <v>0.33666733346670447</v>
      </c>
    </row>
    <row r="1687" spans="22:44">
      <c r="V1687">
        <v>1679</v>
      </c>
      <c r="W1687">
        <v>85.016986039321353</v>
      </c>
      <c r="AQ1687">
        <f>SMALL('Iter No Test'!$W$9:$W$5008,1685)</f>
        <v>176.1690896742974</v>
      </c>
      <c r="AR1687">
        <f>1/(COUNT('Iter No Test'!$W$9:$W$5008)-1)+$AR$1686</f>
        <v>0.33686737347470608</v>
      </c>
    </row>
    <row r="1688" spans="22:44">
      <c r="V1688">
        <v>1680</v>
      </c>
      <c r="W1688">
        <v>436.21357971645602</v>
      </c>
      <c r="AQ1688">
        <f>SMALL('Iter No Test'!$W$9:$W$5008,1686)</f>
        <v>176.26326624090419</v>
      </c>
      <c r="AR1688">
        <f>1/(COUNT('Iter No Test'!$W$9:$W$5008)-1)+$AR$1687</f>
        <v>0.33706741348270769</v>
      </c>
    </row>
    <row r="1689" spans="22:44">
      <c r="V1689">
        <v>1681</v>
      </c>
      <c r="W1689">
        <v>363.27106158458423</v>
      </c>
      <c r="AQ1689">
        <f>SMALL('Iter No Test'!$W$9:$W$5008,1687)</f>
        <v>176.27816409051988</v>
      </c>
      <c r="AR1689">
        <f>1/(COUNT('Iter No Test'!$W$9:$W$5008)-1)+$AR$1688</f>
        <v>0.3372674534907093</v>
      </c>
    </row>
    <row r="1690" spans="22:44">
      <c r="V1690">
        <v>1682</v>
      </c>
      <c r="W1690">
        <v>63.479906843320876</v>
      </c>
      <c r="AQ1690">
        <f>SMALL('Iter No Test'!$W$9:$W$5008,1688)</f>
        <v>176.43186151921452</v>
      </c>
      <c r="AR1690">
        <f>1/(COUNT('Iter No Test'!$W$9:$W$5008)-1)+$AR$1689</f>
        <v>0.33746749349871091</v>
      </c>
    </row>
    <row r="1691" spans="22:44">
      <c r="V1691">
        <v>1683</v>
      </c>
      <c r="W1691">
        <v>408.5202395364488</v>
      </c>
      <c r="AQ1691">
        <f>SMALL('Iter No Test'!$W$9:$W$5008,1689)</f>
        <v>176.44735482064641</v>
      </c>
      <c r="AR1691">
        <f>1/(COUNT('Iter No Test'!$W$9:$W$5008)-1)+$AR$1690</f>
        <v>0.33766753350671252</v>
      </c>
    </row>
    <row r="1692" spans="22:44">
      <c r="V1692">
        <v>1684</v>
      </c>
      <c r="W1692">
        <v>116.67034455847181</v>
      </c>
      <c r="AQ1692">
        <f>SMALL('Iter No Test'!$W$9:$W$5008,1690)</f>
        <v>176.47039633218381</v>
      </c>
      <c r="AR1692">
        <f>1/(COUNT('Iter No Test'!$W$9:$W$5008)-1)+$AR$1691</f>
        <v>0.33786757351471414</v>
      </c>
    </row>
    <row r="1693" spans="22:44">
      <c r="V1693">
        <v>1685</v>
      </c>
      <c r="W1693">
        <v>148.67664503034655</v>
      </c>
      <c r="AQ1693">
        <f>SMALL('Iter No Test'!$W$9:$W$5008,1691)</f>
        <v>176.49702178549867</v>
      </c>
      <c r="AR1693">
        <f>1/(COUNT('Iter No Test'!$W$9:$W$5008)-1)+$AR$1692</f>
        <v>0.33806761352271575</v>
      </c>
    </row>
    <row r="1694" spans="22:44">
      <c r="V1694">
        <v>1686</v>
      </c>
      <c r="W1694">
        <v>94.847089974596656</v>
      </c>
      <c r="AQ1694">
        <f>SMALL('Iter No Test'!$W$9:$W$5008,1692)</f>
        <v>176.52201342763436</v>
      </c>
      <c r="AR1694">
        <f>1/(COUNT('Iter No Test'!$W$9:$W$5008)-1)+$AR$1693</f>
        <v>0.33826765353071736</v>
      </c>
    </row>
    <row r="1695" spans="22:44">
      <c r="V1695">
        <v>1687</v>
      </c>
      <c r="W1695">
        <v>154.06486027513242</v>
      </c>
      <c r="AQ1695">
        <f>SMALL('Iter No Test'!$W$9:$W$5008,1693)</f>
        <v>176.63633568530088</v>
      </c>
      <c r="AR1695">
        <f>1/(COUNT('Iter No Test'!$W$9:$W$5008)-1)+$AR$1694</f>
        <v>0.33846769353871897</v>
      </c>
    </row>
    <row r="1696" spans="22:44">
      <c r="V1696">
        <v>1688</v>
      </c>
      <c r="W1696">
        <v>187.8498355373855</v>
      </c>
      <c r="AQ1696">
        <f>SMALL('Iter No Test'!$W$9:$W$5008,1694)</f>
        <v>176.63719386853225</v>
      </c>
      <c r="AR1696">
        <f>1/(COUNT('Iter No Test'!$W$9:$W$5008)-1)+$AR$1695</f>
        <v>0.33866773354672058</v>
      </c>
    </row>
    <row r="1697" spans="22:44">
      <c r="V1697">
        <v>1689</v>
      </c>
      <c r="W1697">
        <v>343.20516358444456</v>
      </c>
      <c r="AQ1697">
        <f>SMALL('Iter No Test'!$W$9:$W$5008,1695)</f>
        <v>176.68599244597661</v>
      </c>
      <c r="AR1697">
        <f>1/(COUNT('Iter No Test'!$W$9:$W$5008)-1)+$AR$1696</f>
        <v>0.3388677735547222</v>
      </c>
    </row>
    <row r="1698" spans="22:44">
      <c r="V1698">
        <v>1690</v>
      </c>
      <c r="W1698">
        <v>244.70551757291335</v>
      </c>
      <c r="AQ1698">
        <f>SMALL('Iter No Test'!$W$9:$W$5008,1696)</f>
        <v>176.73545911544204</v>
      </c>
      <c r="AR1698">
        <f>1/(COUNT('Iter No Test'!$W$9:$W$5008)-1)+$AR$1697</f>
        <v>0.33906781356272381</v>
      </c>
    </row>
    <row r="1699" spans="22:44">
      <c r="V1699">
        <v>1691</v>
      </c>
      <c r="W1699">
        <v>233.3336581837718</v>
      </c>
      <c r="AQ1699">
        <f>SMALL('Iter No Test'!$W$9:$W$5008,1697)</f>
        <v>176.77747652322427</v>
      </c>
      <c r="AR1699">
        <f>1/(COUNT('Iter No Test'!$W$9:$W$5008)-1)+$AR$1698</f>
        <v>0.33926785357072542</v>
      </c>
    </row>
    <row r="1700" spans="22:44">
      <c r="V1700">
        <v>1692</v>
      </c>
      <c r="W1700">
        <v>83.8175034900772</v>
      </c>
      <c r="AQ1700">
        <f>SMALL('Iter No Test'!$W$9:$W$5008,1698)</f>
        <v>176.7990099592256</v>
      </c>
      <c r="AR1700">
        <f>1/(COUNT('Iter No Test'!$W$9:$W$5008)-1)+$AR$1699</f>
        <v>0.33946789357872703</v>
      </c>
    </row>
    <row r="1701" spans="22:44">
      <c r="V1701">
        <v>1693</v>
      </c>
      <c r="W1701">
        <v>246.61605606286869</v>
      </c>
      <c r="AQ1701">
        <f>SMALL('Iter No Test'!$W$9:$W$5008,1699)</f>
        <v>176.81620866445743</v>
      </c>
      <c r="AR1701">
        <f>1/(COUNT('Iter No Test'!$W$9:$W$5008)-1)+$AR$1700</f>
        <v>0.33966793358672864</v>
      </c>
    </row>
    <row r="1702" spans="22:44">
      <c r="V1702">
        <v>1694</v>
      </c>
      <c r="W1702">
        <v>239.04780924089437</v>
      </c>
      <c r="AQ1702">
        <f>SMALL('Iter No Test'!$W$9:$W$5008,1700)</f>
        <v>176.84046574242225</v>
      </c>
      <c r="AR1702">
        <f>1/(COUNT('Iter No Test'!$W$9:$W$5008)-1)+$AR$1701</f>
        <v>0.33986797359473025</v>
      </c>
    </row>
    <row r="1703" spans="22:44">
      <c r="V1703">
        <v>1695</v>
      </c>
      <c r="W1703">
        <v>303.14490807511919</v>
      </c>
      <c r="AQ1703">
        <f>SMALL('Iter No Test'!$W$9:$W$5008,1701)</f>
        <v>176.85604301603155</v>
      </c>
      <c r="AR1703">
        <f>1/(COUNT('Iter No Test'!$W$9:$W$5008)-1)+$AR$1702</f>
        <v>0.34006801360273187</v>
      </c>
    </row>
    <row r="1704" spans="22:44">
      <c r="V1704">
        <v>1696</v>
      </c>
      <c r="W1704">
        <v>257.73125079426768</v>
      </c>
      <c r="AQ1704">
        <f>SMALL('Iter No Test'!$W$9:$W$5008,1702)</f>
        <v>176.90787640036794</v>
      </c>
      <c r="AR1704">
        <f>1/(COUNT('Iter No Test'!$W$9:$W$5008)-1)+$AR$1703</f>
        <v>0.34026805361073348</v>
      </c>
    </row>
    <row r="1705" spans="22:44">
      <c r="V1705">
        <v>1697</v>
      </c>
      <c r="W1705">
        <v>259.54559899380729</v>
      </c>
      <c r="AQ1705">
        <f>SMALL('Iter No Test'!$W$9:$W$5008,1703)</f>
        <v>176.96156206670292</v>
      </c>
      <c r="AR1705">
        <f>1/(COUNT('Iter No Test'!$W$9:$W$5008)-1)+$AR$1704</f>
        <v>0.34046809361873509</v>
      </c>
    </row>
    <row r="1706" spans="22:44">
      <c r="V1706">
        <v>1698</v>
      </c>
      <c r="W1706">
        <v>151.32325055302638</v>
      </c>
      <c r="AQ1706">
        <f>SMALL('Iter No Test'!$W$9:$W$5008,1704)</f>
        <v>176.9892870737107</v>
      </c>
      <c r="AR1706">
        <f>1/(COUNT('Iter No Test'!$W$9:$W$5008)-1)+$AR$1705</f>
        <v>0.3406681336267367</v>
      </c>
    </row>
    <row r="1707" spans="22:44">
      <c r="V1707">
        <v>1699</v>
      </c>
      <c r="W1707">
        <v>159.58781138564368</v>
      </c>
      <c r="AQ1707">
        <f>SMALL('Iter No Test'!$W$9:$W$5008,1705)</f>
        <v>177.05061018258061</v>
      </c>
      <c r="AR1707">
        <f>1/(COUNT('Iter No Test'!$W$9:$W$5008)-1)+$AR$1706</f>
        <v>0.34086817363473831</v>
      </c>
    </row>
    <row r="1708" spans="22:44">
      <c r="V1708">
        <v>1700</v>
      </c>
      <c r="W1708">
        <v>129.97413610852158</v>
      </c>
      <c r="AQ1708">
        <f>SMALL('Iter No Test'!$W$9:$W$5008,1706)</f>
        <v>177.26939471257867</v>
      </c>
      <c r="AR1708">
        <f>1/(COUNT('Iter No Test'!$W$9:$W$5008)-1)+$AR$1707</f>
        <v>0.34106821364273993</v>
      </c>
    </row>
    <row r="1709" spans="22:44">
      <c r="V1709">
        <v>1701</v>
      </c>
      <c r="W1709">
        <v>237.75166153926972</v>
      </c>
      <c r="AQ1709">
        <f>SMALL('Iter No Test'!$W$9:$W$5008,1707)</f>
        <v>177.27312109599535</v>
      </c>
      <c r="AR1709">
        <f>1/(COUNT('Iter No Test'!$W$9:$W$5008)-1)+$AR$1708</f>
        <v>0.34126825365074154</v>
      </c>
    </row>
    <row r="1710" spans="22:44">
      <c r="V1710">
        <v>1702</v>
      </c>
      <c r="W1710">
        <v>255.30532029078864</v>
      </c>
      <c r="AQ1710">
        <f>SMALL('Iter No Test'!$W$9:$W$5008,1708)</f>
        <v>177.28555237816593</v>
      </c>
      <c r="AR1710">
        <f>1/(COUNT('Iter No Test'!$W$9:$W$5008)-1)+$AR$1709</f>
        <v>0.34146829365874315</v>
      </c>
    </row>
    <row r="1711" spans="22:44">
      <c r="V1711">
        <v>1703</v>
      </c>
      <c r="W1711">
        <v>163.0168622580029</v>
      </c>
      <c r="AQ1711">
        <f>SMALL('Iter No Test'!$W$9:$W$5008,1709)</f>
        <v>177.36612422633411</v>
      </c>
      <c r="AR1711">
        <f>1/(COUNT('Iter No Test'!$W$9:$W$5008)-1)+$AR$1710</f>
        <v>0.34166833366674476</v>
      </c>
    </row>
    <row r="1712" spans="22:44">
      <c r="V1712">
        <v>1704</v>
      </c>
      <c r="W1712">
        <v>265.17636442689246</v>
      </c>
      <c r="AQ1712">
        <f>SMALL('Iter No Test'!$W$9:$W$5008,1710)</f>
        <v>177.39009328378631</v>
      </c>
      <c r="AR1712">
        <f>1/(COUNT('Iter No Test'!$W$9:$W$5008)-1)+$AR$1711</f>
        <v>0.34186837367474637</v>
      </c>
    </row>
    <row r="1713" spans="22:44">
      <c r="V1713">
        <v>1705</v>
      </c>
      <c r="W1713">
        <v>227.56926096944503</v>
      </c>
      <c r="AQ1713">
        <f>SMALL('Iter No Test'!$W$9:$W$5008,1711)</f>
        <v>177.42818321687221</v>
      </c>
      <c r="AR1713">
        <f>1/(COUNT('Iter No Test'!$W$9:$W$5008)-1)+$AR$1712</f>
        <v>0.34206841368274798</v>
      </c>
    </row>
    <row r="1714" spans="22:44">
      <c r="V1714">
        <v>1706</v>
      </c>
      <c r="W1714">
        <v>147.87719455709541</v>
      </c>
      <c r="AQ1714">
        <f>SMALL('Iter No Test'!$W$9:$W$5008,1712)</f>
        <v>177.53981049913568</v>
      </c>
      <c r="AR1714">
        <f>1/(COUNT('Iter No Test'!$W$9:$W$5008)-1)+$AR$1713</f>
        <v>0.3422684536907496</v>
      </c>
    </row>
    <row r="1715" spans="22:44">
      <c r="V1715">
        <v>1707</v>
      </c>
      <c r="W1715">
        <v>190.23271459301014</v>
      </c>
      <c r="AQ1715">
        <f>SMALL('Iter No Test'!$W$9:$W$5008,1713)</f>
        <v>177.57120922806502</v>
      </c>
      <c r="AR1715">
        <f>1/(COUNT('Iter No Test'!$W$9:$W$5008)-1)+$AR$1714</f>
        <v>0.34246849369875121</v>
      </c>
    </row>
    <row r="1716" spans="22:44">
      <c r="V1716">
        <v>1708</v>
      </c>
      <c r="W1716">
        <v>288.60362201179703</v>
      </c>
      <c r="AQ1716">
        <f>SMALL('Iter No Test'!$W$9:$W$5008,1714)</f>
        <v>177.5751938977061</v>
      </c>
      <c r="AR1716">
        <f>1/(COUNT('Iter No Test'!$W$9:$W$5008)-1)+$AR$1715</f>
        <v>0.34266853370675282</v>
      </c>
    </row>
    <row r="1717" spans="22:44">
      <c r="V1717">
        <v>1709</v>
      </c>
      <c r="W1717">
        <v>160.14952190541274</v>
      </c>
      <c r="AQ1717">
        <f>SMALL('Iter No Test'!$W$9:$W$5008,1715)</f>
        <v>177.57542448277241</v>
      </c>
      <c r="AR1717">
        <f>1/(COUNT('Iter No Test'!$W$9:$W$5008)-1)+$AR$1716</f>
        <v>0.34286857371475443</v>
      </c>
    </row>
    <row r="1718" spans="22:44">
      <c r="V1718">
        <v>1710</v>
      </c>
      <c r="W1718">
        <v>241.43943249661692</v>
      </c>
      <c r="AQ1718">
        <f>SMALL('Iter No Test'!$W$9:$W$5008,1716)</f>
        <v>177.60064354944927</v>
      </c>
      <c r="AR1718">
        <f>1/(COUNT('Iter No Test'!$W$9:$W$5008)-1)+$AR$1717</f>
        <v>0.34306861372275604</v>
      </c>
    </row>
    <row r="1719" spans="22:44">
      <c r="V1719">
        <v>1711</v>
      </c>
      <c r="W1719">
        <v>177.28555237816593</v>
      </c>
      <c r="AQ1719">
        <f>SMALL('Iter No Test'!$W$9:$W$5008,1717)</f>
        <v>177.62532142092346</v>
      </c>
      <c r="AR1719">
        <f>1/(COUNT('Iter No Test'!$W$9:$W$5008)-1)+$AR$1718</f>
        <v>0.34326865373075766</v>
      </c>
    </row>
    <row r="1720" spans="22:44">
      <c r="V1720">
        <v>1712</v>
      </c>
      <c r="W1720">
        <v>115.88689924800147</v>
      </c>
      <c r="AQ1720">
        <f>SMALL('Iter No Test'!$W$9:$W$5008,1718)</f>
        <v>177.62746456313599</v>
      </c>
      <c r="AR1720">
        <f>1/(COUNT('Iter No Test'!$W$9:$W$5008)-1)+$AR$1719</f>
        <v>0.34346869373875927</v>
      </c>
    </row>
    <row r="1721" spans="22:44">
      <c r="V1721">
        <v>1713</v>
      </c>
      <c r="W1721">
        <v>299.83556423549203</v>
      </c>
      <c r="AQ1721">
        <f>SMALL('Iter No Test'!$W$9:$W$5008,1719)</f>
        <v>177.74330731819578</v>
      </c>
      <c r="AR1721">
        <f>1/(COUNT('Iter No Test'!$W$9:$W$5008)-1)+$AR$1720</f>
        <v>0.34366873374676088</v>
      </c>
    </row>
    <row r="1722" spans="22:44">
      <c r="V1722">
        <v>1714</v>
      </c>
      <c r="W1722">
        <v>225.04725566936983</v>
      </c>
      <c r="AQ1722">
        <f>SMALL('Iter No Test'!$W$9:$W$5008,1720)</f>
        <v>177.80048502319755</v>
      </c>
      <c r="AR1722">
        <f>1/(COUNT('Iter No Test'!$W$9:$W$5008)-1)+$AR$1721</f>
        <v>0.34386877375476249</v>
      </c>
    </row>
    <row r="1723" spans="22:44">
      <c r="V1723">
        <v>1715</v>
      </c>
      <c r="W1723">
        <v>198.45411757686929</v>
      </c>
      <c r="AQ1723">
        <f>SMALL('Iter No Test'!$W$9:$W$5008,1721)</f>
        <v>177.80663343222838</v>
      </c>
      <c r="AR1723">
        <f>1/(COUNT('Iter No Test'!$W$9:$W$5008)-1)+$AR$1722</f>
        <v>0.3440688137627641</v>
      </c>
    </row>
    <row r="1724" spans="22:44">
      <c r="V1724">
        <v>1716</v>
      </c>
      <c r="W1724">
        <v>244.49211608536115</v>
      </c>
      <c r="AQ1724">
        <f>SMALL('Iter No Test'!$W$9:$W$5008,1722)</f>
        <v>177.81618214123517</v>
      </c>
      <c r="AR1724">
        <f>1/(COUNT('Iter No Test'!$W$9:$W$5008)-1)+$AR$1723</f>
        <v>0.34426885377076571</v>
      </c>
    </row>
    <row r="1725" spans="22:44">
      <c r="V1725">
        <v>1717</v>
      </c>
      <c r="W1725">
        <v>185.17561369524617</v>
      </c>
      <c r="AQ1725">
        <f>SMALL('Iter No Test'!$W$9:$W$5008,1723)</f>
        <v>177.83295997616767</v>
      </c>
      <c r="AR1725">
        <f>1/(COUNT('Iter No Test'!$W$9:$W$5008)-1)+$AR$1724</f>
        <v>0.34446889377876733</v>
      </c>
    </row>
    <row r="1726" spans="22:44">
      <c r="V1726">
        <v>1718</v>
      </c>
      <c r="W1726">
        <v>227.18903020301869</v>
      </c>
      <c r="AQ1726">
        <f>SMALL('Iter No Test'!$W$9:$W$5008,1724)</f>
        <v>177.85709854689924</v>
      </c>
      <c r="AR1726">
        <f>1/(COUNT('Iter No Test'!$W$9:$W$5008)-1)+$AR$1725</f>
        <v>0.34466893378676894</v>
      </c>
    </row>
    <row r="1727" spans="22:44">
      <c r="V1727">
        <v>1719</v>
      </c>
      <c r="W1727">
        <v>154.52355112261677</v>
      </c>
      <c r="AQ1727">
        <f>SMALL('Iter No Test'!$W$9:$W$5008,1725)</f>
        <v>177.86509471074285</v>
      </c>
      <c r="AR1727">
        <f>1/(COUNT('Iter No Test'!$W$9:$W$5008)-1)+$AR$1726</f>
        <v>0.34486897379477055</v>
      </c>
    </row>
    <row r="1728" spans="22:44">
      <c r="V1728">
        <v>1720</v>
      </c>
      <c r="W1728">
        <v>217.32566523432652</v>
      </c>
      <c r="AQ1728">
        <f>SMALL('Iter No Test'!$W$9:$W$5008,1726)</f>
        <v>177.9346404956039</v>
      </c>
      <c r="AR1728">
        <f>1/(COUNT('Iter No Test'!$W$9:$W$5008)-1)+$AR$1727</f>
        <v>0.34506901380277216</v>
      </c>
    </row>
    <row r="1729" spans="22:44">
      <c r="V1729">
        <v>1721</v>
      </c>
      <c r="W1729">
        <v>377.36007444759952</v>
      </c>
      <c r="AQ1729">
        <f>SMALL('Iter No Test'!$W$9:$W$5008,1727)</f>
        <v>177.95189360267076</v>
      </c>
      <c r="AR1729">
        <f>1/(COUNT('Iter No Test'!$W$9:$W$5008)-1)+$AR$1728</f>
        <v>0.34526905381077377</v>
      </c>
    </row>
    <row r="1730" spans="22:44">
      <c r="V1730">
        <v>1722</v>
      </c>
      <c r="W1730">
        <v>85.072788722186445</v>
      </c>
      <c r="AQ1730">
        <f>SMALL('Iter No Test'!$W$9:$W$5008,1728)</f>
        <v>177.95563299466522</v>
      </c>
      <c r="AR1730">
        <f>1/(COUNT('Iter No Test'!$W$9:$W$5008)-1)+$AR$1729</f>
        <v>0.34546909381877539</v>
      </c>
    </row>
    <row r="1731" spans="22:44">
      <c r="V1731">
        <v>1723</v>
      </c>
      <c r="W1731">
        <v>187.09797148620055</v>
      </c>
      <c r="AQ1731">
        <f>SMALL('Iter No Test'!$W$9:$W$5008,1729)</f>
        <v>177.96643594928898</v>
      </c>
      <c r="AR1731">
        <f>1/(COUNT('Iter No Test'!$W$9:$W$5008)-1)+$AR$1730</f>
        <v>0.345669133826777</v>
      </c>
    </row>
    <row r="1732" spans="22:44">
      <c r="V1732">
        <v>1724</v>
      </c>
      <c r="W1732">
        <v>328.51954937837411</v>
      </c>
      <c r="AQ1732">
        <f>SMALL('Iter No Test'!$W$9:$W$5008,1730)</f>
        <v>178.01008365050762</v>
      </c>
      <c r="AR1732">
        <f>1/(COUNT('Iter No Test'!$W$9:$W$5008)-1)+$AR$1731</f>
        <v>0.34586917383477861</v>
      </c>
    </row>
    <row r="1733" spans="22:44">
      <c r="V1733">
        <v>1725</v>
      </c>
      <c r="W1733">
        <v>199.2804226622614</v>
      </c>
      <c r="AQ1733">
        <f>SMALL('Iter No Test'!$W$9:$W$5008,1731)</f>
        <v>178.0516044591115</v>
      </c>
      <c r="AR1733">
        <f>1/(COUNT('Iter No Test'!$W$9:$W$5008)-1)+$AR$1732</f>
        <v>0.34606921384278022</v>
      </c>
    </row>
    <row r="1734" spans="22:44">
      <c r="V1734">
        <v>1726</v>
      </c>
      <c r="W1734">
        <v>251.11481212295479</v>
      </c>
      <c r="AQ1734">
        <f>SMALL('Iter No Test'!$W$9:$W$5008,1732)</f>
        <v>178.05825462695691</v>
      </c>
      <c r="AR1734">
        <f>1/(COUNT('Iter No Test'!$W$9:$W$5008)-1)+$AR$1733</f>
        <v>0.34626925385078183</v>
      </c>
    </row>
    <row r="1735" spans="22:44">
      <c r="V1735">
        <v>1727</v>
      </c>
      <c r="W1735">
        <v>310.42941498901439</v>
      </c>
      <c r="AQ1735">
        <f>SMALL('Iter No Test'!$W$9:$W$5008,1733)</f>
        <v>178.0778575526943</v>
      </c>
      <c r="AR1735">
        <f>1/(COUNT('Iter No Test'!$W$9:$W$5008)-1)+$AR$1734</f>
        <v>0.34646929385878344</v>
      </c>
    </row>
    <row r="1736" spans="22:44">
      <c r="V1736">
        <v>1728</v>
      </c>
      <c r="W1736">
        <v>212.9058304013794</v>
      </c>
      <c r="AQ1736">
        <f>SMALL('Iter No Test'!$W$9:$W$5008,1734)</f>
        <v>178.09840282543269</v>
      </c>
      <c r="AR1736">
        <f>1/(COUNT('Iter No Test'!$W$9:$W$5008)-1)+$AR$1735</f>
        <v>0.34666933386678506</v>
      </c>
    </row>
    <row r="1737" spans="22:44">
      <c r="V1737">
        <v>1729</v>
      </c>
      <c r="W1737">
        <v>114.40134802538363</v>
      </c>
      <c r="AQ1737">
        <f>SMALL('Iter No Test'!$W$9:$W$5008,1735)</f>
        <v>178.11806385374911</v>
      </c>
      <c r="AR1737">
        <f>1/(COUNT('Iter No Test'!$W$9:$W$5008)-1)+$AR$1736</f>
        <v>0.34686937387478667</v>
      </c>
    </row>
    <row r="1738" spans="22:44">
      <c r="V1738">
        <v>1730</v>
      </c>
      <c r="W1738">
        <v>265.46083930821555</v>
      </c>
      <c r="AQ1738">
        <f>SMALL('Iter No Test'!$W$9:$W$5008,1736)</f>
        <v>178.12608610814746</v>
      </c>
      <c r="AR1738">
        <f>1/(COUNT('Iter No Test'!$W$9:$W$5008)-1)+$AR$1737</f>
        <v>0.34706941388278828</v>
      </c>
    </row>
    <row r="1739" spans="22:44">
      <c r="V1739">
        <v>1731</v>
      </c>
      <c r="W1739">
        <v>111.36492004797232</v>
      </c>
      <c r="AQ1739">
        <f>SMALL('Iter No Test'!$W$9:$W$5008,1737)</f>
        <v>178.22089952790981</v>
      </c>
      <c r="AR1739">
        <f>1/(COUNT('Iter No Test'!$W$9:$W$5008)-1)+$AR$1738</f>
        <v>0.34726945389078989</v>
      </c>
    </row>
    <row r="1740" spans="22:44">
      <c r="V1740">
        <v>1732</v>
      </c>
      <c r="W1740">
        <v>218.60435031326884</v>
      </c>
      <c r="AQ1740">
        <f>SMALL('Iter No Test'!$W$9:$W$5008,1738)</f>
        <v>178.23327548650195</v>
      </c>
      <c r="AR1740">
        <f>1/(COUNT('Iter No Test'!$W$9:$W$5008)-1)+$AR$1739</f>
        <v>0.3474694938987915</v>
      </c>
    </row>
    <row r="1741" spans="22:44">
      <c r="V1741">
        <v>1733</v>
      </c>
      <c r="W1741">
        <v>120.10617696965973</v>
      </c>
      <c r="AQ1741">
        <f>SMALL('Iter No Test'!$W$9:$W$5008,1739)</f>
        <v>178.29034060212464</v>
      </c>
      <c r="AR1741">
        <f>1/(COUNT('Iter No Test'!$W$9:$W$5008)-1)+$AR$1740</f>
        <v>0.34766953390679312</v>
      </c>
    </row>
    <row r="1742" spans="22:44">
      <c r="V1742">
        <v>1734</v>
      </c>
      <c r="W1742">
        <v>152.71645494684961</v>
      </c>
      <c r="AQ1742">
        <f>SMALL('Iter No Test'!$W$9:$W$5008,1740)</f>
        <v>178.32691309613594</v>
      </c>
      <c r="AR1742">
        <f>1/(COUNT('Iter No Test'!$W$9:$W$5008)-1)+$AR$1741</f>
        <v>0.34786957391479473</v>
      </c>
    </row>
    <row r="1743" spans="22:44">
      <c r="V1743">
        <v>1735</v>
      </c>
      <c r="W1743">
        <v>326.93402168223258</v>
      </c>
      <c r="AQ1743">
        <f>SMALL('Iter No Test'!$W$9:$W$5008,1741)</f>
        <v>178.41822053568939</v>
      </c>
      <c r="AR1743">
        <f>1/(COUNT('Iter No Test'!$W$9:$W$5008)-1)+$AR$1742</f>
        <v>0.34806961392279634</v>
      </c>
    </row>
    <row r="1744" spans="22:44">
      <c r="V1744">
        <v>1736</v>
      </c>
      <c r="W1744">
        <v>225.32640864719298</v>
      </c>
      <c r="AQ1744">
        <f>SMALL('Iter No Test'!$W$9:$W$5008,1742)</f>
        <v>178.44140207395725</v>
      </c>
      <c r="AR1744">
        <f>1/(COUNT('Iter No Test'!$W$9:$W$5008)-1)+$AR$1743</f>
        <v>0.34826965393079795</v>
      </c>
    </row>
    <row r="1745" spans="22:44">
      <c r="V1745">
        <v>1737</v>
      </c>
      <c r="W1745">
        <v>265.15142787408206</v>
      </c>
      <c r="AQ1745">
        <f>SMALL('Iter No Test'!$W$9:$W$5008,1743)</f>
        <v>178.48214517903347</v>
      </c>
      <c r="AR1745">
        <f>1/(COUNT('Iter No Test'!$W$9:$W$5008)-1)+$AR$1744</f>
        <v>0.34846969393879956</v>
      </c>
    </row>
    <row r="1746" spans="22:44">
      <c r="V1746">
        <v>1738</v>
      </c>
      <c r="W1746">
        <v>303.13405642160876</v>
      </c>
      <c r="AQ1746">
        <f>SMALL('Iter No Test'!$W$9:$W$5008,1744)</f>
        <v>178.4858808901341</v>
      </c>
      <c r="AR1746">
        <f>1/(COUNT('Iter No Test'!$W$9:$W$5008)-1)+$AR$1745</f>
        <v>0.34866973394680117</v>
      </c>
    </row>
    <row r="1747" spans="22:44">
      <c r="V1747">
        <v>1739</v>
      </c>
      <c r="W1747">
        <v>312.22894746207407</v>
      </c>
      <c r="AQ1747">
        <f>SMALL('Iter No Test'!$W$9:$W$5008,1745)</f>
        <v>178.49634853736586</v>
      </c>
      <c r="AR1747">
        <f>1/(COUNT('Iter No Test'!$W$9:$W$5008)-1)+$AR$1746</f>
        <v>0.34886977395480279</v>
      </c>
    </row>
    <row r="1748" spans="22:44">
      <c r="V1748">
        <v>1740</v>
      </c>
      <c r="W1748">
        <v>167.86919742212987</v>
      </c>
      <c r="AQ1748">
        <f>SMALL('Iter No Test'!$W$9:$W$5008,1746)</f>
        <v>178.50530256828426</v>
      </c>
      <c r="AR1748">
        <f>1/(COUNT('Iter No Test'!$W$9:$W$5008)-1)+$AR$1747</f>
        <v>0.3490698139628044</v>
      </c>
    </row>
    <row r="1749" spans="22:44">
      <c r="V1749">
        <v>1741</v>
      </c>
      <c r="W1749">
        <v>239.44176094363348</v>
      </c>
      <c r="AQ1749">
        <f>SMALL('Iter No Test'!$W$9:$W$5008,1747)</f>
        <v>178.59575283134689</v>
      </c>
      <c r="AR1749">
        <f>1/(COUNT('Iter No Test'!$W$9:$W$5008)-1)+$AR$1748</f>
        <v>0.34926985397080601</v>
      </c>
    </row>
    <row r="1750" spans="22:44">
      <c r="V1750">
        <v>1742</v>
      </c>
      <c r="W1750">
        <v>159.42524091382671</v>
      </c>
      <c r="AQ1750">
        <f>SMALL('Iter No Test'!$W$9:$W$5008,1748)</f>
        <v>178.67061998177746</v>
      </c>
      <c r="AR1750">
        <f>1/(COUNT('Iter No Test'!$W$9:$W$5008)-1)+$AR$1749</f>
        <v>0.34946989397880762</v>
      </c>
    </row>
    <row r="1751" spans="22:44">
      <c r="V1751">
        <v>1743</v>
      </c>
      <c r="W1751">
        <v>385.50077573251178</v>
      </c>
      <c r="AQ1751">
        <f>SMALL('Iter No Test'!$W$9:$W$5008,1749)</f>
        <v>178.70264914460284</v>
      </c>
      <c r="AR1751">
        <f>1/(COUNT('Iter No Test'!$W$9:$W$5008)-1)+$AR$1750</f>
        <v>0.34966993398680923</v>
      </c>
    </row>
    <row r="1752" spans="22:44">
      <c r="V1752">
        <v>1744</v>
      </c>
      <c r="W1752">
        <v>172.27941087026679</v>
      </c>
      <c r="AQ1752">
        <f>SMALL('Iter No Test'!$W$9:$W$5008,1750)</f>
        <v>178.7449739581966</v>
      </c>
      <c r="AR1752">
        <f>1/(COUNT('Iter No Test'!$W$9:$W$5008)-1)+$AR$1751</f>
        <v>0.34986997399481085</v>
      </c>
    </row>
    <row r="1753" spans="22:44">
      <c r="V1753">
        <v>1745</v>
      </c>
      <c r="W1753">
        <v>104.23402204972801</v>
      </c>
      <c r="AQ1753">
        <f>SMALL('Iter No Test'!$W$9:$W$5008,1751)</f>
        <v>178.75866722109686</v>
      </c>
      <c r="AR1753">
        <f>1/(COUNT('Iter No Test'!$W$9:$W$5008)-1)+$AR$1752</f>
        <v>0.35007001400281246</v>
      </c>
    </row>
    <row r="1754" spans="22:44">
      <c r="V1754">
        <v>1746</v>
      </c>
      <c r="W1754">
        <v>134.00736725769471</v>
      </c>
      <c r="AQ1754">
        <f>SMALL('Iter No Test'!$W$9:$W$5008,1752)</f>
        <v>178.7786687151887</v>
      </c>
      <c r="AR1754">
        <f>1/(COUNT('Iter No Test'!$W$9:$W$5008)-1)+$AR$1753</f>
        <v>0.35027005401081407</v>
      </c>
    </row>
    <row r="1755" spans="22:44">
      <c r="V1755">
        <v>1747</v>
      </c>
      <c r="W1755">
        <v>326.14383070116014</v>
      </c>
      <c r="AQ1755">
        <f>SMALL('Iter No Test'!$W$9:$W$5008,1753)</f>
        <v>178.79332792505346</v>
      </c>
      <c r="AR1755">
        <f>1/(COUNT('Iter No Test'!$W$9:$W$5008)-1)+$AR$1754</f>
        <v>0.35047009401881568</v>
      </c>
    </row>
    <row r="1756" spans="22:44">
      <c r="V1756">
        <v>1748</v>
      </c>
      <c r="W1756">
        <v>155.71151525535009</v>
      </c>
      <c r="AQ1756">
        <f>SMALL('Iter No Test'!$W$9:$W$5008,1754)</f>
        <v>178.88592339414703</v>
      </c>
      <c r="AR1756">
        <f>1/(COUNT('Iter No Test'!$W$9:$W$5008)-1)+$AR$1755</f>
        <v>0.35067013402681729</v>
      </c>
    </row>
    <row r="1757" spans="22:44">
      <c r="V1757">
        <v>1749</v>
      </c>
      <c r="W1757">
        <v>275.43623604009554</v>
      </c>
      <c r="AQ1757">
        <f>SMALL('Iter No Test'!$W$9:$W$5008,1755)</f>
        <v>178.89480954165498</v>
      </c>
      <c r="AR1757">
        <f>1/(COUNT('Iter No Test'!$W$9:$W$5008)-1)+$AR$1756</f>
        <v>0.3508701740348189</v>
      </c>
    </row>
    <row r="1758" spans="22:44">
      <c r="V1758">
        <v>1750</v>
      </c>
      <c r="W1758">
        <v>223.97908538369916</v>
      </c>
      <c r="AQ1758">
        <f>SMALL('Iter No Test'!$W$9:$W$5008,1756)</f>
        <v>178.93314484915049</v>
      </c>
      <c r="AR1758">
        <f>1/(COUNT('Iter No Test'!$W$9:$W$5008)-1)+$AR$1757</f>
        <v>0.35107021404282052</v>
      </c>
    </row>
    <row r="1759" spans="22:44">
      <c r="V1759">
        <v>1751</v>
      </c>
      <c r="W1759">
        <v>355.52094979693931</v>
      </c>
      <c r="AQ1759">
        <f>SMALL('Iter No Test'!$W$9:$W$5008,1757)</f>
        <v>178.95439932386358</v>
      </c>
      <c r="AR1759">
        <f>1/(COUNT('Iter No Test'!$W$9:$W$5008)-1)+$AR$1758</f>
        <v>0.35127025405082213</v>
      </c>
    </row>
    <row r="1760" spans="22:44">
      <c r="V1760">
        <v>1752</v>
      </c>
      <c r="W1760">
        <v>412.83115098167821</v>
      </c>
      <c r="AQ1760">
        <f>SMALL('Iter No Test'!$W$9:$W$5008,1758)</f>
        <v>179.03038146347993</v>
      </c>
      <c r="AR1760">
        <f>1/(COUNT('Iter No Test'!$W$9:$W$5008)-1)+$AR$1759</f>
        <v>0.35147029405882374</v>
      </c>
    </row>
    <row r="1761" spans="22:44">
      <c r="V1761">
        <v>1753</v>
      </c>
      <c r="W1761">
        <v>311.60368806054896</v>
      </c>
      <c r="AQ1761">
        <f>SMALL('Iter No Test'!$W$9:$W$5008,1759)</f>
        <v>179.03099325966238</v>
      </c>
      <c r="AR1761">
        <f>1/(COUNT('Iter No Test'!$W$9:$W$5008)-1)+$AR$1760</f>
        <v>0.35167033406682535</v>
      </c>
    </row>
    <row r="1762" spans="22:44">
      <c r="V1762">
        <v>1754</v>
      </c>
      <c r="W1762">
        <v>108.91714674995038</v>
      </c>
      <c r="AQ1762">
        <f>SMALL('Iter No Test'!$W$9:$W$5008,1760)</f>
        <v>179.08765388666839</v>
      </c>
      <c r="AR1762">
        <f>1/(COUNT('Iter No Test'!$W$9:$W$5008)-1)+$AR$1761</f>
        <v>0.35187037407482696</v>
      </c>
    </row>
    <row r="1763" spans="22:44">
      <c r="V1763">
        <v>1755</v>
      </c>
      <c r="W1763">
        <v>374.64734904746138</v>
      </c>
      <c r="AQ1763">
        <f>SMALL('Iter No Test'!$W$9:$W$5008,1761)</f>
        <v>179.13306398616081</v>
      </c>
      <c r="AR1763">
        <f>1/(COUNT('Iter No Test'!$W$9:$W$5008)-1)+$AR$1762</f>
        <v>0.35207041408282858</v>
      </c>
    </row>
    <row r="1764" spans="22:44">
      <c r="V1764">
        <v>1756</v>
      </c>
      <c r="W1764">
        <v>350.12887457542047</v>
      </c>
      <c r="AQ1764">
        <f>SMALL('Iter No Test'!$W$9:$W$5008,1762)</f>
        <v>179.13793299534925</v>
      </c>
      <c r="AR1764">
        <f>1/(COUNT('Iter No Test'!$W$9:$W$5008)-1)+$AR$1763</f>
        <v>0.35227045409083019</v>
      </c>
    </row>
    <row r="1765" spans="22:44">
      <c r="V1765">
        <v>1757</v>
      </c>
      <c r="W1765">
        <v>198.08624404804985</v>
      </c>
      <c r="AQ1765">
        <f>SMALL('Iter No Test'!$W$9:$W$5008,1763)</f>
        <v>179.2095776247408</v>
      </c>
      <c r="AR1765">
        <f>1/(COUNT('Iter No Test'!$W$9:$W$5008)-1)+$AR$1764</f>
        <v>0.3524704940988318</v>
      </c>
    </row>
    <row r="1766" spans="22:44">
      <c r="V1766">
        <v>1758</v>
      </c>
      <c r="W1766">
        <v>190.69669334288272</v>
      </c>
      <c r="AQ1766">
        <f>SMALL('Iter No Test'!$W$9:$W$5008,1764)</f>
        <v>179.23247336527197</v>
      </c>
      <c r="AR1766">
        <f>1/(COUNT('Iter No Test'!$W$9:$W$5008)-1)+$AR$1765</f>
        <v>0.35267053410683341</v>
      </c>
    </row>
    <row r="1767" spans="22:44">
      <c r="V1767">
        <v>1759</v>
      </c>
      <c r="W1767">
        <v>178.93314484915049</v>
      </c>
      <c r="AQ1767">
        <f>SMALL('Iter No Test'!$W$9:$W$5008,1765)</f>
        <v>179.23322133708379</v>
      </c>
      <c r="AR1767">
        <f>1/(COUNT('Iter No Test'!$W$9:$W$5008)-1)+$AR$1766</f>
        <v>0.35287057411483502</v>
      </c>
    </row>
    <row r="1768" spans="22:44">
      <c r="V1768">
        <v>1760</v>
      </c>
      <c r="W1768">
        <v>329.79241363126994</v>
      </c>
      <c r="AQ1768">
        <f>SMALL('Iter No Test'!$W$9:$W$5008,1766)</f>
        <v>179.28277116190773</v>
      </c>
      <c r="AR1768">
        <f>1/(COUNT('Iter No Test'!$W$9:$W$5008)-1)+$AR$1767</f>
        <v>0.35307061412283663</v>
      </c>
    </row>
    <row r="1769" spans="22:44">
      <c r="V1769">
        <v>1761</v>
      </c>
      <c r="W1769">
        <v>112.67254432089791</v>
      </c>
      <c r="AQ1769">
        <f>SMALL('Iter No Test'!$W$9:$W$5008,1767)</f>
        <v>179.30041078573387</v>
      </c>
      <c r="AR1769">
        <f>1/(COUNT('Iter No Test'!$W$9:$W$5008)-1)+$AR$1768</f>
        <v>0.35327065413083825</v>
      </c>
    </row>
    <row r="1770" spans="22:44">
      <c r="V1770">
        <v>1762</v>
      </c>
      <c r="W1770">
        <v>257.91436436569381</v>
      </c>
      <c r="AQ1770">
        <f>SMALL('Iter No Test'!$W$9:$W$5008,1768)</f>
        <v>179.32728653653209</v>
      </c>
      <c r="AR1770">
        <f>1/(COUNT('Iter No Test'!$W$9:$W$5008)-1)+$AR$1769</f>
        <v>0.35347069413883986</v>
      </c>
    </row>
    <row r="1771" spans="22:44">
      <c r="V1771">
        <v>1763</v>
      </c>
      <c r="W1771">
        <v>85.210394594022347</v>
      </c>
      <c r="AQ1771">
        <f>SMALL('Iter No Test'!$W$9:$W$5008,1769)</f>
        <v>179.3327055805328</v>
      </c>
      <c r="AR1771">
        <f>1/(COUNT('Iter No Test'!$W$9:$W$5008)-1)+$AR$1770</f>
        <v>0.35367073414684147</v>
      </c>
    </row>
    <row r="1772" spans="22:44">
      <c r="V1772">
        <v>1764</v>
      </c>
      <c r="W1772">
        <v>295.78925225714011</v>
      </c>
      <c r="AQ1772">
        <f>SMALL('Iter No Test'!$W$9:$W$5008,1770)</f>
        <v>179.33473593956555</v>
      </c>
      <c r="AR1772">
        <f>1/(COUNT('Iter No Test'!$W$9:$W$5008)-1)+$AR$1771</f>
        <v>0.35387077415484308</v>
      </c>
    </row>
    <row r="1773" spans="22:44">
      <c r="V1773">
        <v>1765</v>
      </c>
      <c r="W1773">
        <v>376.03317590242852</v>
      </c>
      <c r="AQ1773">
        <f>SMALL('Iter No Test'!$W$9:$W$5008,1771)</f>
        <v>179.35530303751744</v>
      </c>
      <c r="AR1773">
        <f>1/(COUNT('Iter No Test'!$W$9:$W$5008)-1)+$AR$1772</f>
        <v>0.35407081416284469</v>
      </c>
    </row>
    <row r="1774" spans="22:44">
      <c r="V1774">
        <v>1766</v>
      </c>
      <c r="W1774">
        <v>203.21542579142883</v>
      </c>
      <c r="AQ1774">
        <f>SMALL('Iter No Test'!$W$9:$W$5008,1772)</f>
        <v>179.37804815529296</v>
      </c>
      <c r="AR1774">
        <f>1/(COUNT('Iter No Test'!$W$9:$W$5008)-1)+$AR$1773</f>
        <v>0.35427085417084631</v>
      </c>
    </row>
    <row r="1775" spans="22:44">
      <c r="V1775">
        <v>1767</v>
      </c>
      <c r="W1775">
        <v>247.14660620643821</v>
      </c>
      <c r="AQ1775">
        <f>SMALL('Iter No Test'!$W$9:$W$5008,1773)</f>
        <v>179.44117916535163</v>
      </c>
      <c r="AR1775">
        <f>1/(COUNT('Iter No Test'!$W$9:$W$5008)-1)+$AR$1774</f>
        <v>0.35447089417884792</v>
      </c>
    </row>
    <row r="1776" spans="22:44">
      <c r="V1776">
        <v>1768</v>
      </c>
      <c r="W1776">
        <v>223.67273125647486</v>
      </c>
      <c r="AQ1776">
        <f>SMALL('Iter No Test'!$W$9:$W$5008,1774)</f>
        <v>179.50887679137591</v>
      </c>
      <c r="AR1776">
        <f>1/(COUNT('Iter No Test'!$W$9:$W$5008)-1)+$AR$1775</f>
        <v>0.35467093418684953</v>
      </c>
    </row>
    <row r="1777" spans="22:44">
      <c r="V1777">
        <v>1769</v>
      </c>
      <c r="W1777">
        <v>390.51117667206597</v>
      </c>
      <c r="AQ1777">
        <f>SMALL('Iter No Test'!$W$9:$W$5008,1775)</f>
        <v>179.59214089399171</v>
      </c>
      <c r="AR1777">
        <f>1/(COUNT('Iter No Test'!$W$9:$W$5008)-1)+$AR$1776</f>
        <v>0.35487097419485114</v>
      </c>
    </row>
    <row r="1778" spans="22:44">
      <c r="V1778">
        <v>1770</v>
      </c>
      <c r="W1778">
        <v>287.45227074971103</v>
      </c>
      <c r="AQ1778">
        <f>SMALL('Iter No Test'!$W$9:$W$5008,1776)</f>
        <v>179.59842960224282</v>
      </c>
      <c r="AR1778">
        <f>1/(COUNT('Iter No Test'!$W$9:$W$5008)-1)+$AR$1777</f>
        <v>0.35507101420285275</v>
      </c>
    </row>
    <row r="1779" spans="22:44">
      <c r="V1779">
        <v>1771</v>
      </c>
      <c r="W1779">
        <v>221.65498312747027</v>
      </c>
      <c r="AQ1779">
        <f>SMALL('Iter No Test'!$W$9:$W$5008,1777)</f>
        <v>179.7912149513914</v>
      </c>
      <c r="AR1779">
        <f>1/(COUNT('Iter No Test'!$W$9:$W$5008)-1)+$AR$1778</f>
        <v>0.35527105421085436</v>
      </c>
    </row>
    <row r="1780" spans="22:44">
      <c r="V1780">
        <v>1772</v>
      </c>
      <c r="W1780">
        <v>414.21646290087608</v>
      </c>
      <c r="AQ1780">
        <f>SMALL('Iter No Test'!$W$9:$W$5008,1778)</f>
        <v>179.79157916201279</v>
      </c>
      <c r="AR1780">
        <f>1/(COUNT('Iter No Test'!$W$9:$W$5008)-1)+$AR$1779</f>
        <v>0.35547109421885598</v>
      </c>
    </row>
    <row r="1781" spans="22:44">
      <c r="V1781">
        <v>1773</v>
      </c>
      <c r="W1781">
        <v>270.23500502138813</v>
      </c>
      <c r="AQ1781">
        <f>SMALL('Iter No Test'!$W$9:$W$5008,1779)</f>
        <v>179.89547221340786</v>
      </c>
      <c r="AR1781">
        <f>1/(COUNT('Iter No Test'!$W$9:$W$5008)-1)+$AR$1780</f>
        <v>0.35567113422685759</v>
      </c>
    </row>
    <row r="1782" spans="22:44">
      <c r="V1782">
        <v>1774</v>
      </c>
      <c r="W1782">
        <v>229.39096733307034</v>
      </c>
      <c r="AQ1782">
        <f>SMALL('Iter No Test'!$W$9:$W$5008,1780)</f>
        <v>179.93399294648142</v>
      </c>
      <c r="AR1782">
        <f>1/(COUNT('Iter No Test'!$W$9:$W$5008)-1)+$AR$1781</f>
        <v>0.3558711742348592</v>
      </c>
    </row>
    <row r="1783" spans="22:44">
      <c r="V1783">
        <v>1775</v>
      </c>
      <c r="W1783">
        <v>186.87342911260475</v>
      </c>
      <c r="AQ1783">
        <f>SMALL('Iter No Test'!$W$9:$W$5008,1781)</f>
        <v>179.94883945580668</v>
      </c>
      <c r="AR1783">
        <f>1/(COUNT('Iter No Test'!$W$9:$W$5008)-1)+$AR$1782</f>
        <v>0.35607121424286081</v>
      </c>
    </row>
    <row r="1784" spans="22:44">
      <c r="V1784">
        <v>1776</v>
      </c>
      <c r="W1784">
        <v>119.13926713358131</v>
      </c>
      <c r="AQ1784">
        <f>SMALL('Iter No Test'!$W$9:$W$5008,1782)</f>
        <v>180.03923845396383</v>
      </c>
      <c r="AR1784">
        <f>1/(COUNT('Iter No Test'!$W$9:$W$5008)-1)+$AR$1783</f>
        <v>0.35627125425086242</v>
      </c>
    </row>
    <row r="1785" spans="22:44">
      <c r="V1785">
        <v>1777</v>
      </c>
      <c r="W1785">
        <v>237.69345484869879</v>
      </c>
      <c r="AQ1785">
        <f>SMALL('Iter No Test'!$W$9:$W$5008,1783)</f>
        <v>180.05587438185833</v>
      </c>
      <c r="AR1785">
        <f>1/(COUNT('Iter No Test'!$W$9:$W$5008)-1)+$AR$1784</f>
        <v>0.35647129425886404</v>
      </c>
    </row>
    <row r="1786" spans="22:44">
      <c r="V1786">
        <v>1778</v>
      </c>
      <c r="W1786">
        <v>193.3908107973412</v>
      </c>
      <c r="AQ1786">
        <f>SMALL('Iter No Test'!$W$9:$W$5008,1784)</f>
        <v>180.08390252389356</v>
      </c>
      <c r="AR1786">
        <f>1/(COUNT('Iter No Test'!$W$9:$W$5008)-1)+$AR$1785</f>
        <v>0.35667133426686565</v>
      </c>
    </row>
    <row r="1787" spans="22:44">
      <c r="V1787">
        <v>1779</v>
      </c>
      <c r="W1787">
        <v>108.7227432046877</v>
      </c>
      <c r="AQ1787">
        <f>SMALL('Iter No Test'!$W$9:$W$5008,1785)</f>
        <v>180.09479802919716</v>
      </c>
      <c r="AR1787">
        <f>1/(COUNT('Iter No Test'!$W$9:$W$5008)-1)+$AR$1786</f>
        <v>0.35687137427486726</v>
      </c>
    </row>
    <row r="1788" spans="22:44">
      <c r="V1788">
        <v>1780</v>
      </c>
      <c r="W1788">
        <v>273.34214037591892</v>
      </c>
      <c r="AQ1788">
        <f>SMALL('Iter No Test'!$W$9:$W$5008,1786)</f>
        <v>180.26750088539535</v>
      </c>
      <c r="AR1788">
        <f>1/(COUNT('Iter No Test'!$W$9:$W$5008)-1)+$AR$1787</f>
        <v>0.35707141428286887</v>
      </c>
    </row>
    <row r="1789" spans="22:44">
      <c r="V1789">
        <v>1781</v>
      </c>
      <c r="W1789">
        <v>245.03493410627297</v>
      </c>
      <c r="AQ1789">
        <f>SMALL('Iter No Test'!$W$9:$W$5008,1787)</f>
        <v>180.32212740411893</v>
      </c>
      <c r="AR1789">
        <f>1/(COUNT('Iter No Test'!$W$9:$W$5008)-1)+$AR$1788</f>
        <v>0.35727145429087048</v>
      </c>
    </row>
    <row r="1790" spans="22:44">
      <c r="V1790">
        <v>1782</v>
      </c>
      <c r="W1790">
        <v>243.97194337206108</v>
      </c>
      <c r="AQ1790">
        <f>SMALL('Iter No Test'!$W$9:$W$5008,1788)</f>
        <v>180.38083750327701</v>
      </c>
      <c r="AR1790">
        <f>1/(COUNT('Iter No Test'!$W$9:$W$5008)-1)+$AR$1789</f>
        <v>0.35747149429887209</v>
      </c>
    </row>
    <row r="1791" spans="22:44">
      <c r="V1791">
        <v>1783</v>
      </c>
      <c r="W1791">
        <v>260.61162459221691</v>
      </c>
      <c r="AQ1791">
        <f>SMALL('Iter No Test'!$W$9:$W$5008,1789)</f>
        <v>180.38652926444306</v>
      </c>
      <c r="AR1791">
        <f>1/(COUNT('Iter No Test'!$W$9:$W$5008)-1)+$AR$1790</f>
        <v>0.35767153430687371</v>
      </c>
    </row>
    <row r="1792" spans="22:44">
      <c r="V1792">
        <v>1784</v>
      </c>
      <c r="W1792">
        <v>290.28860630552373</v>
      </c>
      <c r="AQ1792">
        <f>SMALL('Iter No Test'!$W$9:$W$5008,1790)</f>
        <v>180.42996238968388</v>
      </c>
      <c r="AR1792">
        <f>1/(COUNT('Iter No Test'!$W$9:$W$5008)-1)+$AR$1791</f>
        <v>0.35787157431487532</v>
      </c>
    </row>
    <row r="1793" spans="22:44">
      <c r="V1793">
        <v>1785</v>
      </c>
      <c r="W1793">
        <v>338.82083894760149</v>
      </c>
      <c r="AQ1793">
        <f>SMALL('Iter No Test'!$W$9:$W$5008,1791)</f>
        <v>180.43299976688641</v>
      </c>
      <c r="AR1793">
        <f>1/(COUNT('Iter No Test'!$W$9:$W$5008)-1)+$AR$1792</f>
        <v>0.35807161432287693</v>
      </c>
    </row>
    <row r="1794" spans="22:44">
      <c r="V1794">
        <v>1786</v>
      </c>
      <c r="W1794">
        <v>128.20895513366628</v>
      </c>
      <c r="AQ1794">
        <f>SMALL('Iter No Test'!$W$9:$W$5008,1792)</f>
        <v>180.50623226675097</v>
      </c>
      <c r="AR1794">
        <f>1/(COUNT('Iter No Test'!$W$9:$W$5008)-1)+$AR$1793</f>
        <v>0.35827165433087854</v>
      </c>
    </row>
    <row r="1795" spans="22:44">
      <c r="V1795">
        <v>1787</v>
      </c>
      <c r="W1795">
        <v>174.92593867402235</v>
      </c>
      <c r="AQ1795">
        <f>SMALL('Iter No Test'!$W$9:$W$5008,1793)</f>
        <v>180.62084833034797</v>
      </c>
      <c r="AR1795">
        <f>1/(COUNT('Iter No Test'!$W$9:$W$5008)-1)+$AR$1794</f>
        <v>0.35847169433888015</v>
      </c>
    </row>
    <row r="1796" spans="22:44">
      <c r="V1796">
        <v>1788</v>
      </c>
      <c r="W1796">
        <v>112.53030065314074</v>
      </c>
      <c r="AQ1796">
        <f>SMALL('Iter No Test'!$W$9:$W$5008,1794)</f>
        <v>180.69840397577735</v>
      </c>
      <c r="AR1796">
        <f>1/(COUNT('Iter No Test'!$W$9:$W$5008)-1)+$AR$1795</f>
        <v>0.35867173434688177</v>
      </c>
    </row>
    <row r="1797" spans="22:44">
      <c r="V1797">
        <v>1789</v>
      </c>
      <c r="W1797">
        <v>225.47865816012239</v>
      </c>
      <c r="AQ1797">
        <f>SMALL('Iter No Test'!$W$9:$W$5008,1795)</f>
        <v>180.69970860746974</v>
      </c>
      <c r="AR1797">
        <f>1/(COUNT('Iter No Test'!$W$9:$W$5008)-1)+$AR$1796</f>
        <v>0.35887177435488338</v>
      </c>
    </row>
    <row r="1798" spans="22:44">
      <c r="V1798">
        <v>1790</v>
      </c>
      <c r="W1798">
        <v>255.42347450873436</v>
      </c>
      <c r="AQ1798">
        <f>SMALL('Iter No Test'!$W$9:$W$5008,1796)</f>
        <v>180.74989771814296</v>
      </c>
      <c r="AR1798">
        <f>1/(COUNT('Iter No Test'!$W$9:$W$5008)-1)+$AR$1797</f>
        <v>0.35907181436288499</v>
      </c>
    </row>
    <row r="1799" spans="22:44">
      <c r="V1799">
        <v>1791</v>
      </c>
      <c r="W1799">
        <v>172.82503111296398</v>
      </c>
      <c r="AQ1799">
        <f>SMALL('Iter No Test'!$W$9:$W$5008,1797)</f>
        <v>180.84572600735487</v>
      </c>
      <c r="AR1799">
        <f>1/(COUNT('Iter No Test'!$W$9:$W$5008)-1)+$AR$1798</f>
        <v>0.3592718543708866</v>
      </c>
    </row>
    <row r="1800" spans="22:44">
      <c r="V1800">
        <v>1792</v>
      </c>
      <c r="W1800">
        <v>157.60388995087624</v>
      </c>
      <c r="AQ1800">
        <f>SMALL('Iter No Test'!$W$9:$W$5008,1798)</f>
        <v>180.86470730857945</v>
      </c>
      <c r="AR1800">
        <f>1/(COUNT('Iter No Test'!$W$9:$W$5008)-1)+$AR$1799</f>
        <v>0.35947189437888821</v>
      </c>
    </row>
    <row r="1801" spans="22:44">
      <c r="V1801">
        <v>1793</v>
      </c>
      <c r="W1801">
        <v>137.08945370228003</v>
      </c>
      <c r="AQ1801">
        <f>SMALL('Iter No Test'!$W$9:$W$5008,1799)</f>
        <v>180.91161671907636</v>
      </c>
      <c r="AR1801">
        <f>1/(COUNT('Iter No Test'!$W$9:$W$5008)-1)+$AR$1800</f>
        <v>0.35967193438688982</v>
      </c>
    </row>
    <row r="1802" spans="22:44">
      <c r="V1802">
        <v>1794</v>
      </c>
      <c r="W1802">
        <v>212.43909201244142</v>
      </c>
      <c r="AQ1802">
        <f>SMALL('Iter No Test'!$W$9:$W$5008,1800)</f>
        <v>180.93586829707743</v>
      </c>
      <c r="AR1802">
        <f>1/(COUNT('Iter No Test'!$W$9:$W$5008)-1)+$AR$1801</f>
        <v>0.35987197439489144</v>
      </c>
    </row>
    <row r="1803" spans="22:44">
      <c r="V1803">
        <v>1795</v>
      </c>
      <c r="W1803">
        <v>113.54208453707027</v>
      </c>
      <c r="AQ1803">
        <f>SMALL('Iter No Test'!$W$9:$W$5008,1801)</f>
        <v>180.96917103478967</v>
      </c>
      <c r="AR1803">
        <f>1/(COUNT('Iter No Test'!$W$9:$W$5008)-1)+$AR$1802</f>
        <v>0.36007201440289305</v>
      </c>
    </row>
    <row r="1804" spans="22:44">
      <c r="V1804">
        <v>1796</v>
      </c>
      <c r="W1804">
        <v>191.41160222210556</v>
      </c>
      <c r="AQ1804">
        <f>SMALL('Iter No Test'!$W$9:$W$5008,1802)</f>
        <v>181.05142028376065</v>
      </c>
      <c r="AR1804">
        <f>1/(COUNT('Iter No Test'!$W$9:$W$5008)-1)+$AR$1803</f>
        <v>0.36027205441089466</v>
      </c>
    </row>
    <row r="1805" spans="22:44">
      <c r="V1805">
        <v>1797</v>
      </c>
      <c r="W1805">
        <v>157.43595920057135</v>
      </c>
      <c r="AQ1805">
        <f>SMALL('Iter No Test'!$W$9:$W$5008,1803)</f>
        <v>181.05584949007402</v>
      </c>
      <c r="AR1805">
        <f>1/(COUNT('Iter No Test'!$W$9:$W$5008)-1)+$AR$1804</f>
        <v>0.36047209441889627</v>
      </c>
    </row>
    <row r="1806" spans="22:44">
      <c r="V1806">
        <v>1798</v>
      </c>
      <c r="W1806">
        <v>82.714465686302944</v>
      </c>
      <c r="AQ1806">
        <f>SMALL('Iter No Test'!$W$9:$W$5008,1804)</f>
        <v>181.05943822984418</v>
      </c>
      <c r="AR1806">
        <f>1/(COUNT('Iter No Test'!$W$9:$W$5008)-1)+$AR$1805</f>
        <v>0.36067213442689788</v>
      </c>
    </row>
    <row r="1807" spans="22:44">
      <c r="V1807">
        <v>1799</v>
      </c>
      <c r="W1807">
        <v>262.21846206776343</v>
      </c>
      <c r="AQ1807">
        <f>SMALL('Iter No Test'!$W$9:$W$5008,1805)</f>
        <v>181.06874467518116</v>
      </c>
      <c r="AR1807">
        <f>1/(COUNT('Iter No Test'!$W$9:$W$5008)-1)+$AR$1806</f>
        <v>0.3608721744348995</v>
      </c>
    </row>
    <row r="1808" spans="22:44">
      <c r="V1808">
        <v>1800</v>
      </c>
      <c r="W1808">
        <v>129.76273098304358</v>
      </c>
      <c r="AQ1808">
        <f>SMALL('Iter No Test'!$W$9:$W$5008,1806)</f>
        <v>181.07455048178969</v>
      </c>
      <c r="AR1808">
        <f>1/(COUNT('Iter No Test'!$W$9:$W$5008)-1)+$AR$1807</f>
        <v>0.36107221444290111</v>
      </c>
    </row>
    <row r="1809" spans="22:44">
      <c r="V1809">
        <v>1801</v>
      </c>
      <c r="W1809">
        <v>150.19451643253251</v>
      </c>
      <c r="AQ1809">
        <f>SMALL('Iter No Test'!$W$9:$W$5008,1807)</f>
        <v>181.10522526187447</v>
      </c>
      <c r="AR1809">
        <f>1/(COUNT('Iter No Test'!$W$9:$W$5008)-1)+$AR$1808</f>
        <v>0.36127225445090272</v>
      </c>
    </row>
    <row r="1810" spans="22:44">
      <c r="V1810">
        <v>1802</v>
      </c>
      <c r="W1810">
        <v>143.403307118306</v>
      </c>
      <c r="AQ1810">
        <f>SMALL('Iter No Test'!$W$9:$W$5008,1808)</f>
        <v>181.23979682337782</v>
      </c>
      <c r="AR1810">
        <f>1/(COUNT('Iter No Test'!$W$9:$W$5008)-1)+$AR$1809</f>
        <v>0.36147229445890433</v>
      </c>
    </row>
    <row r="1811" spans="22:44">
      <c r="V1811">
        <v>1803</v>
      </c>
      <c r="W1811">
        <v>30.759694456163771</v>
      </c>
      <c r="AQ1811">
        <f>SMALL('Iter No Test'!$W$9:$W$5008,1809)</f>
        <v>181.30828650058066</v>
      </c>
      <c r="AR1811">
        <f>1/(COUNT('Iter No Test'!$W$9:$W$5008)-1)+$AR$1810</f>
        <v>0.36167233446690594</v>
      </c>
    </row>
    <row r="1812" spans="22:44">
      <c r="V1812">
        <v>1804</v>
      </c>
      <c r="W1812">
        <v>283.4938349977952</v>
      </c>
      <c r="AQ1812">
        <f>SMALL('Iter No Test'!$W$9:$W$5008,1810)</f>
        <v>181.46536915371433</v>
      </c>
      <c r="AR1812">
        <f>1/(COUNT('Iter No Test'!$W$9:$W$5008)-1)+$AR$1811</f>
        <v>0.36187237447490755</v>
      </c>
    </row>
    <row r="1813" spans="22:44">
      <c r="V1813">
        <v>1805</v>
      </c>
      <c r="W1813">
        <v>220.46717553804731</v>
      </c>
      <c r="AQ1813">
        <f>SMALL('Iter No Test'!$W$9:$W$5008,1811)</f>
        <v>181.51293276942857</v>
      </c>
      <c r="AR1813">
        <f>1/(COUNT('Iter No Test'!$W$9:$W$5008)-1)+$AR$1812</f>
        <v>0.36207241448290917</v>
      </c>
    </row>
    <row r="1814" spans="22:44">
      <c r="V1814">
        <v>1806</v>
      </c>
      <c r="W1814">
        <v>227.74743266466561</v>
      </c>
      <c r="AQ1814">
        <f>SMALL('Iter No Test'!$W$9:$W$5008,1812)</f>
        <v>181.51363722706171</v>
      </c>
      <c r="AR1814">
        <f>1/(COUNT('Iter No Test'!$W$9:$W$5008)-1)+$AR$1813</f>
        <v>0.36227245449091078</v>
      </c>
    </row>
    <row r="1815" spans="22:44">
      <c r="V1815">
        <v>1807</v>
      </c>
      <c r="W1815">
        <v>229.86752034319545</v>
      </c>
      <c r="AQ1815">
        <f>SMALL('Iter No Test'!$W$9:$W$5008,1813)</f>
        <v>181.51547003461769</v>
      </c>
      <c r="AR1815">
        <f>1/(COUNT('Iter No Test'!$W$9:$W$5008)-1)+$AR$1814</f>
        <v>0.36247249449891239</v>
      </c>
    </row>
    <row r="1816" spans="22:44">
      <c r="V1816">
        <v>1808</v>
      </c>
      <c r="W1816">
        <v>312.56843800865715</v>
      </c>
      <c r="AQ1816">
        <f>SMALL('Iter No Test'!$W$9:$W$5008,1814)</f>
        <v>181.59552191163732</v>
      </c>
      <c r="AR1816">
        <f>1/(COUNT('Iter No Test'!$W$9:$W$5008)-1)+$AR$1815</f>
        <v>0.362672534506914</v>
      </c>
    </row>
    <row r="1817" spans="22:44">
      <c r="V1817">
        <v>1809</v>
      </c>
      <c r="W1817">
        <v>148.59947755491856</v>
      </c>
      <c r="AQ1817">
        <f>SMALL('Iter No Test'!$W$9:$W$5008,1815)</f>
        <v>181.61823239269577</v>
      </c>
      <c r="AR1817">
        <f>1/(COUNT('Iter No Test'!$W$9:$W$5008)-1)+$AR$1816</f>
        <v>0.36287257451491561</v>
      </c>
    </row>
    <row r="1818" spans="22:44">
      <c r="V1818">
        <v>1810</v>
      </c>
      <c r="W1818">
        <v>254.55693107298862</v>
      </c>
      <c r="AQ1818">
        <f>SMALL('Iter No Test'!$W$9:$W$5008,1816)</f>
        <v>181.63686501138608</v>
      </c>
      <c r="AR1818">
        <f>1/(COUNT('Iter No Test'!$W$9:$W$5008)-1)+$AR$1817</f>
        <v>0.36307261452291723</v>
      </c>
    </row>
    <row r="1819" spans="22:44">
      <c r="V1819">
        <v>1811</v>
      </c>
      <c r="W1819">
        <v>391.91751969112033</v>
      </c>
      <c r="AQ1819">
        <f>SMALL('Iter No Test'!$W$9:$W$5008,1817)</f>
        <v>181.70991240606452</v>
      </c>
      <c r="AR1819">
        <f>1/(COUNT('Iter No Test'!$W$9:$W$5008)-1)+$AR$1818</f>
        <v>0.36327265453091884</v>
      </c>
    </row>
    <row r="1820" spans="22:44">
      <c r="V1820">
        <v>1812</v>
      </c>
      <c r="W1820">
        <v>140.45025825339641</v>
      </c>
      <c r="AQ1820">
        <f>SMALL('Iter No Test'!$W$9:$W$5008,1818)</f>
        <v>181.71219373891395</v>
      </c>
      <c r="AR1820">
        <f>1/(COUNT('Iter No Test'!$W$9:$W$5008)-1)+$AR$1819</f>
        <v>0.36347269453892045</v>
      </c>
    </row>
    <row r="1821" spans="22:44">
      <c r="V1821">
        <v>1813</v>
      </c>
      <c r="W1821">
        <v>265.37829722807999</v>
      </c>
      <c r="AQ1821">
        <f>SMALL('Iter No Test'!$W$9:$W$5008,1819)</f>
        <v>181.74598996329883</v>
      </c>
      <c r="AR1821">
        <f>1/(COUNT('Iter No Test'!$W$9:$W$5008)-1)+$AR$1820</f>
        <v>0.36367273454692206</v>
      </c>
    </row>
    <row r="1822" spans="22:44">
      <c r="V1822">
        <v>1814</v>
      </c>
      <c r="W1822">
        <v>115.52016565893703</v>
      </c>
      <c r="AQ1822">
        <f>SMALL('Iter No Test'!$W$9:$W$5008,1820)</f>
        <v>181.77377593186114</v>
      </c>
      <c r="AR1822">
        <f>1/(COUNT('Iter No Test'!$W$9:$W$5008)-1)+$AR$1821</f>
        <v>0.36387277455492367</v>
      </c>
    </row>
    <row r="1823" spans="22:44">
      <c r="V1823">
        <v>1815</v>
      </c>
      <c r="W1823">
        <v>192.02133594720311</v>
      </c>
      <c r="AQ1823">
        <f>SMALL('Iter No Test'!$W$9:$W$5008,1821)</f>
        <v>181.81770509841783</v>
      </c>
      <c r="AR1823">
        <f>1/(COUNT('Iter No Test'!$W$9:$W$5008)-1)+$AR$1822</f>
        <v>0.36407281456292528</v>
      </c>
    </row>
    <row r="1824" spans="22:44">
      <c r="V1824">
        <v>1816</v>
      </c>
      <c r="W1824">
        <v>157.33238728873945</v>
      </c>
      <c r="AQ1824">
        <f>SMALL('Iter No Test'!$W$9:$W$5008,1822)</f>
        <v>181.96561859321449</v>
      </c>
      <c r="AR1824">
        <f>1/(COUNT('Iter No Test'!$W$9:$W$5008)-1)+$AR$1823</f>
        <v>0.3642728545709269</v>
      </c>
    </row>
    <row r="1825" spans="22:44">
      <c r="V1825">
        <v>1817</v>
      </c>
      <c r="W1825">
        <v>58.084015282170895</v>
      </c>
      <c r="AQ1825">
        <f>SMALL('Iter No Test'!$W$9:$W$5008,1823)</f>
        <v>182.01547801806498</v>
      </c>
      <c r="AR1825">
        <f>1/(COUNT('Iter No Test'!$W$9:$W$5008)-1)+$AR$1824</f>
        <v>0.36447289457892851</v>
      </c>
    </row>
    <row r="1826" spans="22:44">
      <c r="V1826">
        <v>1818</v>
      </c>
      <c r="W1826">
        <v>236.65994166683578</v>
      </c>
      <c r="AQ1826">
        <f>SMALL('Iter No Test'!$W$9:$W$5008,1824)</f>
        <v>182.02032354281238</v>
      </c>
      <c r="AR1826">
        <f>1/(COUNT('Iter No Test'!$W$9:$W$5008)-1)+$AR$1825</f>
        <v>0.36467293458693012</v>
      </c>
    </row>
    <row r="1827" spans="22:44">
      <c r="V1827">
        <v>1819</v>
      </c>
      <c r="W1827">
        <v>271.65589716590313</v>
      </c>
      <c r="AQ1827">
        <f>SMALL('Iter No Test'!$W$9:$W$5008,1825)</f>
        <v>182.02644346703855</v>
      </c>
      <c r="AR1827">
        <f>1/(COUNT('Iter No Test'!$W$9:$W$5008)-1)+$AR$1826</f>
        <v>0.36487297459493173</v>
      </c>
    </row>
    <row r="1828" spans="22:44">
      <c r="V1828">
        <v>1820</v>
      </c>
      <c r="W1828">
        <v>116.0703828004178</v>
      </c>
      <c r="AQ1828">
        <f>SMALL('Iter No Test'!$W$9:$W$5008,1826)</f>
        <v>182.03043214630304</v>
      </c>
      <c r="AR1828">
        <f>1/(COUNT('Iter No Test'!$W$9:$W$5008)-1)+$AR$1827</f>
        <v>0.36507301460293334</v>
      </c>
    </row>
    <row r="1829" spans="22:44">
      <c r="V1829">
        <v>1821</v>
      </c>
      <c r="W1829">
        <v>235.29172281458406</v>
      </c>
      <c r="AQ1829">
        <f>SMALL('Iter No Test'!$W$9:$W$5008,1827)</f>
        <v>182.04637927049095</v>
      </c>
      <c r="AR1829">
        <f>1/(COUNT('Iter No Test'!$W$9:$W$5008)-1)+$AR$1828</f>
        <v>0.36527305461093496</v>
      </c>
    </row>
    <row r="1830" spans="22:44">
      <c r="V1830">
        <v>1822</v>
      </c>
      <c r="W1830">
        <v>266.84381636249014</v>
      </c>
      <c r="AQ1830">
        <f>SMALL('Iter No Test'!$W$9:$W$5008,1828)</f>
        <v>182.05806647550517</v>
      </c>
      <c r="AR1830">
        <f>1/(COUNT('Iter No Test'!$W$9:$W$5008)-1)+$AR$1829</f>
        <v>0.36547309461893657</v>
      </c>
    </row>
    <row r="1831" spans="22:44">
      <c r="V1831">
        <v>1823</v>
      </c>
      <c r="W1831">
        <v>256.4627063169512</v>
      </c>
      <c r="AQ1831">
        <f>SMALL('Iter No Test'!$W$9:$W$5008,1829)</f>
        <v>182.06578118497731</v>
      </c>
      <c r="AR1831">
        <f>1/(COUNT('Iter No Test'!$W$9:$W$5008)-1)+$AR$1830</f>
        <v>0.36567313462693818</v>
      </c>
    </row>
    <row r="1832" spans="22:44">
      <c r="V1832">
        <v>1824</v>
      </c>
      <c r="W1832">
        <v>162.78899539511866</v>
      </c>
      <c r="AQ1832">
        <f>SMALL('Iter No Test'!$W$9:$W$5008,1830)</f>
        <v>182.13877222852778</v>
      </c>
      <c r="AR1832">
        <f>1/(COUNT('Iter No Test'!$W$9:$W$5008)-1)+$AR$1831</f>
        <v>0.36587317463493979</v>
      </c>
    </row>
    <row r="1833" spans="22:44">
      <c r="V1833">
        <v>1825</v>
      </c>
      <c r="W1833">
        <v>160.27550418973874</v>
      </c>
      <c r="AQ1833">
        <f>SMALL('Iter No Test'!$W$9:$W$5008,1831)</f>
        <v>182.17477002932463</v>
      </c>
      <c r="AR1833">
        <f>1/(COUNT('Iter No Test'!$W$9:$W$5008)-1)+$AR$1832</f>
        <v>0.3660732146429414</v>
      </c>
    </row>
    <row r="1834" spans="22:44">
      <c r="V1834">
        <v>1826</v>
      </c>
      <c r="W1834">
        <v>167.979009719473</v>
      </c>
      <c r="AQ1834">
        <f>SMALL('Iter No Test'!$W$9:$W$5008,1832)</f>
        <v>182.2187686828965</v>
      </c>
      <c r="AR1834">
        <f>1/(COUNT('Iter No Test'!$W$9:$W$5008)-1)+$AR$1833</f>
        <v>0.36627325465094301</v>
      </c>
    </row>
    <row r="1835" spans="22:44">
      <c r="V1835">
        <v>1827</v>
      </c>
      <c r="W1835">
        <v>149.56776309980063</v>
      </c>
      <c r="AQ1835">
        <f>SMALL('Iter No Test'!$W$9:$W$5008,1833)</f>
        <v>182.23385803292001</v>
      </c>
      <c r="AR1835">
        <f>1/(COUNT('Iter No Test'!$W$9:$W$5008)-1)+$AR$1834</f>
        <v>0.36647329465894463</v>
      </c>
    </row>
    <row r="1836" spans="22:44">
      <c r="V1836">
        <v>1828</v>
      </c>
      <c r="W1836">
        <v>244.0832285701442</v>
      </c>
      <c r="AQ1836">
        <f>SMALL('Iter No Test'!$W$9:$W$5008,1834)</f>
        <v>182.27085697952296</v>
      </c>
      <c r="AR1836">
        <f>1/(COUNT('Iter No Test'!$W$9:$W$5008)-1)+$AR$1835</f>
        <v>0.36667333466694624</v>
      </c>
    </row>
    <row r="1837" spans="22:44">
      <c r="V1837">
        <v>1829</v>
      </c>
      <c r="W1837">
        <v>262.69153795309285</v>
      </c>
      <c r="AQ1837">
        <f>SMALL('Iter No Test'!$W$9:$W$5008,1835)</f>
        <v>182.33235340231158</v>
      </c>
      <c r="AR1837">
        <f>1/(COUNT('Iter No Test'!$W$9:$W$5008)-1)+$AR$1836</f>
        <v>0.36687337467494785</v>
      </c>
    </row>
    <row r="1838" spans="22:44">
      <c r="V1838">
        <v>1830</v>
      </c>
      <c r="W1838">
        <v>196.94754864821246</v>
      </c>
      <c r="AQ1838">
        <f>SMALL('Iter No Test'!$W$9:$W$5008,1836)</f>
        <v>182.37449176216188</v>
      </c>
      <c r="AR1838">
        <f>1/(COUNT('Iter No Test'!$W$9:$W$5008)-1)+$AR$1837</f>
        <v>0.36707341468294946</v>
      </c>
    </row>
    <row r="1839" spans="22:44">
      <c r="V1839">
        <v>1831</v>
      </c>
      <c r="W1839">
        <v>250.38870950881332</v>
      </c>
      <c r="AQ1839">
        <f>SMALL('Iter No Test'!$W$9:$W$5008,1837)</f>
        <v>182.44130515309593</v>
      </c>
      <c r="AR1839">
        <f>1/(COUNT('Iter No Test'!$W$9:$W$5008)-1)+$AR$1838</f>
        <v>0.36727345469095107</v>
      </c>
    </row>
    <row r="1840" spans="22:44">
      <c r="V1840">
        <v>1832</v>
      </c>
      <c r="W1840">
        <v>238.45472212289934</v>
      </c>
      <c r="AQ1840">
        <f>SMALL('Iter No Test'!$W$9:$W$5008,1838)</f>
        <v>182.49187925371882</v>
      </c>
      <c r="AR1840">
        <f>1/(COUNT('Iter No Test'!$W$9:$W$5008)-1)+$AR$1839</f>
        <v>0.36747349469895269</v>
      </c>
    </row>
    <row r="1841" spans="22:44">
      <c r="V1841">
        <v>1833</v>
      </c>
      <c r="W1841">
        <v>197.71164760617199</v>
      </c>
      <c r="AQ1841">
        <f>SMALL('Iter No Test'!$W$9:$W$5008,1839)</f>
        <v>182.50219998769055</v>
      </c>
      <c r="AR1841">
        <f>1/(COUNT('Iter No Test'!$W$9:$W$5008)-1)+$AR$1840</f>
        <v>0.3676735347069543</v>
      </c>
    </row>
    <row r="1842" spans="22:44">
      <c r="V1842">
        <v>1834</v>
      </c>
      <c r="W1842">
        <v>106.74087060566342</v>
      </c>
      <c r="AQ1842">
        <f>SMALL('Iter No Test'!$W$9:$W$5008,1840)</f>
        <v>182.60843644522419</v>
      </c>
      <c r="AR1842">
        <f>1/(COUNT('Iter No Test'!$W$9:$W$5008)-1)+$AR$1841</f>
        <v>0.36787357471495591</v>
      </c>
    </row>
    <row r="1843" spans="22:44">
      <c r="V1843">
        <v>1835</v>
      </c>
      <c r="W1843">
        <v>163.52050474463573</v>
      </c>
      <c r="AQ1843">
        <f>SMALL('Iter No Test'!$W$9:$W$5008,1841)</f>
        <v>182.61043886234035</v>
      </c>
      <c r="AR1843">
        <f>1/(COUNT('Iter No Test'!$W$9:$W$5008)-1)+$AR$1842</f>
        <v>0.36807361472295752</v>
      </c>
    </row>
    <row r="1844" spans="22:44">
      <c r="V1844">
        <v>1836</v>
      </c>
      <c r="W1844">
        <v>142.02209967100117</v>
      </c>
      <c r="AQ1844">
        <f>SMALL('Iter No Test'!$W$9:$W$5008,1842)</f>
        <v>182.66103573021977</v>
      </c>
      <c r="AR1844">
        <f>1/(COUNT('Iter No Test'!$W$9:$W$5008)-1)+$AR$1843</f>
        <v>0.36827365473095913</v>
      </c>
    </row>
    <row r="1845" spans="22:44">
      <c r="V1845">
        <v>1837</v>
      </c>
      <c r="W1845">
        <v>171.60717755306439</v>
      </c>
      <c r="AQ1845">
        <f>SMALL('Iter No Test'!$W$9:$W$5008,1843)</f>
        <v>182.69615657082156</v>
      </c>
      <c r="AR1845">
        <f>1/(COUNT('Iter No Test'!$W$9:$W$5008)-1)+$AR$1844</f>
        <v>0.36847369473896074</v>
      </c>
    </row>
    <row r="1846" spans="22:44">
      <c r="V1846">
        <v>1838</v>
      </c>
      <c r="W1846">
        <v>255.86459799204928</v>
      </c>
      <c r="AQ1846">
        <f>SMALL('Iter No Test'!$W$9:$W$5008,1844)</f>
        <v>182.70825395088568</v>
      </c>
      <c r="AR1846">
        <f>1/(COUNT('Iter No Test'!$W$9:$W$5008)-1)+$AR$1845</f>
        <v>0.36867373474696236</v>
      </c>
    </row>
    <row r="1847" spans="22:44">
      <c r="V1847">
        <v>1839</v>
      </c>
      <c r="W1847">
        <v>140.12763236146202</v>
      </c>
      <c r="AQ1847">
        <f>SMALL('Iter No Test'!$W$9:$W$5008,1845)</f>
        <v>182.71831660152475</v>
      </c>
      <c r="AR1847">
        <f>1/(COUNT('Iter No Test'!$W$9:$W$5008)-1)+$AR$1846</f>
        <v>0.36887377475496397</v>
      </c>
    </row>
    <row r="1848" spans="22:44">
      <c r="V1848">
        <v>1840</v>
      </c>
      <c r="W1848">
        <v>203.99608637187751</v>
      </c>
      <c r="AQ1848">
        <f>SMALL('Iter No Test'!$W$9:$W$5008,1846)</f>
        <v>182.77005786375395</v>
      </c>
      <c r="AR1848">
        <f>1/(COUNT('Iter No Test'!$W$9:$W$5008)-1)+$AR$1847</f>
        <v>0.36907381476296558</v>
      </c>
    </row>
    <row r="1849" spans="22:44">
      <c r="V1849">
        <v>1841</v>
      </c>
      <c r="W1849">
        <v>180.38652926444306</v>
      </c>
      <c r="AQ1849">
        <f>SMALL('Iter No Test'!$W$9:$W$5008,1847)</f>
        <v>182.7868138656541</v>
      </c>
      <c r="AR1849">
        <f>1/(COUNT('Iter No Test'!$W$9:$W$5008)-1)+$AR$1848</f>
        <v>0.36927385477096719</v>
      </c>
    </row>
    <row r="1850" spans="22:44">
      <c r="V1850">
        <v>1842</v>
      </c>
      <c r="W1850">
        <v>287.35785124488257</v>
      </c>
      <c r="AQ1850">
        <f>SMALL('Iter No Test'!$W$9:$W$5008,1848)</f>
        <v>182.93229810796879</v>
      </c>
      <c r="AR1850">
        <f>1/(COUNT('Iter No Test'!$W$9:$W$5008)-1)+$AR$1849</f>
        <v>0.3694738947789688</v>
      </c>
    </row>
    <row r="1851" spans="22:44">
      <c r="V1851">
        <v>1843</v>
      </c>
      <c r="W1851">
        <v>275.08540153977538</v>
      </c>
      <c r="AQ1851">
        <f>SMALL('Iter No Test'!$W$9:$W$5008,1849)</f>
        <v>182.94473695740288</v>
      </c>
      <c r="AR1851">
        <f>1/(COUNT('Iter No Test'!$W$9:$W$5008)-1)+$AR$1850</f>
        <v>0.36967393478697042</v>
      </c>
    </row>
    <row r="1852" spans="22:44">
      <c r="V1852">
        <v>1844</v>
      </c>
      <c r="W1852">
        <v>152.62684327668569</v>
      </c>
      <c r="AQ1852">
        <f>SMALL('Iter No Test'!$W$9:$W$5008,1850)</f>
        <v>183.03476662671414</v>
      </c>
      <c r="AR1852">
        <f>1/(COUNT('Iter No Test'!$W$9:$W$5008)-1)+$AR$1851</f>
        <v>0.36987397479497203</v>
      </c>
    </row>
    <row r="1853" spans="22:44">
      <c r="V1853">
        <v>1845</v>
      </c>
      <c r="W1853">
        <v>294.33107231332974</v>
      </c>
      <c r="AQ1853">
        <f>SMALL('Iter No Test'!$W$9:$W$5008,1851)</f>
        <v>183.03954835423809</v>
      </c>
      <c r="AR1853">
        <f>1/(COUNT('Iter No Test'!$W$9:$W$5008)-1)+$AR$1852</f>
        <v>0.37007401480297364</v>
      </c>
    </row>
    <row r="1854" spans="22:44">
      <c r="V1854">
        <v>1846</v>
      </c>
      <c r="W1854">
        <v>211.22901838779995</v>
      </c>
      <c r="AQ1854">
        <f>SMALL('Iter No Test'!$W$9:$W$5008,1852)</f>
        <v>183.08261083992281</v>
      </c>
      <c r="AR1854">
        <f>1/(COUNT('Iter No Test'!$W$9:$W$5008)-1)+$AR$1853</f>
        <v>0.37027405481097525</v>
      </c>
    </row>
    <row r="1855" spans="22:44">
      <c r="V1855">
        <v>1847</v>
      </c>
      <c r="W1855">
        <v>126.87628247873658</v>
      </c>
      <c r="AQ1855">
        <f>SMALL('Iter No Test'!$W$9:$W$5008,1853)</f>
        <v>183.12175924889641</v>
      </c>
      <c r="AR1855">
        <f>1/(COUNT('Iter No Test'!$W$9:$W$5008)-1)+$AR$1854</f>
        <v>0.37047409481897686</v>
      </c>
    </row>
    <row r="1856" spans="22:44">
      <c r="V1856">
        <v>1848</v>
      </c>
      <c r="W1856">
        <v>128.09010341124537</v>
      </c>
      <c r="AQ1856">
        <f>SMALL('Iter No Test'!$W$9:$W$5008,1854)</f>
        <v>183.2169031960845</v>
      </c>
      <c r="AR1856">
        <f>1/(COUNT('Iter No Test'!$W$9:$W$5008)-1)+$AR$1855</f>
        <v>0.37067413482697847</v>
      </c>
    </row>
    <row r="1857" spans="22:44">
      <c r="V1857">
        <v>1849</v>
      </c>
      <c r="W1857">
        <v>273.33200978513958</v>
      </c>
      <c r="AQ1857">
        <f>SMALL('Iter No Test'!$W$9:$W$5008,1855)</f>
        <v>183.23450949148119</v>
      </c>
      <c r="AR1857">
        <f>1/(COUNT('Iter No Test'!$W$9:$W$5008)-1)+$AR$1856</f>
        <v>0.37087417483498009</v>
      </c>
    </row>
    <row r="1858" spans="22:44">
      <c r="V1858">
        <v>1850</v>
      </c>
      <c r="W1858">
        <v>414.17530139850402</v>
      </c>
      <c r="AQ1858">
        <f>SMALL('Iter No Test'!$W$9:$W$5008,1856)</f>
        <v>183.26408176950005</v>
      </c>
      <c r="AR1858">
        <f>1/(COUNT('Iter No Test'!$W$9:$W$5008)-1)+$AR$1857</f>
        <v>0.3710742148429817</v>
      </c>
    </row>
    <row r="1859" spans="22:44">
      <c r="V1859">
        <v>1851</v>
      </c>
      <c r="W1859">
        <v>267.58538187711662</v>
      </c>
      <c r="AQ1859">
        <f>SMALL('Iter No Test'!$W$9:$W$5008,1857)</f>
        <v>183.29187832518591</v>
      </c>
      <c r="AR1859">
        <f>1/(COUNT('Iter No Test'!$W$9:$W$5008)-1)+$AR$1858</f>
        <v>0.37127425485098331</v>
      </c>
    </row>
    <row r="1860" spans="22:44">
      <c r="V1860">
        <v>1852</v>
      </c>
      <c r="W1860">
        <v>261.89567579951319</v>
      </c>
      <c r="AQ1860">
        <f>SMALL('Iter No Test'!$W$9:$W$5008,1858)</f>
        <v>183.29351750323508</v>
      </c>
      <c r="AR1860">
        <f>1/(COUNT('Iter No Test'!$W$9:$W$5008)-1)+$AR$1859</f>
        <v>0.37147429485898492</v>
      </c>
    </row>
    <row r="1861" spans="22:44">
      <c r="V1861">
        <v>1853</v>
      </c>
      <c r="W1861">
        <v>303.81756882964851</v>
      </c>
      <c r="AQ1861">
        <f>SMALL('Iter No Test'!$W$9:$W$5008,1859)</f>
        <v>183.31866941459262</v>
      </c>
      <c r="AR1861">
        <f>1/(COUNT('Iter No Test'!$W$9:$W$5008)-1)+$AR$1860</f>
        <v>0.37167433486698653</v>
      </c>
    </row>
    <row r="1862" spans="22:44">
      <c r="V1862">
        <v>1854</v>
      </c>
      <c r="W1862">
        <v>206.00480891257837</v>
      </c>
      <c r="AQ1862">
        <f>SMALL('Iter No Test'!$W$9:$W$5008,1860)</f>
        <v>183.33976137712511</v>
      </c>
      <c r="AR1862">
        <f>1/(COUNT('Iter No Test'!$W$9:$W$5008)-1)+$AR$1861</f>
        <v>0.37187437487498815</v>
      </c>
    </row>
    <row r="1863" spans="22:44">
      <c r="V1863">
        <v>1855</v>
      </c>
      <c r="W1863">
        <v>329.10179834837254</v>
      </c>
      <c r="AQ1863">
        <f>SMALL('Iter No Test'!$W$9:$W$5008,1861)</f>
        <v>183.3678596342657</v>
      </c>
      <c r="AR1863">
        <f>1/(COUNT('Iter No Test'!$W$9:$W$5008)-1)+$AR$1862</f>
        <v>0.37207441488298976</v>
      </c>
    </row>
    <row r="1864" spans="22:44">
      <c r="V1864">
        <v>1856</v>
      </c>
      <c r="W1864">
        <v>152.39294505169681</v>
      </c>
      <c r="AQ1864">
        <f>SMALL('Iter No Test'!$W$9:$W$5008,1862)</f>
        <v>183.51615164189127</v>
      </c>
      <c r="AR1864">
        <f>1/(COUNT('Iter No Test'!$W$9:$W$5008)-1)+$AR$1863</f>
        <v>0.37227445489099137</v>
      </c>
    </row>
    <row r="1865" spans="22:44">
      <c r="V1865">
        <v>1857</v>
      </c>
      <c r="W1865">
        <v>103.05332113523033</v>
      </c>
      <c r="AQ1865">
        <f>SMALL('Iter No Test'!$W$9:$W$5008,1863)</f>
        <v>183.64801812841307</v>
      </c>
      <c r="AR1865">
        <f>1/(COUNT('Iter No Test'!$W$9:$W$5008)-1)+$AR$1864</f>
        <v>0.37247449489899298</v>
      </c>
    </row>
    <row r="1866" spans="22:44">
      <c r="V1866">
        <v>1858</v>
      </c>
      <c r="W1866">
        <v>140.62521310921622</v>
      </c>
      <c r="AQ1866">
        <f>SMALL('Iter No Test'!$W$9:$W$5008,1864)</f>
        <v>183.66456398575673</v>
      </c>
      <c r="AR1866">
        <f>1/(COUNT('Iter No Test'!$W$9:$W$5008)-1)+$AR$1865</f>
        <v>0.37267453490699459</v>
      </c>
    </row>
    <row r="1867" spans="22:44">
      <c r="V1867">
        <v>1859</v>
      </c>
      <c r="W1867">
        <v>276.0402929380578</v>
      </c>
      <c r="AQ1867">
        <f>SMALL('Iter No Test'!$W$9:$W$5008,1865)</f>
        <v>183.78401394220185</v>
      </c>
      <c r="AR1867">
        <f>1/(COUNT('Iter No Test'!$W$9:$W$5008)-1)+$AR$1866</f>
        <v>0.3728745749149962</v>
      </c>
    </row>
    <row r="1868" spans="22:44">
      <c r="V1868">
        <v>1860</v>
      </c>
      <c r="W1868">
        <v>224.29517267416838</v>
      </c>
      <c r="AQ1868">
        <f>SMALL('Iter No Test'!$W$9:$W$5008,1866)</f>
        <v>183.82455919270072</v>
      </c>
      <c r="AR1868">
        <f>1/(COUNT('Iter No Test'!$W$9:$W$5008)-1)+$AR$1867</f>
        <v>0.37307461492299782</v>
      </c>
    </row>
    <row r="1869" spans="22:44">
      <c r="V1869">
        <v>1861</v>
      </c>
      <c r="W1869">
        <v>177.39009328378631</v>
      </c>
      <c r="AQ1869">
        <f>SMALL('Iter No Test'!$W$9:$W$5008,1867)</f>
        <v>183.92631280688778</v>
      </c>
      <c r="AR1869">
        <f>1/(COUNT('Iter No Test'!$W$9:$W$5008)-1)+$AR$1868</f>
        <v>0.37327465493099943</v>
      </c>
    </row>
    <row r="1870" spans="22:44">
      <c r="V1870">
        <v>1862</v>
      </c>
      <c r="W1870">
        <v>310.0838199885111</v>
      </c>
      <c r="AQ1870">
        <f>SMALL('Iter No Test'!$W$9:$W$5008,1868)</f>
        <v>183.95131546241606</v>
      </c>
      <c r="AR1870">
        <f>1/(COUNT('Iter No Test'!$W$9:$W$5008)-1)+$AR$1869</f>
        <v>0.37347469493900104</v>
      </c>
    </row>
    <row r="1871" spans="22:44">
      <c r="V1871">
        <v>1863</v>
      </c>
      <c r="W1871">
        <v>139.77596295543046</v>
      </c>
      <c r="AQ1871">
        <f>SMALL('Iter No Test'!$W$9:$W$5008,1869)</f>
        <v>183.97155765372034</v>
      </c>
      <c r="AR1871">
        <f>1/(COUNT('Iter No Test'!$W$9:$W$5008)-1)+$AR$1870</f>
        <v>0.37367473494700265</v>
      </c>
    </row>
    <row r="1872" spans="22:44">
      <c r="V1872">
        <v>1864</v>
      </c>
      <c r="W1872">
        <v>184.21687402848292</v>
      </c>
      <c r="AQ1872">
        <f>SMALL('Iter No Test'!$W$9:$W$5008,1870)</f>
        <v>183.9724570578243</v>
      </c>
      <c r="AR1872">
        <f>1/(COUNT('Iter No Test'!$W$9:$W$5008)-1)+$AR$1871</f>
        <v>0.37387477495500426</v>
      </c>
    </row>
    <row r="1873" spans="22:44">
      <c r="V1873">
        <v>1865</v>
      </c>
      <c r="W1873">
        <v>227.55047767382348</v>
      </c>
      <c r="AQ1873">
        <f>SMALL('Iter No Test'!$W$9:$W$5008,1871)</f>
        <v>184.11569220219579</v>
      </c>
      <c r="AR1873">
        <f>1/(COUNT('Iter No Test'!$W$9:$W$5008)-1)+$AR$1872</f>
        <v>0.37407481496300587</v>
      </c>
    </row>
    <row r="1874" spans="22:44">
      <c r="V1874">
        <v>1866</v>
      </c>
      <c r="W1874">
        <v>51.908674287974762</v>
      </c>
      <c r="AQ1874">
        <f>SMALL('Iter No Test'!$W$9:$W$5008,1872)</f>
        <v>184.13977536383251</v>
      </c>
      <c r="AR1874">
        <f>1/(COUNT('Iter No Test'!$W$9:$W$5008)-1)+$AR$1873</f>
        <v>0.37427485497100749</v>
      </c>
    </row>
    <row r="1875" spans="22:44">
      <c r="V1875">
        <v>1867</v>
      </c>
      <c r="W1875">
        <v>324.41283202910438</v>
      </c>
      <c r="AQ1875">
        <f>SMALL('Iter No Test'!$W$9:$W$5008,1873)</f>
        <v>184.17367331096401</v>
      </c>
      <c r="AR1875">
        <f>1/(COUNT('Iter No Test'!$W$9:$W$5008)-1)+$AR$1874</f>
        <v>0.3744748949790091</v>
      </c>
    </row>
    <row r="1876" spans="22:44">
      <c r="V1876">
        <v>1868</v>
      </c>
      <c r="W1876">
        <v>377.48509595251403</v>
      </c>
      <c r="AQ1876">
        <f>SMALL('Iter No Test'!$W$9:$W$5008,1874)</f>
        <v>184.21687402848292</v>
      </c>
      <c r="AR1876">
        <f>1/(COUNT('Iter No Test'!$W$9:$W$5008)-1)+$AR$1875</f>
        <v>0.37467493498701071</v>
      </c>
    </row>
    <row r="1877" spans="22:44">
      <c r="V1877">
        <v>1869</v>
      </c>
      <c r="W1877">
        <v>241.53374343612677</v>
      </c>
      <c r="AQ1877">
        <f>SMALL('Iter No Test'!$W$9:$W$5008,1875)</f>
        <v>184.2792886334517</v>
      </c>
      <c r="AR1877">
        <f>1/(COUNT('Iter No Test'!$W$9:$W$5008)-1)+$AR$1876</f>
        <v>0.37487497499501232</v>
      </c>
    </row>
    <row r="1878" spans="22:44">
      <c r="V1878">
        <v>1870</v>
      </c>
      <c r="W1878">
        <v>66.140467937441358</v>
      </c>
      <c r="AQ1878">
        <f>SMALL('Iter No Test'!$W$9:$W$5008,1876)</f>
        <v>184.29628949454366</v>
      </c>
      <c r="AR1878">
        <f>1/(COUNT('Iter No Test'!$W$9:$W$5008)-1)+$AR$1877</f>
        <v>0.37507501500301393</v>
      </c>
    </row>
    <row r="1879" spans="22:44">
      <c r="V1879">
        <v>1871</v>
      </c>
      <c r="W1879">
        <v>127.0880888018433</v>
      </c>
      <c r="AQ1879">
        <f>SMALL('Iter No Test'!$W$9:$W$5008,1877)</f>
        <v>184.37714020617389</v>
      </c>
      <c r="AR1879">
        <f>1/(COUNT('Iter No Test'!$W$9:$W$5008)-1)+$AR$1878</f>
        <v>0.37527505501101555</v>
      </c>
    </row>
    <row r="1880" spans="22:44">
      <c r="V1880">
        <v>1872</v>
      </c>
      <c r="W1880">
        <v>223.63964361076569</v>
      </c>
      <c r="AQ1880">
        <f>SMALL('Iter No Test'!$W$9:$W$5008,1878)</f>
        <v>184.41188778766843</v>
      </c>
      <c r="AR1880">
        <f>1/(COUNT('Iter No Test'!$W$9:$W$5008)-1)+$AR$1879</f>
        <v>0.37547509501901716</v>
      </c>
    </row>
    <row r="1881" spans="22:44">
      <c r="V1881">
        <v>1873</v>
      </c>
      <c r="W1881">
        <v>208.76691814540916</v>
      </c>
      <c r="AQ1881">
        <f>SMALL('Iter No Test'!$W$9:$W$5008,1879)</f>
        <v>184.43692966184858</v>
      </c>
      <c r="AR1881">
        <f>1/(COUNT('Iter No Test'!$W$9:$W$5008)-1)+$AR$1880</f>
        <v>0.37567513502701877</v>
      </c>
    </row>
    <row r="1882" spans="22:44">
      <c r="V1882">
        <v>1874</v>
      </c>
      <c r="W1882">
        <v>265.11821998131461</v>
      </c>
      <c r="AQ1882">
        <f>SMALL('Iter No Test'!$W$9:$W$5008,1880)</f>
        <v>184.44548917322155</v>
      </c>
      <c r="AR1882">
        <f>1/(COUNT('Iter No Test'!$W$9:$W$5008)-1)+$AR$1881</f>
        <v>0.37587517503502038</v>
      </c>
    </row>
    <row r="1883" spans="22:44">
      <c r="V1883">
        <v>1875</v>
      </c>
      <c r="W1883">
        <v>323.26277538559435</v>
      </c>
      <c r="AQ1883">
        <f>SMALL('Iter No Test'!$W$9:$W$5008,1881)</f>
        <v>184.44898207665779</v>
      </c>
      <c r="AR1883">
        <f>1/(COUNT('Iter No Test'!$W$9:$W$5008)-1)+$AR$1882</f>
        <v>0.37607521504302199</v>
      </c>
    </row>
    <row r="1884" spans="22:44">
      <c r="V1884">
        <v>1876</v>
      </c>
      <c r="W1884">
        <v>167.70316423485463</v>
      </c>
      <c r="AQ1884">
        <f>SMALL('Iter No Test'!$W$9:$W$5008,1882)</f>
        <v>184.45005707746807</v>
      </c>
      <c r="AR1884">
        <f>1/(COUNT('Iter No Test'!$W$9:$W$5008)-1)+$AR$1883</f>
        <v>0.3762752550510236</v>
      </c>
    </row>
    <row r="1885" spans="22:44">
      <c r="V1885">
        <v>1877</v>
      </c>
      <c r="W1885">
        <v>288.68771328487719</v>
      </c>
      <c r="AQ1885">
        <f>SMALL('Iter No Test'!$W$9:$W$5008,1883)</f>
        <v>184.48747876531573</v>
      </c>
      <c r="AR1885">
        <f>1/(COUNT('Iter No Test'!$W$9:$W$5008)-1)+$AR$1884</f>
        <v>0.37647529505902522</v>
      </c>
    </row>
    <row r="1886" spans="22:44">
      <c r="V1886">
        <v>1878</v>
      </c>
      <c r="W1886">
        <v>150.37813527762768</v>
      </c>
      <c r="AQ1886">
        <f>SMALL('Iter No Test'!$W$9:$W$5008,1884)</f>
        <v>184.51582873985143</v>
      </c>
      <c r="AR1886">
        <f>1/(COUNT('Iter No Test'!$W$9:$W$5008)-1)+$AR$1885</f>
        <v>0.37667533506702683</v>
      </c>
    </row>
    <row r="1887" spans="22:44">
      <c r="V1887">
        <v>1879</v>
      </c>
      <c r="W1887">
        <v>120.52270002515195</v>
      </c>
      <c r="AQ1887">
        <f>SMALL('Iter No Test'!$W$9:$W$5008,1885)</f>
        <v>184.65741693630758</v>
      </c>
      <c r="AR1887">
        <f>1/(COUNT('Iter No Test'!$W$9:$W$5008)-1)+$AR$1886</f>
        <v>0.37687537507502844</v>
      </c>
    </row>
    <row r="1888" spans="22:44">
      <c r="V1888">
        <v>1880</v>
      </c>
      <c r="W1888">
        <v>285.81068109045998</v>
      </c>
      <c r="AQ1888">
        <f>SMALL('Iter No Test'!$W$9:$W$5008,1886)</f>
        <v>184.68202185346149</v>
      </c>
      <c r="AR1888">
        <f>1/(COUNT('Iter No Test'!$W$9:$W$5008)-1)+$AR$1887</f>
        <v>0.37707541508303005</v>
      </c>
    </row>
    <row r="1889" spans="22:44">
      <c r="V1889">
        <v>1881</v>
      </c>
      <c r="W1889">
        <v>298.52768910194584</v>
      </c>
      <c r="AQ1889">
        <f>SMALL('Iter No Test'!$W$9:$W$5008,1887)</f>
        <v>184.69741152943618</v>
      </c>
      <c r="AR1889">
        <f>1/(COUNT('Iter No Test'!$W$9:$W$5008)-1)+$AR$1888</f>
        <v>0.37727545509103166</v>
      </c>
    </row>
    <row r="1890" spans="22:44">
      <c r="V1890">
        <v>1882</v>
      </c>
      <c r="W1890">
        <v>124.15422165488336</v>
      </c>
      <c r="AQ1890">
        <f>SMALL('Iter No Test'!$W$9:$W$5008,1888)</f>
        <v>184.74351554538569</v>
      </c>
      <c r="AR1890">
        <f>1/(COUNT('Iter No Test'!$W$9:$W$5008)-1)+$AR$1889</f>
        <v>0.37747549509903328</v>
      </c>
    </row>
    <row r="1891" spans="22:44">
      <c r="V1891">
        <v>1883</v>
      </c>
      <c r="W1891">
        <v>210.86615102084801</v>
      </c>
      <c r="AQ1891">
        <f>SMALL('Iter No Test'!$W$9:$W$5008,1889)</f>
        <v>184.80372740551144</v>
      </c>
      <c r="AR1891">
        <f>1/(COUNT('Iter No Test'!$W$9:$W$5008)-1)+$AR$1890</f>
        <v>0.37767553510703489</v>
      </c>
    </row>
    <row r="1892" spans="22:44">
      <c r="V1892">
        <v>1884</v>
      </c>
      <c r="W1892">
        <v>236.91772167661892</v>
      </c>
      <c r="AQ1892">
        <f>SMALL('Iter No Test'!$W$9:$W$5008,1890)</f>
        <v>184.84585774722569</v>
      </c>
      <c r="AR1892">
        <f>1/(COUNT('Iter No Test'!$W$9:$W$5008)-1)+$AR$1891</f>
        <v>0.3778755751150365</v>
      </c>
    </row>
    <row r="1893" spans="22:44">
      <c r="V1893">
        <v>1885</v>
      </c>
      <c r="W1893">
        <v>165.9609414342271</v>
      </c>
      <c r="AQ1893">
        <f>SMALL('Iter No Test'!$W$9:$W$5008,1891)</f>
        <v>184.86790343882313</v>
      </c>
      <c r="AR1893">
        <f>1/(COUNT('Iter No Test'!$W$9:$W$5008)-1)+$AR$1892</f>
        <v>0.37807561512303811</v>
      </c>
    </row>
    <row r="1894" spans="22:44">
      <c r="V1894">
        <v>1886</v>
      </c>
      <c r="W1894">
        <v>179.37804815529296</v>
      </c>
      <c r="AQ1894">
        <f>SMALL('Iter No Test'!$W$9:$W$5008,1892)</f>
        <v>184.89524411895175</v>
      </c>
      <c r="AR1894">
        <f>1/(COUNT('Iter No Test'!$W$9:$W$5008)-1)+$AR$1893</f>
        <v>0.37827565513103972</v>
      </c>
    </row>
    <row r="1895" spans="22:44">
      <c r="V1895">
        <v>1887</v>
      </c>
      <c r="W1895">
        <v>231.29028578647774</v>
      </c>
      <c r="AQ1895">
        <f>SMALL('Iter No Test'!$W$9:$W$5008,1893)</f>
        <v>184.90423082994246</v>
      </c>
      <c r="AR1895">
        <f>1/(COUNT('Iter No Test'!$W$9:$W$5008)-1)+$AR$1894</f>
        <v>0.37847569513904133</v>
      </c>
    </row>
    <row r="1896" spans="22:44">
      <c r="V1896">
        <v>1888</v>
      </c>
      <c r="W1896">
        <v>405.9868340800723</v>
      </c>
      <c r="AQ1896">
        <f>SMALL('Iter No Test'!$W$9:$W$5008,1894)</f>
        <v>184.91991800041214</v>
      </c>
      <c r="AR1896">
        <f>1/(COUNT('Iter No Test'!$W$9:$W$5008)-1)+$AR$1895</f>
        <v>0.37867573514704295</v>
      </c>
    </row>
    <row r="1897" spans="22:44">
      <c r="V1897">
        <v>1889</v>
      </c>
      <c r="W1897">
        <v>229.51250177819773</v>
      </c>
      <c r="AQ1897">
        <f>SMALL('Iter No Test'!$W$9:$W$5008,1895)</f>
        <v>184.92072714184681</v>
      </c>
      <c r="AR1897">
        <f>1/(COUNT('Iter No Test'!$W$9:$W$5008)-1)+$AR$1896</f>
        <v>0.37887577515504456</v>
      </c>
    </row>
    <row r="1898" spans="22:44">
      <c r="V1898">
        <v>1890</v>
      </c>
      <c r="W1898">
        <v>222.92781447371755</v>
      </c>
      <c r="AQ1898">
        <f>SMALL('Iter No Test'!$W$9:$W$5008,1896)</f>
        <v>185.04309060655675</v>
      </c>
      <c r="AR1898">
        <f>1/(COUNT('Iter No Test'!$W$9:$W$5008)-1)+$AR$1897</f>
        <v>0.37907581516304617</v>
      </c>
    </row>
    <row r="1899" spans="22:44">
      <c r="V1899">
        <v>1891</v>
      </c>
      <c r="W1899">
        <v>376.56212104469529</v>
      </c>
      <c r="AQ1899">
        <f>SMALL('Iter No Test'!$W$9:$W$5008,1897)</f>
        <v>185.04657637000949</v>
      </c>
      <c r="AR1899">
        <f>1/(COUNT('Iter No Test'!$W$9:$W$5008)-1)+$AR$1898</f>
        <v>0.37927585517104778</v>
      </c>
    </row>
    <row r="1900" spans="22:44">
      <c r="V1900">
        <v>1892</v>
      </c>
      <c r="W1900">
        <v>329.83014160818891</v>
      </c>
      <c r="AQ1900">
        <f>SMALL('Iter No Test'!$W$9:$W$5008,1898)</f>
        <v>185.07433936652427</v>
      </c>
      <c r="AR1900">
        <f>1/(COUNT('Iter No Test'!$W$9:$W$5008)-1)+$AR$1899</f>
        <v>0.37947589517904939</v>
      </c>
    </row>
    <row r="1901" spans="22:44">
      <c r="V1901">
        <v>1893</v>
      </c>
      <c r="W1901">
        <v>359.15580182798783</v>
      </c>
      <c r="AQ1901">
        <f>SMALL('Iter No Test'!$W$9:$W$5008,1899)</f>
        <v>185.17561369524617</v>
      </c>
      <c r="AR1901">
        <f>1/(COUNT('Iter No Test'!$W$9:$W$5008)-1)+$AR$1900</f>
        <v>0.37967593518705101</v>
      </c>
    </row>
    <row r="1902" spans="22:44">
      <c r="V1902">
        <v>1894</v>
      </c>
      <c r="W1902">
        <v>215.49392884805792</v>
      </c>
      <c r="AQ1902">
        <f>SMALL('Iter No Test'!$W$9:$W$5008,1900)</f>
        <v>185.24836591069874</v>
      </c>
      <c r="AR1902">
        <f>1/(COUNT('Iter No Test'!$W$9:$W$5008)-1)+$AR$1901</f>
        <v>0.37987597519505262</v>
      </c>
    </row>
    <row r="1903" spans="22:44">
      <c r="V1903">
        <v>1895</v>
      </c>
      <c r="W1903">
        <v>225.68502355811708</v>
      </c>
      <c r="AQ1903">
        <f>SMALL('Iter No Test'!$W$9:$W$5008,1901)</f>
        <v>185.27230122358236</v>
      </c>
      <c r="AR1903">
        <f>1/(COUNT('Iter No Test'!$W$9:$W$5008)-1)+$AR$1902</f>
        <v>0.38007601520305423</v>
      </c>
    </row>
    <row r="1904" spans="22:44">
      <c r="V1904">
        <v>1896</v>
      </c>
      <c r="W1904">
        <v>145.05294237086582</v>
      </c>
      <c r="AQ1904">
        <f>SMALL('Iter No Test'!$W$9:$W$5008,1902)</f>
        <v>185.28765261066795</v>
      </c>
      <c r="AR1904">
        <f>1/(COUNT('Iter No Test'!$W$9:$W$5008)-1)+$AR$1903</f>
        <v>0.38027605521105584</v>
      </c>
    </row>
    <row r="1905" spans="22:44">
      <c r="V1905">
        <v>1897</v>
      </c>
      <c r="W1905">
        <v>214.58599756752611</v>
      </c>
      <c r="AQ1905">
        <f>SMALL('Iter No Test'!$W$9:$W$5008,1903)</f>
        <v>185.29321081426153</v>
      </c>
      <c r="AR1905">
        <f>1/(COUNT('Iter No Test'!$W$9:$W$5008)-1)+$AR$1904</f>
        <v>0.38047609521905745</v>
      </c>
    </row>
    <row r="1906" spans="22:44">
      <c r="V1906">
        <v>1898</v>
      </c>
      <c r="W1906">
        <v>95.690854723202577</v>
      </c>
      <c r="AQ1906">
        <f>SMALL('Iter No Test'!$W$9:$W$5008,1904)</f>
        <v>185.36525911117903</v>
      </c>
      <c r="AR1906">
        <f>1/(COUNT('Iter No Test'!$W$9:$W$5008)-1)+$AR$1905</f>
        <v>0.38067613522705906</v>
      </c>
    </row>
    <row r="1907" spans="22:44">
      <c r="V1907">
        <v>1899</v>
      </c>
      <c r="W1907">
        <v>96.726930891047601</v>
      </c>
      <c r="AQ1907">
        <f>SMALL('Iter No Test'!$W$9:$W$5008,1905)</f>
        <v>185.43523012250787</v>
      </c>
      <c r="AR1907">
        <f>1/(COUNT('Iter No Test'!$W$9:$W$5008)-1)+$AR$1906</f>
        <v>0.38087617523506068</v>
      </c>
    </row>
    <row r="1908" spans="22:44">
      <c r="V1908">
        <v>1900</v>
      </c>
      <c r="W1908">
        <v>227.32258058831445</v>
      </c>
      <c r="AQ1908">
        <f>SMALL('Iter No Test'!$W$9:$W$5008,1906)</f>
        <v>185.47458849674862</v>
      </c>
      <c r="AR1908">
        <f>1/(COUNT('Iter No Test'!$W$9:$W$5008)-1)+$AR$1907</f>
        <v>0.38107621524306229</v>
      </c>
    </row>
    <row r="1909" spans="22:44">
      <c r="V1909">
        <v>1901</v>
      </c>
      <c r="W1909">
        <v>135.5580029009937</v>
      </c>
      <c r="AQ1909">
        <f>SMALL('Iter No Test'!$W$9:$W$5008,1907)</f>
        <v>185.48917565072381</v>
      </c>
      <c r="AR1909">
        <f>1/(COUNT('Iter No Test'!$W$9:$W$5008)-1)+$AR$1908</f>
        <v>0.3812762552510639</v>
      </c>
    </row>
    <row r="1910" spans="22:44">
      <c r="V1910">
        <v>1902</v>
      </c>
      <c r="W1910">
        <v>208.68253005853032</v>
      </c>
      <c r="AQ1910">
        <f>SMALL('Iter No Test'!$W$9:$W$5008,1908)</f>
        <v>185.51445804585876</v>
      </c>
      <c r="AR1910">
        <f>1/(COUNT('Iter No Test'!$W$9:$W$5008)-1)+$AR$1909</f>
        <v>0.38147629525906551</v>
      </c>
    </row>
    <row r="1911" spans="22:44">
      <c r="V1911">
        <v>1903</v>
      </c>
      <c r="W1911">
        <v>195.00106094931468</v>
      </c>
      <c r="AQ1911">
        <f>SMALL('Iter No Test'!$W$9:$W$5008,1909)</f>
        <v>185.51923191798903</v>
      </c>
      <c r="AR1911">
        <f>1/(COUNT('Iter No Test'!$W$9:$W$5008)-1)+$AR$1910</f>
        <v>0.38167633526706712</v>
      </c>
    </row>
    <row r="1912" spans="22:44">
      <c r="V1912">
        <v>1904</v>
      </c>
      <c r="W1912">
        <v>380.45481728320556</v>
      </c>
      <c r="AQ1912">
        <f>SMALL('Iter No Test'!$W$9:$W$5008,1910)</f>
        <v>185.62668315290975</v>
      </c>
      <c r="AR1912">
        <f>1/(COUNT('Iter No Test'!$W$9:$W$5008)-1)+$AR$1911</f>
        <v>0.38187637527506874</v>
      </c>
    </row>
    <row r="1913" spans="22:44">
      <c r="V1913">
        <v>1905</v>
      </c>
      <c r="W1913">
        <v>214.25228470236141</v>
      </c>
      <c r="AQ1913">
        <f>SMALL('Iter No Test'!$W$9:$W$5008,1911)</f>
        <v>185.70202567284753</v>
      </c>
      <c r="AR1913">
        <f>1/(COUNT('Iter No Test'!$W$9:$W$5008)-1)+$AR$1912</f>
        <v>0.38207641528307035</v>
      </c>
    </row>
    <row r="1914" spans="22:44">
      <c r="V1914">
        <v>1906</v>
      </c>
      <c r="W1914">
        <v>447.14918228999966</v>
      </c>
      <c r="AQ1914">
        <f>SMALL('Iter No Test'!$W$9:$W$5008,1912)</f>
        <v>185.75185880954649</v>
      </c>
      <c r="AR1914">
        <f>1/(COUNT('Iter No Test'!$W$9:$W$5008)-1)+$AR$1913</f>
        <v>0.38227645529107196</v>
      </c>
    </row>
    <row r="1915" spans="22:44">
      <c r="V1915">
        <v>1907</v>
      </c>
      <c r="W1915">
        <v>217.2004279090846</v>
      </c>
      <c r="AQ1915">
        <f>SMALL('Iter No Test'!$W$9:$W$5008,1913)</f>
        <v>185.78066121120213</v>
      </c>
      <c r="AR1915">
        <f>1/(COUNT('Iter No Test'!$W$9:$W$5008)-1)+$AR$1914</f>
        <v>0.38247649529907357</v>
      </c>
    </row>
    <row r="1916" spans="22:44">
      <c r="V1916">
        <v>1908</v>
      </c>
      <c r="W1916">
        <v>286.52819229311359</v>
      </c>
      <c r="AQ1916">
        <f>SMALL('Iter No Test'!$W$9:$W$5008,1914)</f>
        <v>185.79048908799447</v>
      </c>
      <c r="AR1916">
        <f>1/(COUNT('Iter No Test'!$W$9:$W$5008)-1)+$AR$1915</f>
        <v>0.38267653530707518</v>
      </c>
    </row>
    <row r="1917" spans="22:44">
      <c r="V1917">
        <v>1909</v>
      </c>
      <c r="W1917">
        <v>368.75145231241527</v>
      </c>
      <c r="AQ1917">
        <f>SMALL('Iter No Test'!$W$9:$W$5008,1915)</f>
        <v>185.80238465449384</v>
      </c>
      <c r="AR1917">
        <f>1/(COUNT('Iter No Test'!$W$9:$W$5008)-1)+$AR$1916</f>
        <v>0.38287657531507679</v>
      </c>
    </row>
    <row r="1918" spans="22:44">
      <c r="V1918">
        <v>1910</v>
      </c>
      <c r="W1918">
        <v>115.1066139625654</v>
      </c>
      <c r="AQ1918">
        <f>SMALL('Iter No Test'!$W$9:$W$5008,1916)</f>
        <v>185.81435548608712</v>
      </c>
      <c r="AR1918">
        <f>1/(COUNT('Iter No Test'!$W$9:$W$5008)-1)+$AR$1917</f>
        <v>0.38307661532307841</v>
      </c>
    </row>
    <row r="1919" spans="22:44">
      <c r="V1919">
        <v>1911</v>
      </c>
      <c r="W1919">
        <v>195.1603929933288</v>
      </c>
      <c r="AQ1919">
        <f>SMALL('Iter No Test'!$W$9:$W$5008,1917)</f>
        <v>185.83205155481588</v>
      </c>
      <c r="AR1919">
        <f>1/(COUNT('Iter No Test'!$W$9:$W$5008)-1)+$AR$1918</f>
        <v>0.38327665533108002</v>
      </c>
    </row>
    <row r="1920" spans="22:44">
      <c r="V1920">
        <v>1912</v>
      </c>
      <c r="W1920">
        <v>247.61375199232234</v>
      </c>
      <c r="AQ1920">
        <f>SMALL('Iter No Test'!$W$9:$W$5008,1918)</f>
        <v>185.85258986632789</v>
      </c>
      <c r="AR1920">
        <f>1/(COUNT('Iter No Test'!$W$9:$W$5008)-1)+$AR$1919</f>
        <v>0.38347669533908163</v>
      </c>
    </row>
    <row r="1921" spans="22:44">
      <c r="V1921">
        <v>1913</v>
      </c>
      <c r="W1921">
        <v>311.82815502719461</v>
      </c>
      <c r="AQ1921">
        <f>SMALL('Iter No Test'!$W$9:$W$5008,1919)</f>
        <v>185.92469232818536</v>
      </c>
      <c r="AR1921">
        <f>1/(COUNT('Iter No Test'!$W$9:$W$5008)-1)+$AR$1920</f>
        <v>0.38367673534708324</v>
      </c>
    </row>
    <row r="1922" spans="22:44">
      <c r="V1922">
        <v>1914</v>
      </c>
      <c r="W1922">
        <v>109.78106121829533</v>
      </c>
      <c r="AQ1922">
        <f>SMALL('Iter No Test'!$W$9:$W$5008,1920)</f>
        <v>185.98588029630687</v>
      </c>
      <c r="AR1922">
        <f>1/(COUNT('Iter No Test'!$W$9:$W$5008)-1)+$AR$1921</f>
        <v>0.38387677535508485</v>
      </c>
    </row>
    <row r="1923" spans="22:44">
      <c r="V1923">
        <v>1915</v>
      </c>
      <c r="W1923">
        <v>195.6936809424017</v>
      </c>
      <c r="AQ1923">
        <f>SMALL('Iter No Test'!$W$9:$W$5008,1921)</f>
        <v>186.09715170059667</v>
      </c>
      <c r="AR1923">
        <f>1/(COUNT('Iter No Test'!$W$9:$W$5008)-1)+$AR$1922</f>
        <v>0.38407681536308647</v>
      </c>
    </row>
    <row r="1924" spans="22:44">
      <c r="V1924">
        <v>1916</v>
      </c>
      <c r="W1924">
        <v>283.491385725839</v>
      </c>
      <c r="AQ1924">
        <f>SMALL('Iter No Test'!$W$9:$W$5008,1922)</f>
        <v>186.10673595860754</v>
      </c>
      <c r="AR1924">
        <f>1/(COUNT('Iter No Test'!$W$9:$W$5008)-1)+$AR$1923</f>
        <v>0.38427685537108808</v>
      </c>
    </row>
    <row r="1925" spans="22:44">
      <c r="V1925">
        <v>1917</v>
      </c>
      <c r="W1925">
        <v>174.07980929169349</v>
      </c>
      <c r="AQ1925">
        <f>SMALL('Iter No Test'!$W$9:$W$5008,1923)</f>
        <v>186.16502263620364</v>
      </c>
      <c r="AR1925">
        <f>1/(COUNT('Iter No Test'!$W$9:$W$5008)-1)+$AR$1924</f>
        <v>0.38447689537908969</v>
      </c>
    </row>
    <row r="1926" spans="22:44">
      <c r="V1926">
        <v>1918</v>
      </c>
      <c r="W1926">
        <v>156.65205451555076</v>
      </c>
      <c r="AQ1926">
        <f>SMALL('Iter No Test'!$W$9:$W$5008,1924)</f>
        <v>186.26245104723577</v>
      </c>
      <c r="AR1926">
        <f>1/(COUNT('Iter No Test'!$W$9:$W$5008)-1)+$AR$1925</f>
        <v>0.3846769353870913</v>
      </c>
    </row>
    <row r="1927" spans="22:44">
      <c r="V1927">
        <v>1919</v>
      </c>
      <c r="W1927">
        <v>235.72886527500668</v>
      </c>
      <c r="AQ1927">
        <f>SMALL('Iter No Test'!$W$9:$W$5008,1925)</f>
        <v>186.31010227059434</v>
      </c>
      <c r="AR1927">
        <f>1/(COUNT('Iter No Test'!$W$9:$W$5008)-1)+$AR$1926</f>
        <v>0.38487697539509291</v>
      </c>
    </row>
    <row r="1928" spans="22:44">
      <c r="V1928">
        <v>1920</v>
      </c>
      <c r="W1928">
        <v>231.22770250398673</v>
      </c>
      <c r="AQ1928">
        <f>SMALL('Iter No Test'!$W$9:$W$5008,1926)</f>
        <v>186.31117957031</v>
      </c>
      <c r="AR1928">
        <f>1/(COUNT('Iter No Test'!$W$9:$W$5008)-1)+$AR$1927</f>
        <v>0.38507701540309452</v>
      </c>
    </row>
    <row r="1929" spans="22:44">
      <c r="V1929">
        <v>1921</v>
      </c>
      <c r="W1929">
        <v>213.45278519923991</v>
      </c>
      <c r="AQ1929">
        <f>SMALL('Iter No Test'!$W$9:$W$5008,1927)</f>
        <v>186.35041462107566</v>
      </c>
      <c r="AR1929">
        <f>1/(COUNT('Iter No Test'!$W$9:$W$5008)-1)+$AR$1928</f>
        <v>0.38527705541109614</v>
      </c>
    </row>
    <row r="1930" spans="22:44">
      <c r="V1930">
        <v>1922</v>
      </c>
      <c r="W1930">
        <v>209.11071036960752</v>
      </c>
      <c r="AQ1930">
        <f>SMALL('Iter No Test'!$W$9:$W$5008,1928)</f>
        <v>186.38410752643546</v>
      </c>
      <c r="AR1930">
        <f>1/(COUNT('Iter No Test'!$W$9:$W$5008)-1)+$AR$1929</f>
        <v>0.38547709541909775</v>
      </c>
    </row>
    <row r="1931" spans="22:44">
      <c r="V1931">
        <v>1923</v>
      </c>
      <c r="W1931">
        <v>256.50223010633295</v>
      </c>
      <c r="AQ1931">
        <f>SMALL('Iter No Test'!$W$9:$W$5008,1929)</f>
        <v>186.38580843176598</v>
      </c>
      <c r="AR1931">
        <f>1/(COUNT('Iter No Test'!$W$9:$W$5008)-1)+$AR$1930</f>
        <v>0.38567713542709936</v>
      </c>
    </row>
    <row r="1932" spans="22:44">
      <c r="V1932">
        <v>1924</v>
      </c>
      <c r="W1932">
        <v>268.06481183886547</v>
      </c>
      <c r="AQ1932">
        <f>SMALL('Iter No Test'!$W$9:$W$5008,1930)</f>
        <v>186.43370583297394</v>
      </c>
      <c r="AR1932">
        <f>1/(COUNT('Iter No Test'!$W$9:$W$5008)-1)+$AR$1931</f>
        <v>0.38587717543510097</v>
      </c>
    </row>
    <row r="1933" spans="22:44">
      <c r="V1933">
        <v>1925</v>
      </c>
      <c r="W1933">
        <v>150.20651102399927</v>
      </c>
      <c r="AQ1933">
        <f>SMALL('Iter No Test'!$W$9:$W$5008,1931)</f>
        <v>186.46798828831325</v>
      </c>
      <c r="AR1933">
        <f>1/(COUNT('Iter No Test'!$W$9:$W$5008)-1)+$AR$1932</f>
        <v>0.38607721544310258</v>
      </c>
    </row>
    <row r="1934" spans="22:44">
      <c r="V1934">
        <v>1926</v>
      </c>
      <c r="W1934">
        <v>226.1350591727502</v>
      </c>
      <c r="AQ1934">
        <f>SMALL('Iter No Test'!$W$9:$W$5008,1932)</f>
        <v>186.61997622164503</v>
      </c>
      <c r="AR1934">
        <f>1/(COUNT('Iter No Test'!$W$9:$W$5008)-1)+$AR$1933</f>
        <v>0.3862772554511042</v>
      </c>
    </row>
    <row r="1935" spans="22:44">
      <c r="V1935">
        <v>1927</v>
      </c>
      <c r="W1935">
        <v>221.25331643926179</v>
      </c>
      <c r="AQ1935">
        <f>SMALL('Iter No Test'!$W$9:$W$5008,1933)</f>
        <v>186.62774719330193</v>
      </c>
      <c r="AR1935">
        <f>1/(COUNT('Iter No Test'!$W$9:$W$5008)-1)+$AR$1934</f>
        <v>0.38647729545910581</v>
      </c>
    </row>
    <row r="1936" spans="22:44">
      <c r="V1936">
        <v>1928</v>
      </c>
      <c r="W1936">
        <v>236.58301072347305</v>
      </c>
      <c r="AQ1936">
        <f>SMALL('Iter No Test'!$W$9:$W$5008,1934)</f>
        <v>186.69803366186272</v>
      </c>
      <c r="AR1936">
        <f>1/(COUNT('Iter No Test'!$W$9:$W$5008)-1)+$AR$1935</f>
        <v>0.38667733546710742</v>
      </c>
    </row>
    <row r="1937" spans="22:44">
      <c r="V1937">
        <v>1929</v>
      </c>
      <c r="W1937">
        <v>179.28277116190773</v>
      </c>
      <c r="AQ1937">
        <f>SMALL('Iter No Test'!$W$9:$W$5008,1935)</f>
        <v>186.70624212756525</v>
      </c>
      <c r="AR1937">
        <f>1/(COUNT('Iter No Test'!$W$9:$W$5008)-1)+$AR$1936</f>
        <v>0.38687737547510903</v>
      </c>
    </row>
    <row r="1938" spans="22:44">
      <c r="V1938">
        <v>1930</v>
      </c>
      <c r="W1938">
        <v>121.4988802513147</v>
      </c>
      <c r="AQ1938">
        <f>SMALL('Iter No Test'!$W$9:$W$5008,1936)</f>
        <v>186.78626313330403</v>
      </c>
      <c r="AR1938">
        <f>1/(COUNT('Iter No Test'!$W$9:$W$5008)-1)+$AR$1937</f>
        <v>0.38707741548311064</v>
      </c>
    </row>
    <row r="1939" spans="22:44">
      <c r="V1939">
        <v>1931</v>
      </c>
      <c r="W1939">
        <v>138.72503958778759</v>
      </c>
      <c r="AQ1939">
        <f>SMALL('Iter No Test'!$W$9:$W$5008,1937)</f>
        <v>186.84531489597623</v>
      </c>
      <c r="AR1939">
        <f>1/(COUNT('Iter No Test'!$W$9:$W$5008)-1)+$AR$1938</f>
        <v>0.38727745549111225</v>
      </c>
    </row>
    <row r="1940" spans="22:44">
      <c r="V1940">
        <v>1932</v>
      </c>
      <c r="W1940">
        <v>328.03724289063121</v>
      </c>
      <c r="AQ1940">
        <f>SMALL('Iter No Test'!$W$9:$W$5008,1938)</f>
        <v>186.85535684054122</v>
      </c>
      <c r="AR1940">
        <f>1/(COUNT('Iter No Test'!$W$9:$W$5008)-1)+$AR$1939</f>
        <v>0.38747749549911387</v>
      </c>
    </row>
    <row r="1941" spans="22:44">
      <c r="V1941">
        <v>1933</v>
      </c>
      <c r="W1941">
        <v>170.69219930097844</v>
      </c>
      <c r="AQ1941">
        <f>SMALL('Iter No Test'!$W$9:$W$5008,1939)</f>
        <v>186.87342911260475</v>
      </c>
      <c r="AR1941">
        <f>1/(COUNT('Iter No Test'!$W$9:$W$5008)-1)+$AR$1940</f>
        <v>0.38767753550711548</v>
      </c>
    </row>
    <row r="1942" spans="22:44">
      <c r="V1942">
        <v>1934</v>
      </c>
      <c r="W1942">
        <v>253.02553744763568</v>
      </c>
      <c r="AQ1942">
        <f>SMALL('Iter No Test'!$W$9:$W$5008,1940)</f>
        <v>186.98635372249205</v>
      </c>
      <c r="AR1942">
        <f>1/(COUNT('Iter No Test'!$W$9:$W$5008)-1)+$AR$1941</f>
        <v>0.38787757551511709</v>
      </c>
    </row>
    <row r="1943" spans="22:44">
      <c r="V1943">
        <v>1935</v>
      </c>
      <c r="W1943">
        <v>159.42406748305069</v>
      </c>
      <c r="AQ1943">
        <f>SMALL('Iter No Test'!$W$9:$W$5008,1941)</f>
        <v>187.01644994114847</v>
      </c>
      <c r="AR1943">
        <f>1/(COUNT('Iter No Test'!$W$9:$W$5008)-1)+$AR$1942</f>
        <v>0.3880776155231187</v>
      </c>
    </row>
    <row r="1944" spans="22:44">
      <c r="V1944">
        <v>1936</v>
      </c>
      <c r="W1944">
        <v>134.72871768594584</v>
      </c>
      <c r="AQ1944">
        <f>SMALL('Iter No Test'!$W$9:$W$5008,1942)</f>
        <v>187.02488462976231</v>
      </c>
      <c r="AR1944">
        <f>1/(COUNT('Iter No Test'!$W$9:$W$5008)-1)+$AR$1943</f>
        <v>0.38827765553112031</v>
      </c>
    </row>
    <row r="1945" spans="22:44">
      <c r="V1945">
        <v>1937</v>
      </c>
      <c r="W1945">
        <v>209.44833930128328</v>
      </c>
      <c r="AQ1945">
        <f>SMALL('Iter No Test'!$W$9:$W$5008,1943)</f>
        <v>187.09797148620055</v>
      </c>
      <c r="AR1945">
        <f>1/(COUNT('Iter No Test'!$W$9:$W$5008)-1)+$AR$1944</f>
        <v>0.38847769553912193</v>
      </c>
    </row>
    <row r="1946" spans="22:44">
      <c r="V1946">
        <v>1938</v>
      </c>
      <c r="W1946">
        <v>236.07388507160564</v>
      </c>
      <c r="AQ1946">
        <f>SMALL('Iter No Test'!$W$9:$W$5008,1944)</f>
        <v>187.10606064075267</v>
      </c>
      <c r="AR1946">
        <f>1/(COUNT('Iter No Test'!$W$9:$W$5008)-1)+$AR$1945</f>
        <v>0.38867773554712354</v>
      </c>
    </row>
    <row r="1947" spans="22:44">
      <c r="V1947">
        <v>1939</v>
      </c>
      <c r="W1947">
        <v>281.97973519994491</v>
      </c>
      <c r="AQ1947">
        <f>SMALL('Iter No Test'!$W$9:$W$5008,1945)</f>
        <v>187.11426112244698</v>
      </c>
      <c r="AR1947">
        <f>1/(COUNT('Iter No Test'!$W$9:$W$5008)-1)+$AR$1946</f>
        <v>0.38887777555512515</v>
      </c>
    </row>
    <row r="1948" spans="22:44">
      <c r="V1948">
        <v>1940</v>
      </c>
      <c r="W1948">
        <v>210.17061381353113</v>
      </c>
      <c r="AQ1948">
        <f>SMALL('Iter No Test'!$W$9:$W$5008,1946)</f>
        <v>187.15788190501797</v>
      </c>
      <c r="AR1948">
        <f>1/(COUNT('Iter No Test'!$W$9:$W$5008)-1)+$AR$1947</f>
        <v>0.38907781556312676</v>
      </c>
    </row>
    <row r="1949" spans="22:44">
      <c r="V1949">
        <v>1941</v>
      </c>
      <c r="W1949">
        <v>235.08203197344008</v>
      </c>
      <c r="AQ1949">
        <f>SMALL('Iter No Test'!$W$9:$W$5008,1947)</f>
        <v>187.16762080151807</v>
      </c>
      <c r="AR1949">
        <f>1/(COUNT('Iter No Test'!$W$9:$W$5008)-1)+$AR$1948</f>
        <v>0.38927785557112837</v>
      </c>
    </row>
    <row r="1950" spans="22:44">
      <c r="V1950">
        <v>1942</v>
      </c>
      <c r="W1950">
        <v>69.17608530262514</v>
      </c>
      <c r="AQ1950">
        <f>SMALL('Iter No Test'!$W$9:$W$5008,1948)</f>
        <v>187.26511736894798</v>
      </c>
      <c r="AR1950">
        <f>1/(COUNT('Iter No Test'!$W$9:$W$5008)-1)+$AR$1949</f>
        <v>0.38947789557912998</v>
      </c>
    </row>
    <row r="1951" spans="22:44">
      <c r="V1951">
        <v>1943</v>
      </c>
      <c r="W1951">
        <v>188.48289553265045</v>
      </c>
      <c r="AQ1951">
        <f>SMALL('Iter No Test'!$W$9:$W$5008,1949)</f>
        <v>187.31854309686122</v>
      </c>
      <c r="AR1951">
        <f>1/(COUNT('Iter No Test'!$W$9:$W$5008)-1)+$AR$1950</f>
        <v>0.3896779355871316</v>
      </c>
    </row>
    <row r="1952" spans="22:44">
      <c r="V1952">
        <v>1944</v>
      </c>
      <c r="W1952">
        <v>183.51615164189127</v>
      </c>
      <c r="AQ1952">
        <f>SMALL('Iter No Test'!$W$9:$W$5008,1950)</f>
        <v>187.36808795889763</v>
      </c>
      <c r="AR1952">
        <f>1/(COUNT('Iter No Test'!$W$9:$W$5008)-1)+$AR$1951</f>
        <v>0.38987797559513321</v>
      </c>
    </row>
    <row r="1953" spans="22:44">
      <c r="V1953">
        <v>1945</v>
      </c>
      <c r="W1953">
        <v>115.64445906888953</v>
      </c>
      <c r="AQ1953">
        <f>SMALL('Iter No Test'!$W$9:$W$5008,1951)</f>
        <v>187.4208223830675</v>
      </c>
      <c r="AR1953">
        <f>1/(COUNT('Iter No Test'!$W$9:$W$5008)-1)+$AR$1952</f>
        <v>0.39007801560313482</v>
      </c>
    </row>
    <row r="1954" spans="22:44">
      <c r="V1954">
        <v>1946</v>
      </c>
      <c r="W1954">
        <v>406.25383331254926</v>
      </c>
      <c r="AQ1954">
        <f>SMALL('Iter No Test'!$W$9:$W$5008,1952)</f>
        <v>187.42408280117803</v>
      </c>
      <c r="AR1954">
        <f>1/(COUNT('Iter No Test'!$W$9:$W$5008)-1)+$AR$1953</f>
        <v>0.39027805561113643</v>
      </c>
    </row>
    <row r="1955" spans="22:44">
      <c r="V1955">
        <v>1947</v>
      </c>
      <c r="W1955">
        <v>195.33127108586967</v>
      </c>
      <c r="AQ1955">
        <f>SMALL('Iter No Test'!$W$9:$W$5008,1953)</f>
        <v>187.49089542013382</v>
      </c>
      <c r="AR1955">
        <f>1/(COUNT('Iter No Test'!$W$9:$W$5008)-1)+$AR$1954</f>
        <v>0.39047809561913804</v>
      </c>
    </row>
    <row r="1956" spans="22:44">
      <c r="V1956">
        <v>1948</v>
      </c>
      <c r="W1956">
        <v>95.216226306484714</v>
      </c>
      <c r="AQ1956">
        <f>SMALL('Iter No Test'!$W$9:$W$5008,1954)</f>
        <v>187.491701951718</v>
      </c>
      <c r="AR1956">
        <f>1/(COUNT('Iter No Test'!$W$9:$W$5008)-1)+$AR$1955</f>
        <v>0.39067813562713966</v>
      </c>
    </row>
    <row r="1957" spans="22:44">
      <c r="V1957">
        <v>1949</v>
      </c>
      <c r="W1957">
        <v>217.89537845061469</v>
      </c>
      <c r="AQ1957">
        <f>SMALL('Iter No Test'!$W$9:$W$5008,1955)</f>
        <v>187.51394882587869</v>
      </c>
      <c r="AR1957">
        <f>1/(COUNT('Iter No Test'!$W$9:$W$5008)-1)+$AR$1956</f>
        <v>0.39087817563514127</v>
      </c>
    </row>
    <row r="1958" spans="22:44">
      <c r="V1958">
        <v>1950</v>
      </c>
      <c r="W1958">
        <v>179.44117916535163</v>
      </c>
      <c r="AQ1958">
        <f>SMALL('Iter No Test'!$W$9:$W$5008,1956)</f>
        <v>187.53519018759454</v>
      </c>
      <c r="AR1958">
        <f>1/(COUNT('Iter No Test'!$W$9:$W$5008)-1)+$AR$1957</f>
        <v>0.39107821564314288</v>
      </c>
    </row>
    <row r="1959" spans="22:44">
      <c r="V1959">
        <v>1951</v>
      </c>
      <c r="W1959">
        <v>233.66923574089486</v>
      </c>
      <c r="AQ1959">
        <f>SMALL('Iter No Test'!$W$9:$W$5008,1957)</f>
        <v>187.55772059710401</v>
      </c>
      <c r="AR1959">
        <f>1/(COUNT('Iter No Test'!$W$9:$W$5008)-1)+$AR$1958</f>
        <v>0.39127825565114449</v>
      </c>
    </row>
    <row r="1960" spans="22:44">
      <c r="V1960">
        <v>1952</v>
      </c>
      <c r="W1960">
        <v>212.5166361939977</v>
      </c>
      <c r="AQ1960">
        <f>SMALL('Iter No Test'!$W$9:$W$5008,1958)</f>
        <v>187.59242469740113</v>
      </c>
      <c r="AR1960">
        <f>1/(COUNT('Iter No Test'!$W$9:$W$5008)-1)+$AR$1959</f>
        <v>0.3914782956591461</v>
      </c>
    </row>
    <row r="1961" spans="22:44">
      <c r="V1961">
        <v>1953</v>
      </c>
      <c r="W1961">
        <v>250.56137782894839</v>
      </c>
      <c r="AQ1961">
        <f>SMALL('Iter No Test'!$W$9:$W$5008,1959)</f>
        <v>187.59539519270203</v>
      </c>
      <c r="AR1961">
        <f>1/(COUNT('Iter No Test'!$W$9:$W$5008)-1)+$AR$1960</f>
        <v>0.39167833566714771</v>
      </c>
    </row>
    <row r="1962" spans="22:44">
      <c r="V1962">
        <v>1954</v>
      </c>
      <c r="W1962">
        <v>145.8029943453742</v>
      </c>
      <c r="AQ1962">
        <f>SMALL('Iter No Test'!$W$9:$W$5008,1960)</f>
        <v>187.64704758535001</v>
      </c>
      <c r="AR1962">
        <f>1/(COUNT('Iter No Test'!$W$9:$W$5008)-1)+$AR$1961</f>
        <v>0.39187837567514933</v>
      </c>
    </row>
    <row r="1963" spans="22:44">
      <c r="V1963">
        <v>1955</v>
      </c>
      <c r="W1963">
        <v>522.76726793853936</v>
      </c>
      <c r="AQ1963">
        <f>SMALL('Iter No Test'!$W$9:$W$5008,1961)</f>
        <v>187.66179258689303</v>
      </c>
      <c r="AR1963">
        <f>1/(COUNT('Iter No Test'!$W$9:$W$5008)-1)+$AR$1962</f>
        <v>0.39207841568315094</v>
      </c>
    </row>
    <row r="1964" spans="22:44">
      <c r="V1964">
        <v>1956</v>
      </c>
      <c r="W1964">
        <v>160.3535423343979</v>
      </c>
      <c r="AQ1964">
        <f>SMALL('Iter No Test'!$W$9:$W$5008,1962)</f>
        <v>187.6995135673269</v>
      </c>
      <c r="AR1964">
        <f>1/(COUNT('Iter No Test'!$W$9:$W$5008)-1)+$AR$1963</f>
        <v>0.39227845569115255</v>
      </c>
    </row>
    <row r="1965" spans="22:44">
      <c r="V1965">
        <v>1957</v>
      </c>
      <c r="W1965">
        <v>248.20317860719013</v>
      </c>
      <c r="AQ1965">
        <f>SMALL('Iter No Test'!$W$9:$W$5008,1963)</f>
        <v>187.71431925608886</v>
      </c>
      <c r="AR1965">
        <f>1/(COUNT('Iter No Test'!$W$9:$W$5008)-1)+$AR$1964</f>
        <v>0.39247849569915416</v>
      </c>
    </row>
    <row r="1966" spans="22:44">
      <c r="V1966">
        <v>1958</v>
      </c>
      <c r="W1966">
        <v>257.61609216961193</v>
      </c>
      <c r="AQ1966">
        <f>SMALL('Iter No Test'!$W$9:$W$5008,1964)</f>
        <v>187.76477450063851</v>
      </c>
      <c r="AR1966">
        <f>1/(COUNT('Iter No Test'!$W$9:$W$5008)-1)+$AR$1965</f>
        <v>0.39267853570715577</v>
      </c>
    </row>
    <row r="1967" spans="22:44">
      <c r="V1967">
        <v>1959</v>
      </c>
      <c r="W1967">
        <v>361.08702928209334</v>
      </c>
      <c r="AQ1967">
        <f>SMALL('Iter No Test'!$W$9:$W$5008,1965)</f>
        <v>187.78459211949954</v>
      </c>
      <c r="AR1967">
        <f>1/(COUNT('Iter No Test'!$W$9:$W$5008)-1)+$AR$1966</f>
        <v>0.39287857571515739</v>
      </c>
    </row>
    <row r="1968" spans="22:44">
      <c r="V1968">
        <v>1960</v>
      </c>
      <c r="W1968">
        <v>278.33312939025086</v>
      </c>
      <c r="AQ1968">
        <f>SMALL('Iter No Test'!$W$9:$W$5008,1966)</f>
        <v>187.82526801147543</v>
      </c>
      <c r="AR1968">
        <f>1/(COUNT('Iter No Test'!$W$9:$W$5008)-1)+$AR$1967</f>
        <v>0.393078615723159</v>
      </c>
    </row>
    <row r="1969" spans="22:44">
      <c r="V1969">
        <v>1961</v>
      </c>
      <c r="W1969">
        <v>111.264880264493</v>
      </c>
      <c r="AQ1969">
        <f>SMALL('Iter No Test'!$W$9:$W$5008,1967)</f>
        <v>187.8498355373855</v>
      </c>
      <c r="AR1969">
        <f>1/(COUNT('Iter No Test'!$W$9:$W$5008)-1)+$AR$1968</f>
        <v>0.39327865573116061</v>
      </c>
    </row>
    <row r="1970" spans="22:44">
      <c r="V1970">
        <v>1962</v>
      </c>
      <c r="W1970">
        <v>123.46277300284297</v>
      </c>
      <c r="AQ1970">
        <f>SMALL('Iter No Test'!$W$9:$W$5008,1968)</f>
        <v>187.87813412511036</v>
      </c>
      <c r="AR1970">
        <f>1/(COUNT('Iter No Test'!$W$9:$W$5008)-1)+$AR$1969</f>
        <v>0.39347869573916222</v>
      </c>
    </row>
    <row r="1971" spans="22:44">
      <c r="V1971">
        <v>1963</v>
      </c>
      <c r="W1971">
        <v>341.99166598628403</v>
      </c>
      <c r="AQ1971">
        <f>SMALL('Iter No Test'!$W$9:$W$5008,1969)</f>
        <v>187.88679826232607</v>
      </c>
      <c r="AR1971">
        <f>1/(COUNT('Iter No Test'!$W$9:$W$5008)-1)+$AR$1970</f>
        <v>0.39367873574716383</v>
      </c>
    </row>
    <row r="1972" spans="22:44">
      <c r="V1972">
        <v>1964</v>
      </c>
      <c r="W1972">
        <v>208.7089694460482</v>
      </c>
      <c r="AQ1972">
        <f>SMALL('Iter No Test'!$W$9:$W$5008,1970)</f>
        <v>187.96987941863989</v>
      </c>
      <c r="AR1972">
        <f>1/(COUNT('Iter No Test'!$W$9:$W$5008)-1)+$AR$1971</f>
        <v>0.39387877575516544</v>
      </c>
    </row>
    <row r="1973" spans="22:44">
      <c r="V1973">
        <v>1965</v>
      </c>
      <c r="W1973">
        <v>293.8350405107783</v>
      </c>
      <c r="AQ1973">
        <f>SMALL('Iter No Test'!$W$9:$W$5008,1971)</f>
        <v>187.99998717385554</v>
      </c>
      <c r="AR1973">
        <f>1/(COUNT('Iter No Test'!$W$9:$W$5008)-1)+$AR$1972</f>
        <v>0.39407881576316706</v>
      </c>
    </row>
    <row r="1974" spans="22:44">
      <c r="V1974">
        <v>1966</v>
      </c>
      <c r="W1974">
        <v>237.55090426043949</v>
      </c>
      <c r="AQ1974">
        <f>SMALL('Iter No Test'!$W$9:$W$5008,1972)</f>
        <v>188.07021639275754</v>
      </c>
      <c r="AR1974">
        <f>1/(COUNT('Iter No Test'!$W$9:$W$5008)-1)+$AR$1973</f>
        <v>0.39427885577116867</v>
      </c>
    </row>
    <row r="1975" spans="22:44">
      <c r="V1975">
        <v>1967</v>
      </c>
      <c r="W1975">
        <v>207.31540629857938</v>
      </c>
      <c r="AQ1975">
        <f>SMALL('Iter No Test'!$W$9:$W$5008,1973)</f>
        <v>188.07385140320883</v>
      </c>
      <c r="AR1975">
        <f>1/(COUNT('Iter No Test'!$W$9:$W$5008)-1)+$AR$1974</f>
        <v>0.39447889577917028</v>
      </c>
    </row>
    <row r="1976" spans="22:44">
      <c r="V1976">
        <v>1968</v>
      </c>
      <c r="W1976">
        <v>274.22128813327197</v>
      </c>
      <c r="AQ1976">
        <f>SMALL('Iter No Test'!$W$9:$W$5008,1974)</f>
        <v>188.08592728369268</v>
      </c>
      <c r="AR1976">
        <f>1/(COUNT('Iter No Test'!$W$9:$W$5008)-1)+$AR$1975</f>
        <v>0.39467893578717189</v>
      </c>
    </row>
    <row r="1977" spans="22:44">
      <c r="V1977">
        <v>1969</v>
      </c>
      <c r="W1977">
        <v>237.03535817847046</v>
      </c>
      <c r="AQ1977">
        <f>SMALL('Iter No Test'!$W$9:$W$5008,1975)</f>
        <v>188.12421725705201</v>
      </c>
      <c r="AR1977">
        <f>1/(COUNT('Iter No Test'!$W$9:$W$5008)-1)+$AR$1976</f>
        <v>0.3948789757951735</v>
      </c>
    </row>
    <row r="1978" spans="22:44">
      <c r="V1978">
        <v>1970</v>
      </c>
      <c r="W1978">
        <v>269.07606757982387</v>
      </c>
      <c r="AQ1978">
        <f>SMALL('Iter No Test'!$W$9:$W$5008,1976)</f>
        <v>188.17426577227545</v>
      </c>
      <c r="AR1978">
        <f>1/(COUNT('Iter No Test'!$W$9:$W$5008)-1)+$AR$1977</f>
        <v>0.39507901580317512</v>
      </c>
    </row>
    <row r="1979" spans="22:44">
      <c r="V1979">
        <v>1971</v>
      </c>
      <c r="W1979">
        <v>129.89710765821701</v>
      </c>
      <c r="AQ1979">
        <f>SMALL('Iter No Test'!$W$9:$W$5008,1977)</f>
        <v>188.22666464206208</v>
      </c>
      <c r="AR1979">
        <f>1/(COUNT('Iter No Test'!$W$9:$W$5008)-1)+$AR$1978</f>
        <v>0.39527905581117673</v>
      </c>
    </row>
    <row r="1980" spans="22:44">
      <c r="V1980">
        <v>1972</v>
      </c>
      <c r="W1980">
        <v>230.50912776541136</v>
      </c>
      <c r="AQ1980">
        <f>SMALL('Iter No Test'!$W$9:$W$5008,1978)</f>
        <v>188.25439316811929</v>
      </c>
      <c r="AR1980">
        <f>1/(COUNT('Iter No Test'!$W$9:$W$5008)-1)+$AR$1979</f>
        <v>0.39547909581917834</v>
      </c>
    </row>
    <row r="1981" spans="22:44">
      <c r="V1981">
        <v>1973</v>
      </c>
      <c r="W1981">
        <v>260.95558447069516</v>
      </c>
      <c r="AQ1981">
        <f>SMALL('Iter No Test'!$W$9:$W$5008,1979)</f>
        <v>188.30205425815004</v>
      </c>
      <c r="AR1981">
        <f>1/(COUNT('Iter No Test'!$W$9:$W$5008)-1)+$AR$1980</f>
        <v>0.39567913582717995</v>
      </c>
    </row>
    <row r="1982" spans="22:44">
      <c r="V1982">
        <v>1974</v>
      </c>
      <c r="W1982">
        <v>159.31459843050357</v>
      </c>
      <c r="AQ1982">
        <f>SMALL('Iter No Test'!$W$9:$W$5008,1980)</f>
        <v>188.30249134915837</v>
      </c>
      <c r="AR1982">
        <f>1/(COUNT('Iter No Test'!$W$9:$W$5008)-1)+$AR$1981</f>
        <v>0.39587917583518156</v>
      </c>
    </row>
    <row r="1983" spans="22:44">
      <c r="V1983">
        <v>1975</v>
      </c>
      <c r="W1983">
        <v>346.01143104457827</v>
      </c>
      <c r="AQ1983">
        <f>SMALL('Iter No Test'!$W$9:$W$5008,1981)</f>
        <v>188.31102460688095</v>
      </c>
      <c r="AR1983">
        <f>1/(COUNT('Iter No Test'!$W$9:$W$5008)-1)+$AR$1982</f>
        <v>0.39607921584318317</v>
      </c>
    </row>
    <row r="1984" spans="22:44">
      <c r="V1984">
        <v>1976</v>
      </c>
      <c r="W1984">
        <v>184.90423082994246</v>
      </c>
      <c r="AQ1984">
        <f>SMALL('Iter No Test'!$W$9:$W$5008,1982)</f>
        <v>188.36709501154792</v>
      </c>
      <c r="AR1984">
        <f>1/(COUNT('Iter No Test'!$W$9:$W$5008)-1)+$AR$1983</f>
        <v>0.39627925585118479</v>
      </c>
    </row>
    <row r="1985" spans="22:44">
      <c r="V1985">
        <v>1977</v>
      </c>
      <c r="W1985">
        <v>363.52247336591483</v>
      </c>
      <c r="AQ1985">
        <f>SMALL('Iter No Test'!$W$9:$W$5008,1983)</f>
        <v>188.36803526509686</v>
      </c>
      <c r="AR1985">
        <f>1/(COUNT('Iter No Test'!$W$9:$W$5008)-1)+$AR$1984</f>
        <v>0.3964792958591864</v>
      </c>
    </row>
    <row r="1986" spans="22:44">
      <c r="V1986">
        <v>1978</v>
      </c>
      <c r="W1986">
        <v>278.84479896444986</v>
      </c>
      <c r="AQ1986">
        <f>SMALL('Iter No Test'!$W$9:$W$5008,1984)</f>
        <v>188.39258073697459</v>
      </c>
      <c r="AR1986">
        <f>1/(COUNT('Iter No Test'!$W$9:$W$5008)-1)+$AR$1985</f>
        <v>0.39667933586718801</v>
      </c>
    </row>
    <row r="1987" spans="22:44">
      <c r="V1987">
        <v>1979</v>
      </c>
      <c r="W1987">
        <v>72.135575687589437</v>
      </c>
      <c r="AQ1987">
        <f>SMALL('Iter No Test'!$W$9:$W$5008,1985)</f>
        <v>188.44500859708981</v>
      </c>
      <c r="AR1987">
        <f>1/(COUNT('Iter No Test'!$W$9:$W$5008)-1)+$AR$1986</f>
        <v>0.39687937587518962</v>
      </c>
    </row>
    <row r="1988" spans="22:44">
      <c r="V1988">
        <v>1980</v>
      </c>
      <c r="W1988">
        <v>276.07332881008034</v>
      </c>
      <c r="AQ1988">
        <f>SMALL('Iter No Test'!$W$9:$W$5008,1986)</f>
        <v>188.48289553265045</v>
      </c>
      <c r="AR1988">
        <f>1/(COUNT('Iter No Test'!$W$9:$W$5008)-1)+$AR$1987</f>
        <v>0.39707941588319123</v>
      </c>
    </row>
    <row r="1989" spans="22:44">
      <c r="V1989">
        <v>1981</v>
      </c>
      <c r="W1989">
        <v>188.50891916856764</v>
      </c>
      <c r="AQ1989">
        <f>SMALL('Iter No Test'!$W$9:$W$5008,1987)</f>
        <v>188.50891916856764</v>
      </c>
      <c r="AR1989">
        <f>1/(COUNT('Iter No Test'!$W$9:$W$5008)-1)+$AR$1988</f>
        <v>0.39727945589119285</v>
      </c>
    </row>
    <row r="1990" spans="22:44">
      <c r="V1990">
        <v>1982</v>
      </c>
      <c r="W1990">
        <v>273.9870764797796</v>
      </c>
      <c r="AQ1990">
        <f>SMALL('Iter No Test'!$W$9:$W$5008,1988)</f>
        <v>188.61123744041342</v>
      </c>
      <c r="AR1990">
        <f>1/(COUNT('Iter No Test'!$W$9:$W$5008)-1)+$AR$1989</f>
        <v>0.39747949589919446</v>
      </c>
    </row>
    <row r="1991" spans="22:44">
      <c r="V1991">
        <v>1983</v>
      </c>
      <c r="W1991">
        <v>247.07329534906825</v>
      </c>
      <c r="AQ1991">
        <f>SMALL('Iter No Test'!$W$9:$W$5008,1989)</f>
        <v>188.63727052265801</v>
      </c>
      <c r="AR1991">
        <f>1/(COUNT('Iter No Test'!$W$9:$W$5008)-1)+$AR$1990</f>
        <v>0.39767953590719607</v>
      </c>
    </row>
    <row r="1992" spans="22:44">
      <c r="V1992">
        <v>1984</v>
      </c>
      <c r="W1992">
        <v>296.92432214629889</v>
      </c>
      <c r="AQ1992">
        <f>SMALL('Iter No Test'!$W$9:$W$5008,1990)</f>
        <v>188.63882802432693</v>
      </c>
      <c r="AR1992">
        <f>1/(COUNT('Iter No Test'!$W$9:$W$5008)-1)+$AR$1991</f>
        <v>0.39787957591519768</v>
      </c>
    </row>
    <row r="1993" spans="22:44">
      <c r="V1993">
        <v>1985</v>
      </c>
      <c r="W1993">
        <v>105.71380532408838</v>
      </c>
      <c r="AQ1993">
        <f>SMALL('Iter No Test'!$W$9:$W$5008,1991)</f>
        <v>188.68931643585088</v>
      </c>
      <c r="AR1993">
        <f>1/(COUNT('Iter No Test'!$W$9:$W$5008)-1)+$AR$1992</f>
        <v>0.39807961592319929</v>
      </c>
    </row>
    <row r="1994" spans="22:44">
      <c r="V1994">
        <v>1986</v>
      </c>
      <c r="W1994">
        <v>188.12421725705201</v>
      </c>
      <c r="AQ1994">
        <f>SMALL('Iter No Test'!$W$9:$W$5008,1992)</f>
        <v>188.77268818952322</v>
      </c>
      <c r="AR1994">
        <f>1/(COUNT('Iter No Test'!$W$9:$W$5008)-1)+$AR$1993</f>
        <v>0.3982796559312009</v>
      </c>
    </row>
    <row r="1995" spans="22:44">
      <c r="V1995">
        <v>1987</v>
      </c>
      <c r="W1995">
        <v>159.16613266628249</v>
      </c>
      <c r="AQ1995">
        <f>SMALL('Iter No Test'!$W$9:$W$5008,1993)</f>
        <v>188.79159581724301</v>
      </c>
      <c r="AR1995">
        <f>1/(COUNT('Iter No Test'!$W$9:$W$5008)-1)+$AR$1994</f>
        <v>0.39847969593920252</v>
      </c>
    </row>
    <row r="1996" spans="22:44">
      <c r="V1996">
        <v>1988</v>
      </c>
      <c r="W1996">
        <v>224.85156086845035</v>
      </c>
      <c r="AQ1996">
        <f>SMALL('Iter No Test'!$W$9:$W$5008,1994)</f>
        <v>188.94381746906757</v>
      </c>
      <c r="AR1996">
        <f>1/(COUNT('Iter No Test'!$W$9:$W$5008)-1)+$AR$1995</f>
        <v>0.39867973594720413</v>
      </c>
    </row>
    <row r="1997" spans="22:44">
      <c r="V1997">
        <v>1989</v>
      </c>
      <c r="W1997">
        <v>221.06131790343676</v>
      </c>
      <c r="AQ1997">
        <f>SMALL('Iter No Test'!$W$9:$W$5008,1995)</f>
        <v>188.9601260989526</v>
      </c>
      <c r="AR1997">
        <f>1/(COUNT('Iter No Test'!$W$9:$W$5008)-1)+$AR$1996</f>
        <v>0.39887977595520574</v>
      </c>
    </row>
    <row r="1998" spans="22:44">
      <c r="V1998">
        <v>1990</v>
      </c>
      <c r="W1998">
        <v>295.52817617986767</v>
      </c>
      <c r="AQ1998">
        <f>SMALL('Iter No Test'!$W$9:$W$5008,1996)</f>
        <v>188.97012608126812</v>
      </c>
      <c r="AR1998">
        <f>1/(COUNT('Iter No Test'!$W$9:$W$5008)-1)+$AR$1997</f>
        <v>0.39907981596320735</v>
      </c>
    </row>
    <row r="1999" spans="22:44">
      <c r="V1999">
        <v>1991</v>
      </c>
      <c r="W1999">
        <v>187.53519018759454</v>
      </c>
      <c r="AQ1999">
        <f>SMALL('Iter No Test'!$W$9:$W$5008,1997)</f>
        <v>189.06342331727575</v>
      </c>
      <c r="AR1999">
        <f>1/(COUNT('Iter No Test'!$W$9:$W$5008)-1)+$AR$1998</f>
        <v>0.39927985597120896</v>
      </c>
    </row>
    <row r="2000" spans="22:44">
      <c r="V2000">
        <v>1992</v>
      </c>
      <c r="W2000">
        <v>156.1075064032951</v>
      </c>
      <c r="AQ2000">
        <f>SMALL('Iter No Test'!$W$9:$W$5008,1998)</f>
        <v>189.11245905475673</v>
      </c>
      <c r="AR2000">
        <f>1/(COUNT('Iter No Test'!$W$9:$W$5008)-1)+$AR$1999</f>
        <v>0.39947989597921058</v>
      </c>
    </row>
    <row r="2001" spans="22:44">
      <c r="V2001">
        <v>1993</v>
      </c>
      <c r="W2001">
        <v>305.92066142416434</v>
      </c>
      <c r="AQ2001">
        <f>SMALL('Iter No Test'!$W$9:$W$5008,1999)</f>
        <v>189.1526730786284</v>
      </c>
      <c r="AR2001">
        <f>1/(COUNT('Iter No Test'!$W$9:$W$5008)-1)+$AR$2000</f>
        <v>0.39967993598721219</v>
      </c>
    </row>
    <row r="2002" spans="22:44">
      <c r="V2002">
        <v>1994</v>
      </c>
      <c r="W2002">
        <v>265.89218156998595</v>
      </c>
      <c r="AQ2002">
        <f>SMALL('Iter No Test'!$W$9:$W$5008,2000)</f>
        <v>189.15502451718032</v>
      </c>
      <c r="AR2002">
        <f>1/(COUNT('Iter No Test'!$W$9:$W$5008)-1)+$AR$2001</f>
        <v>0.3998799759952138</v>
      </c>
    </row>
    <row r="2003" spans="22:44">
      <c r="V2003">
        <v>1995</v>
      </c>
      <c r="W2003">
        <v>210.97338815927384</v>
      </c>
      <c r="AQ2003">
        <f>SMALL('Iter No Test'!$W$9:$W$5008,2001)</f>
        <v>189.22659343656701</v>
      </c>
      <c r="AR2003">
        <f>1/(COUNT('Iter No Test'!$W$9:$W$5008)-1)+$AR$2002</f>
        <v>0.40008001600321541</v>
      </c>
    </row>
    <row r="2004" spans="22:44">
      <c r="V2004">
        <v>1996</v>
      </c>
      <c r="W2004">
        <v>282.58011707709272</v>
      </c>
      <c r="AQ2004">
        <f>SMALL('Iter No Test'!$W$9:$W$5008,2002)</f>
        <v>189.2748009272928</v>
      </c>
      <c r="AR2004">
        <f>1/(COUNT('Iter No Test'!$W$9:$W$5008)-1)+$AR$2003</f>
        <v>0.40028005601121702</v>
      </c>
    </row>
    <row r="2005" spans="22:44">
      <c r="V2005">
        <v>1997</v>
      </c>
      <c r="W2005">
        <v>203.41985045372985</v>
      </c>
      <c r="AQ2005">
        <f>SMALL('Iter No Test'!$W$9:$W$5008,2003)</f>
        <v>189.27674630900825</v>
      </c>
      <c r="AR2005">
        <f>1/(COUNT('Iter No Test'!$W$9:$W$5008)-1)+$AR$2004</f>
        <v>0.40048009601921863</v>
      </c>
    </row>
    <row r="2006" spans="22:44">
      <c r="V2006">
        <v>1998</v>
      </c>
      <c r="W2006">
        <v>398.23045150076985</v>
      </c>
      <c r="AQ2006">
        <f>SMALL('Iter No Test'!$W$9:$W$5008,2004)</f>
        <v>189.28382683785392</v>
      </c>
      <c r="AR2006">
        <f>1/(COUNT('Iter No Test'!$W$9:$W$5008)-1)+$AR$2005</f>
        <v>0.40068013602722025</v>
      </c>
    </row>
    <row r="2007" spans="22:44">
      <c r="V2007">
        <v>1999</v>
      </c>
      <c r="W2007">
        <v>237.44986270666573</v>
      </c>
      <c r="AQ2007">
        <f>SMALL('Iter No Test'!$W$9:$W$5008,2005)</f>
        <v>189.31885773601596</v>
      </c>
      <c r="AR2007">
        <f>1/(COUNT('Iter No Test'!$W$9:$W$5008)-1)+$AR$2006</f>
        <v>0.40088017603522186</v>
      </c>
    </row>
    <row r="2008" spans="22:44">
      <c r="V2008">
        <v>2000</v>
      </c>
      <c r="W2008">
        <v>182.17477002932463</v>
      </c>
      <c r="AQ2008">
        <f>SMALL('Iter No Test'!$W$9:$W$5008,2006)</f>
        <v>189.38328259022154</v>
      </c>
      <c r="AR2008">
        <f>1/(COUNT('Iter No Test'!$W$9:$W$5008)-1)+$AR$2007</f>
        <v>0.40108021604322347</v>
      </c>
    </row>
    <row r="2009" spans="22:44">
      <c r="V2009">
        <v>2001</v>
      </c>
      <c r="W2009">
        <v>249.1409264789024</v>
      </c>
      <c r="AQ2009">
        <f>SMALL('Iter No Test'!$W$9:$W$5008,2007)</f>
        <v>189.39749470098855</v>
      </c>
      <c r="AR2009">
        <f>1/(COUNT('Iter No Test'!$W$9:$W$5008)-1)+$AR$2008</f>
        <v>0.40128025605122508</v>
      </c>
    </row>
    <row r="2010" spans="22:44">
      <c r="V2010">
        <v>2002</v>
      </c>
      <c r="W2010">
        <v>-25.84507911821288</v>
      </c>
      <c r="AQ2010">
        <f>SMALL('Iter No Test'!$W$9:$W$5008,2008)</f>
        <v>189.44612758439143</v>
      </c>
      <c r="AR2010">
        <f>1/(COUNT('Iter No Test'!$W$9:$W$5008)-1)+$AR$2009</f>
        <v>0.40148029605922669</v>
      </c>
    </row>
    <row r="2011" spans="22:44">
      <c r="V2011">
        <v>2003</v>
      </c>
      <c r="W2011">
        <v>101.82763723400541</v>
      </c>
      <c r="AQ2011">
        <f>SMALL('Iter No Test'!$W$9:$W$5008,2009)</f>
        <v>189.47246700590821</v>
      </c>
      <c r="AR2011">
        <f>1/(COUNT('Iter No Test'!$W$9:$W$5008)-1)+$AR$2010</f>
        <v>0.40168033606722831</v>
      </c>
    </row>
    <row r="2012" spans="22:44">
      <c r="V2012">
        <v>2004</v>
      </c>
      <c r="W2012">
        <v>385.35181596676955</v>
      </c>
      <c r="AQ2012">
        <f>SMALL('Iter No Test'!$W$9:$W$5008,2010)</f>
        <v>189.473298380263</v>
      </c>
      <c r="AR2012">
        <f>1/(COUNT('Iter No Test'!$W$9:$W$5008)-1)+$AR$2011</f>
        <v>0.40188037607522992</v>
      </c>
    </row>
    <row r="2013" spans="22:44">
      <c r="V2013">
        <v>2005</v>
      </c>
      <c r="W2013">
        <v>497.14358421408144</v>
      </c>
      <c r="AQ2013">
        <f>SMALL('Iter No Test'!$W$9:$W$5008,2011)</f>
        <v>189.48655061198116</v>
      </c>
      <c r="AR2013">
        <f>1/(COUNT('Iter No Test'!$W$9:$W$5008)-1)+$AR$2012</f>
        <v>0.40208041608323153</v>
      </c>
    </row>
    <row r="2014" spans="22:44">
      <c r="V2014">
        <v>2006</v>
      </c>
      <c r="W2014">
        <v>271.15762775863305</v>
      </c>
      <c r="AQ2014">
        <f>SMALL('Iter No Test'!$W$9:$W$5008,2012)</f>
        <v>189.51179171886764</v>
      </c>
      <c r="AR2014">
        <f>1/(COUNT('Iter No Test'!$W$9:$W$5008)-1)+$AR$2013</f>
        <v>0.40228045609123314</v>
      </c>
    </row>
    <row r="2015" spans="22:44">
      <c r="V2015">
        <v>2007</v>
      </c>
      <c r="W2015">
        <v>357.26815543709893</v>
      </c>
      <c r="AQ2015">
        <f>SMALL('Iter No Test'!$W$9:$W$5008,2013)</f>
        <v>189.55113472517345</v>
      </c>
      <c r="AR2015">
        <f>1/(COUNT('Iter No Test'!$W$9:$W$5008)-1)+$AR$2014</f>
        <v>0.40248049609923475</v>
      </c>
    </row>
    <row r="2016" spans="22:44">
      <c r="V2016">
        <v>2008</v>
      </c>
      <c r="W2016">
        <v>260.72721138856377</v>
      </c>
      <c r="AQ2016">
        <f>SMALL('Iter No Test'!$W$9:$W$5008,2014)</f>
        <v>189.56834904557996</v>
      </c>
      <c r="AR2016">
        <f>1/(COUNT('Iter No Test'!$W$9:$W$5008)-1)+$AR$2015</f>
        <v>0.40268053610723636</v>
      </c>
    </row>
    <row r="2017" spans="22:44">
      <c r="V2017">
        <v>2009</v>
      </c>
      <c r="W2017">
        <v>183.78401394220185</v>
      </c>
      <c r="AQ2017">
        <f>SMALL('Iter No Test'!$W$9:$W$5008,2015)</f>
        <v>189.62015017765037</v>
      </c>
      <c r="AR2017">
        <f>1/(COUNT('Iter No Test'!$W$9:$W$5008)-1)+$AR$2016</f>
        <v>0.40288057611523798</v>
      </c>
    </row>
    <row r="2018" spans="22:44">
      <c r="V2018">
        <v>2010</v>
      </c>
      <c r="W2018">
        <v>240.76610374062724</v>
      </c>
      <c r="AQ2018">
        <f>SMALL('Iter No Test'!$W$9:$W$5008,2016)</f>
        <v>189.62148375926245</v>
      </c>
      <c r="AR2018">
        <f>1/(COUNT('Iter No Test'!$W$9:$W$5008)-1)+$AR$2017</f>
        <v>0.40308061612323959</v>
      </c>
    </row>
    <row r="2019" spans="22:44">
      <c r="V2019">
        <v>2011</v>
      </c>
      <c r="W2019">
        <v>118.57074623587593</v>
      </c>
      <c r="AQ2019">
        <f>SMALL('Iter No Test'!$W$9:$W$5008,2017)</f>
        <v>189.65201254606961</v>
      </c>
      <c r="AR2019">
        <f>1/(COUNT('Iter No Test'!$W$9:$W$5008)-1)+$AR$2018</f>
        <v>0.4032806561312412</v>
      </c>
    </row>
    <row r="2020" spans="22:44">
      <c r="V2020">
        <v>2012</v>
      </c>
      <c r="W2020">
        <v>197.34152094028136</v>
      </c>
      <c r="AQ2020">
        <f>SMALL('Iter No Test'!$W$9:$W$5008,2018)</f>
        <v>189.73517451788393</v>
      </c>
      <c r="AR2020">
        <f>1/(COUNT('Iter No Test'!$W$9:$W$5008)-1)+$AR$2019</f>
        <v>0.40348069613924281</v>
      </c>
    </row>
    <row r="2021" spans="22:44">
      <c r="V2021">
        <v>2013</v>
      </c>
      <c r="W2021">
        <v>181.07455048178969</v>
      </c>
      <c r="AQ2021">
        <f>SMALL('Iter No Test'!$W$9:$W$5008,2019)</f>
        <v>189.92523663408264</v>
      </c>
      <c r="AR2021">
        <f>1/(COUNT('Iter No Test'!$W$9:$W$5008)-1)+$AR$2020</f>
        <v>0.40368073614724442</v>
      </c>
    </row>
    <row r="2022" spans="22:44">
      <c r="V2022">
        <v>2014</v>
      </c>
      <c r="W2022">
        <v>143.04137202695449</v>
      </c>
      <c r="AQ2022">
        <f>SMALL('Iter No Test'!$W$9:$W$5008,2020)</f>
        <v>189.974145265711</v>
      </c>
      <c r="AR2022">
        <f>1/(COUNT('Iter No Test'!$W$9:$W$5008)-1)+$AR$2021</f>
        <v>0.40388077615524604</v>
      </c>
    </row>
    <row r="2023" spans="22:44">
      <c r="V2023">
        <v>2015</v>
      </c>
      <c r="W2023">
        <v>-48.966575167730802</v>
      </c>
      <c r="AQ2023">
        <f>SMALL('Iter No Test'!$W$9:$W$5008,2021)</f>
        <v>190.00022233465964</v>
      </c>
      <c r="AR2023">
        <f>1/(COUNT('Iter No Test'!$W$9:$W$5008)-1)+$AR$2022</f>
        <v>0.40408081616324765</v>
      </c>
    </row>
    <row r="2024" spans="22:44">
      <c r="V2024">
        <v>2016</v>
      </c>
      <c r="W2024">
        <v>120.67204286635932</v>
      </c>
      <c r="AQ2024">
        <f>SMALL('Iter No Test'!$W$9:$W$5008,2022)</f>
        <v>190.06088653561497</v>
      </c>
      <c r="AR2024">
        <f>1/(COUNT('Iter No Test'!$W$9:$W$5008)-1)+$AR$2023</f>
        <v>0.40428085617124926</v>
      </c>
    </row>
    <row r="2025" spans="22:44">
      <c r="V2025">
        <v>2017</v>
      </c>
      <c r="W2025">
        <v>123.70041263237263</v>
      </c>
      <c r="AQ2025">
        <f>SMALL('Iter No Test'!$W$9:$W$5008,2023)</f>
        <v>190.07393663542416</v>
      </c>
      <c r="AR2025">
        <f>1/(COUNT('Iter No Test'!$W$9:$W$5008)-1)+$AR$2024</f>
        <v>0.40448089617925087</v>
      </c>
    </row>
    <row r="2026" spans="22:44">
      <c r="V2026">
        <v>2018</v>
      </c>
      <c r="W2026">
        <v>206.06538096650007</v>
      </c>
      <c r="AQ2026">
        <f>SMALL('Iter No Test'!$W$9:$W$5008,2024)</f>
        <v>190.14729052114757</v>
      </c>
      <c r="AR2026">
        <f>1/(COUNT('Iter No Test'!$W$9:$W$5008)-1)+$AR$2025</f>
        <v>0.40468093618725248</v>
      </c>
    </row>
    <row r="2027" spans="22:44">
      <c r="V2027">
        <v>2019</v>
      </c>
      <c r="W2027">
        <v>154.13725475026661</v>
      </c>
      <c r="AQ2027">
        <f>SMALL('Iter No Test'!$W$9:$W$5008,2025)</f>
        <v>190.19718972093375</v>
      </c>
      <c r="AR2027">
        <f>1/(COUNT('Iter No Test'!$W$9:$W$5008)-1)+$AR$2026</f>
        <v>0.40488097619525409</v>
      </c>
    </row>
    <row r="2028" spans="22:44">
      <c r="V2028">
        <v>2020</v>
      </c>
      <c r="W2028">
        <v>173.15258014693879</v>
      </c>
      <c r="AQ2028">
        <f>SMALL('Iter No Test'!$W$9:$W$5008,2026)</f>
        <v>190.23271459301014</v>
      </c>
      <c r="AR2028">
        <f>1/(COUNT('Iter No Test'!$W$9:$W$5008)-1)+$AR$2027</f>
        <v>0.40508101620325571</v>
      </c>
    </row>
    <row r="2029" spans="22:44">
      <c r="V2029">
        <v>2021</v>
      </c>
      <c r="W2029">
        <v>417.86926325808196</v>
      </c>
      <c r="AQ2029">
        <f>SMALL('Iter No Test'!$W$9:$W$5008,2027)</f>
        <v>190.34814257514725</v>
      </c>
      <c r="AR2029">
        <f>1/(COUNT('Iter No Test'!$W$9:$W$5008)-1)+$AR$2028</f>
        <v>0.40528105621125732</v>
      </c>
    </row>
    <row r="2030" spans="22:44">
      <c r="V2030">
        <v>2022</v>
      </c>
      <c r="W2030">
        <v>196.38390977184105</v>
      </c>
      <c r="AQ2030">
        <f>SMALL('Iter No Test'!$W$9:$W$5008,2028)</f>
        <v>190.42538696401419</v>
      </c>
      <c r="AR2030">
        <f>1/(COUNT('Iter No Test'!$W$9:$W$5008)-1)+$AR$2029</f>
        <v>0.40548109621925893</v>
      </c>
    </row>
    <row r="2031" spans="22:44">
      <c r="V2031">
        <v>2023</v>
      </c>
      <c r="W2031">
        <v>63.370147689355079</v>
      </c>
      <c r="AQ2031">
        <f>SMALL('Iter No Test'!$W$9:$W$5008,2029)</f>
        <v>190.42794176919318</v>
      </c>
      <c r="AR2031">
        <f>1/(COUNT('Iter No Test'!$W$9:$W$5008)-1)+$AR$2030</f>
        <v>0.40568113622726054</v>
      </c>
    </row>
    <row r="2032" spans="22:44">
      <c r="V2032">
        <v>2024</v>
      </c>
      <c r="W2032">
        <v>191.06193027116544</v>
      </c>
      <c r="AQ2032">
        <f>SMALL('Iter No Test'!$W$9:$W$5008,2030)</f>
        <v>190.53389940526014</v>
      </c>
      <c r="AR2032">
        <f>1/(COUNT('Iter No Test'!$W$9:$W$5008)-1)+$AR$2031</f>
        <v>0.40588117623526215</v>
      </c>
    </row>
    <row r="2033" spans="22:44">
      <c r="V2033">
        <v>2025</v>
      </c>
      <c r="W2033">
        <v>227.72617001979393</v>
      </c>
      <c r="AQ2033">
        <f>SMALL('Iter No Test'!$W$9:$W$5008,2031)</f>
        <v>190.57435983933487</v>
      </c>
      <c r="AR2033">
        <f>1/(COUNT('Iter No Test'!$W$9:$W$5008)-1)+$AR$2032</f>
        <v>0.40608121624326377</v>
      </c>
    </row>
    <row r="2034" spans="22:44">
      <c r="V2034">
        <v>2026</v>
      </c>
      <c r="W2034">
        <v>221.11026051888652</v>
      </c>
      <c r="AQ2034">
        <f>SMALL('Iter No Test'!$W$9:$W$5008,2032)</f>
        <v>190.59117852963777</v>
      </c>
      <c r="AR2034">
        <f>1/(COUNT('Iter No Test'!$W$9:$W$5008)-1)+$AR$2033</f>
        <v>0.40628125625126538</v>
      </c>
    </row>
    <row r="2035" spans="22:44">
      <c r="V2035">
        <v>2027</v>
      </c>
      <c r="W2035">
        <v>293.69623285226692</v>
      </c>
      <c r="AQ2035">
        <f>SMALL('Iter No Test'!$W$9:$W$5008,2033)</f>
        <v>190.64549781771549</v>
      </c>
      <c r="AR2035">
        <f>1/(COUNT('Iter No Test'!$W$9:$W$5008)-1)+$AR$2034</f>
        <v>0.40648129625926699</v>
      </c>
    </row>
    <row r="2036" spans="22:44">
      <c r="V2036">
        <v>2028</v>
      </c>
      <c r="W2036">
        <v>180.38083750327701</v>
      </c>
      <c r="AQ2036">
        <f>SMALL('Iter No Test'!$W$9:$W$5008,2034)</f>
        <v>190.66570380990083</v>
      </c>
      <c r="AR2036">
        <f>1/(COUNT('Iter No Test'!$W$9:$W$5008)-1)+$AR$2035</f>
        <v>0.4066813362672686</v>
      </c>
    </row>
    <row r="2037" spans="22:44">
      <c r="V2037">
        <v>2029</v>
      </c>
      <c r="W2037">
        <v>157.46168959198334</v>
      </c>
      <c r="AQ2037">
        <f>SMALL('Iter No Test'!$W$9:$W$5008,2035)</f>
        <v>190.6927213807061</v>
      </c>
      <c r="AR2037">
        <f>1/(COUNT('Iter No Test'!$W$9:$W$5008)-1)+$AR$2036</f>
        <v>0.40688137627527021</v>
      </c>
    </row>
    <row r="2038" spans="22:44">
      <c r="V2038">
        <v>2030</v>
      </c>
      <c r="W2038">
        <v>128.44879466878663</v>
      </c>
      <c r="AQ2038">
        <f>SMALL('Iter No Test'!$W$9:$W$5008,2036)</f>
        <v>190.69669334288272</v>
      </c>
      <c r="AR2038">
        <f>1/(COUNT('Iter No Test'!$W$9:$W$5008)-1)+$AR$2037</f>
        <v>0.40708141628327182</v>
      </c>
    </row>
    <row r="2039" spans="22:44">
      <c r="V2039">
        <v>2031</v>
      </c>
      <c r="W2039">
        <v>143.49231658591214</v>
      </c>
      <c r="AQ2039">
        <f>SMALL('Iter No Test'!$W$9:$W$5008,2037)</f>
        <v>190.78269290564725</v>
      </c>
      <c r="AR2039">
        <f>1/(COUNT('Iter No Test'!$W$9:$W$5008)-1)+$AR$2038</f>
        <v>0.40728145629127344</v>
      </c>
    </row>
    <row r="2040" spans="22:44">
      <c r="V2040">
        <v>2032</v>
      </c>
      <c r="W2040">
        <v>250.46390073238553</v>
      </c>
      <c r="AQ2040">
        <f>SMALL('Iter No Test'!$W$9:$W$5008,2038)</f>
        <v>190.84501999209263</v>
      </c>
      <c r="AR2040">
        <f>1/(COUNT('Iter No Test'!$W$9:$W$5008)-1)+$AR$2039</f>
        <v>0.40748149629927505</v>
      </c>
    </row>
    <row r="2041" spans="22:44">
      <c r="V2041">
        <v>2033</v>
      </c>
      <c r="W2041">
        <v>142.639481805678</v>
      </c>
      <c r="AQ2041">
        <f>SMALL('Iter No Test'!$W$9:$W$5008,2039)</f>
        <v>190.86847850230137</v>
      </c>
      <c r="AR2041">
        <f>1/(COUNT('Iter No Test'!$W$9:$W$5008)-1)+$AR$2040</f>
        <v>0.40768153630727666</v>
      </c>
    </row>
    <row r="2042" spans="22:44">
      <c r="V2042">
        <v>2034</v>
      </c>
      <c r="W2042">
        <v>179.30041078573387</v>
      </c>
      <c r="AQ2042">
        <f>SMALL('Iter No Test'!$W$9:$W$5008,2040)</f>
        <v>190.9081953711796</v>
      </c>
      <c r="AR2042">
        <f>1/(COUNT('Iter No Test'!$W$9:$W$5008)-1)+$AR$2041</f>
        <v>0.40788157631527827</v>
      </c>
    </row>
    <row r="2043" spans="22:44">
      <c r="V2043">
        <v>2035</v>
      </c>
      <c r="W2043">
        <v>155.34693415380229</v>
      </c>
      <c r="AQ2043">
        <f>SMALL('Iter No Test'!$W$9:$W$5008,2041)</f>
        <v>190.99532998675858</v>
      </c>
      <c r="AR2043">
        <f>1/(COUNT('Iter No Test'!$W$9:$W$5008)-1)+$AR$2042</f>
        <v>0.40808161632327988</v>
      </c>
    </row>
    <row r="2044" spans="22:44">
      <c r="V2044">
        <v>2036</v>
      </c>
      <c r="W2044">
        <v>179.79157916201279</v>
      </c>
      <c r="AQ2044">
        <f>SMALL('Iter No Test'!$W$9:$W$5008,2042)</f>
        <v>191.02494474503624</v>
      </c>
      <c r="AR2044">
        <f>1/(COUNT('Iter No Test'!$W$9:$W$5008)-1)+$AR$2043</f>
        <v>0.4082816563312815</v>
      </c>
    </row>
    <row r="2045" spans="22:44">
      <c r="V2045">
        <v>2037</v>
      </c>
      <c r="W2045">
        <v>334.98495883951148</v>
      </c>
      <c r="AQ2045">
        <f>SMALL('Iter No Test'!$W$9:$W$5008,2043)</f>
        <v>191.03177724695109</v>
      </c>
      <c r="AR2045">
        <f>1/(COUNT('Iter No Test'!$W$9:$W$5008)-1)+$AR$2044</f>
        <v>0.40848169633928311</v>
      </c>
    </row>
    <row r="2046" spans="22:44">
      <c r="V2046">
        <v>2038</v>
      </c>
      <c r="W2046">
        <v>131.99718533120998</v>
      </c>
      <c r="AQ2046">
        <f>SMALL('Iter No Test'!$W$9:$W$5008,2044)</f>
        <v>191.06193027116544</v>
      </c>
      <c r="AR2046">
        <f>1/(COUNT('Iter No Test'!$W$9:$W$5008)-1)+$AR$2045</f>
        <v>0.40868173634728472</v>
      </c>
    </row>
    <row r="2047" spans="22:44">
      <c r="V2047">
        <v>2039</v>
      </c>
      <c r="W2047">
        <v>117.92091685312337</v>
      </c>
      <c r="AQ2047">
        <f>SMALL('Iter No Test'!$W$9:$W$5008,2045)</f>
        <v>191.11004048000154</v>
      </c>
      <c r="AR2047">
        <f>1/(COUNT('Iter No Test'!$W$9:$W$5008)-1)+$AR$2046</f>
        <v>0.40888177635528633</v>
      </c>
    </row>
    <row r="2048" spans="22:44">
      <c r="V2048">
        <v>2040</v>
      </c>
      <c r="W2048">
        <v>182.27085697952296</v>
      </c>
      <c r="AQ2048">
        <f>SMALL('Iter No Test'!$W$9:$W$5008,2046)</f>
        <v>191.11684219316709</v>
      </c>
      <c r="AR2048">
        <f>1/(COUNT('Iter No Test'!$W$9:$W$5008)-1)+$AR$2047</f>
        <v>0.40908181636328794</v>
      </c>
    </row>
    <row r="2049" spans="22:44">
      <c r="V2049">
        <v>2041</v>
      </c>
      <c r="W2049">
        <v>253.87439806795572</v>
      </c>
      <c r="AQ2049">
        <f>SMALL('Iter No Test'!$W$9:$W$5008,2047)</f>
        <v>191.11879893709016</v>
      </c>
      <c r="AR2049">
        <f>1/(COUNT('Iter No Test'!$W$9:$W$5008)-1)+$AR$2048</f>
        <v>0.40928185637128955</v>
      </c>
    </row>
    <row r="2050" spans="22:44">
      <c r="V2050">
        <v>2042</v>
      </c>
      <c r="W2050">
        <v>203.35723284077372</v>
      </c>
      <c r="AQ2050">
        <f>SMALL('Iter No Test'!$W$9:$W$5008,2048)</f>
        <v>191.12741595758308</v>
      </c>
      <c r="AR2050">
        <f>1/(COUNT('Iter No Test'!$W$9:$W$5008)-1)+$AR$2049</f>
        <v>0.40948189637929117</v>
      </c>
    </row>
    <row r="2051" spans="22:44">
      <c r="V2051">
        <v>2043</v>
      </c>
      <c r="W2051">
        <v>226.97873400131652</v>
      </c>
      <c r="AQ2051">
        <f>SMALL('Iter No Test'!$W$9:$W$5008,2049)</f>
        <v>191.16477300734755</v>
      </c>
      <c r="AR2051">
        <f>1/(COUNT('Iter No Test'!$W$9:$W$5008)-1)+$AR$2050</f>
        <v>0.40968193638729278</v>
      </c>
    </row>
    <row r="2052" spans="22:44">
      <c r="V2052">
        <v>2044</v>
      </c>
      <c r="W2052">
        <v>268.27752288440161</v>
      </c>
      <c r="AQ2052">
        <f>SMALL('Iter No Test'!$W$9:$W$5008,2050)</f>
        <v>191.22053191778301</v>
      </c>
      <c r="AR2052">
        <f>1/(COUNT('Iter No Test'!$W$9:$W$5008)-1)+$AR$2051</f>
        <v>0.40988197639529439</v>
      </c>
    </row>
    <row r="2053" spans="22:44">
      <c r="V2053">
        <v>2045</v>
      </c>
      <c r="W2053">
        <v>251.47248582021507</v>
      </c>
      <c r="AQ2053">
        <f>SMALL('Iter No Test'!$W$9:$W$5008,2051)</f>
        <v>191.2494976888124</v>
      </c>
      <c r="AR2053">
        <f>1/(COUNT('Iter No Test'!$W$9:$W$5008)-1)+$AR$2052</f>
        <v>0.410082016403296</v>
      </c>
    </row>
    <row r="2054" spans="22:44">
      <c r="V2054">
        <v>2046</v>
      </c>
      <c r="W2054">
        <v>228.71595464597578</v>
      </c>
      <c r="AQ2054">
        <f>SMALL('Iter No Test'!$W$9:$W$5008,2052)</f>
        <v>191.2824726091047</v>
      </c>
      <c r="AR2054">
        <f>1/(COUNT('Iter No Test'!$W$9:$W$5008)-1)+$AR$2053</f>
        <v>0.41028205641129761</v>
      </c>
    </row>
    <row r="2055" spans="22:44">
      <c r="V2055">
        <v>2047</v>
      </c>
      <c r="W2055">
        <v>212.80843902043878</v>
      </c>
      <c r="AQ2055">
        <f>SMALL('Iter No Test'!$W$9:$W$5008,2053)</f>
        <v>191.31945998167754</v>
      </c>
      <c r="AR2055">
        <f>1/(COUNT('Iter No Test'!$W$9:$W$5008)-1)+$AR$2054</f>
        <v>0.41048209641929922</v>
      </c>
    </row>
    <row r="2056" spans="22:44">
      <c r="V2056">
        <v>2048</v>
      </c>
      <c r="W2056">
        <v>169.40470308656714</v>
      </c>
      <c r="AQ2056">
        <f>SMALL('Iter No Test'!$W$9:$W$5008,2054)</f>
        <v>191.36274265799651</v>
      </c>
      <c r="AR2056">
        <f>1/(COUNT('Iter No Test'!$W$9:$W$5008)-1)+$AR$2055</f>
        <v>0.41068213642730084</v>
      </c>
    </row>
    <row r="2057" spans="22:44">
      <c r="V2057">
        <v>2049</v>
      </c>
      <c r="W2057">
        <v>214.31371592134306</v>
      </c>
      <c r="AQ2057">
        <f>SMALL('Iter No Test'!$W$9:$W$5008,2055)</f>
        <v>191.37505003417428</v>
      </c>
      <c r="AR2057">
        <f>1/(COUNT('Iter No Test'!$W$9:$W$5008)-1)+$AR$2056</f>
        <v>0.41088217643530245</v>
      </c>
    </row>
    <row r="2058" spans="22:44">
      <c r="V2058">
        <v>2050</v>
      </c>
      <c r="W2058">
        <v>270.18729502705366</v>
      </c>
      <c r="AQ2058">
        <f>SMALL('Iter No Test'!$W$9:$W$5008,2056)</f>
        <v>191.41160222210556</v>
      </c>
      <c r="AR2058">
        <f>1/(COUNT('Iter No Test'!$W$9:$W$5008)-1)+$AR$2057</f>
        <v>0.41108221644330406</v>
      </c>
    </row>
    <row r="2059" spans="22:44">
      <c r="V2059">
        <v>2051</v>
      </c>
      <c r="W2059">
        <v>140.28320665358714</v>
      </c>
      <c r="AQ2059">
        <f>SMALL('Iter No Test'!$W$9:$W$5008,2057)</f>
        <v>191.41384287348495</v>
      </c>
      <c r="AR2059">
        <f>1/(COUNT('Iter No Test'!$W$9:$W$5008)-1)+$AR$2058</f>
        <v>0.41128225645130567</v>
      </c>
    </row>
    <row r="2060" spans="22:44">
      <c r="V2060">
        <v>2052</v>
      </c>
      <c r="W2060">
        <v>318.27089304848744</v>
      </c>
      <c r="AQ2060">
        <f>SMALL('Iter No Test'!$W$9:$W$5008,2058)</f>
        <v>191.43711824203714</v>
      </c>
      <c r="AR2060">
        <f>1/(COUNT('Iter No Test'!$W$9:$W$5008)-1)+$AR$2059</f>
        <v>0.41148229645930728</v>
      </c>
    </row>
    <row r="2061" spans="22:44">
      <c r="V2061">
        <v>2053</v>
      </c>
      <c r="W2061">
        <v>250.44192320461929</v>
      </c>
      <c r="AQ2061">
        <f>SMALL('Iter No Test'!$W$9:$W$5008,2059)</f>
        <v>191.44568284873324</v>
      </c>
      <c r="AR2061">
        <f>1/(COUNT('Iter No Test'!$W$9:$W$5008)-1)+$AR$2060</f>
        <v>0.4116823364673089</v>
      </c>
    </row>
    <row r="2062" spans="22:44">
      <c r="V2062">
        <v>2054</v>
      </c>
      <c r="W2062">
        <v>297.04394644634641</v>
      </c>
      <c r="AQ2062">
        <f>SMALL('Iter No Test'!$W$9:$W$5008,2060)</f>
        <v>191.54282403571719</v>
      </c>
      <c r="AR2062">
        <f>1/(COUNT('Iter No Test'!$W$9:$W$5008)-1)+$AR$2061</f>
        <v>0.41188237647531051</v>
      </c>
    </row>
    <row r="2063" spans="22:44">
      <c r="V2063">
        <v>2055</v>
      </c>
      <c r="W2063">
        <v>205.24287522793594</v>
      </c>
      <c r="AQ2063">
        <f>SMALL('Iter No Test'!$W$9:$W$5008,2061)</f>
        <v>191.55904297719275</v>
      </c>
      <c r="AR2063">
        <f>1/(COUNT('Iter No Test'!$W$9:$W$5008)-1)+$AR$2062</f>
        <v>0.41208241648331212</v>
      </c>
    </row>
    <row r="2064" spans="22:44">
      <c r="V2064">
        <v>2056</v>
      </c>
      <c r="W2064">
        <v>179.13793299534925</v>
      </c>
      <c r="AQ2064">
        <f>SMALL('Iter No Test'!$W$9:$W$5008,2062)</f>
        <v>191.61167046255389</v>
      </c>
      <c r="AR2064">
        <f>1/(COUNT('Iter No Test'!$W$9:$W$5008)-1)+$AR$2063</f>
        <v>0.41228245649131373</v>
      </c>
    </row>
    <row r="2065" spans="22:44">
      <c r="V2065">
        <v>2057</v>
      </c>
      <c r="W2065">
        <v>362.99913839748967</v>
      </c>
      <c r="AQ2065">
        <f>SMALL('Iter No Test'!$W$9:$W$5008,2063)</f>
        <v>191.67603757346512</v>
      </c>
      <c r="AR2065">
        <f>1/(COUNT('Iter No Test'!$W$9:$W$5008)-1)+$AR$2064</f>
        <v>0.41248249649931534</v>
      </c>
    </row>
    <row r="2066" spans="22:44">
      <c r="V2066">
        <v>2058</v>
      </c>
      <c r="W2066">
        <v>120.72373540543479</v>
      </c>
      <c r="AQ2066">
        <f>SMALL('Iter No Test'!$W$9:$W$5008,2064)</f>
        <v>191.68266626573669</v>
      </c>
      <c r="AR2066">
        <f>1/(COUNT('Iter No Test'!$W$9:$W$5008)-1)+$AR$2065</f>
        <v>0.41268253650731695</v>
      </c>
    </row>
    <row r="2067" spans="22:44">
      <c r="V2067">
        <v>2059</v>
      </c>
      <c r="W2067">
        <v>262.34990167259235</v>
      </c>
      <c r="AQ2067">
        <f>SMALL('Iter No Test'!$W$9:$W$5008,2065)</f>
        <v>191.82613222317369</v>
      </c>
      <c r="AR2067">
        <f>1/(COUNT('Iter No Test'!$W$9:$W$5008)-1)+$AR$2066</f>
        <v>0.41288257651531857</v>
      </c>
    </row>
    <row r="2068" spans="22:44">
      <c r="V2068">
        <v>2060</v>
      </c>
      <c r="W2068">
        <v>178.12608610814746</v>
      </c>
      <c r="AQ2068">
        <f>SMALL('Iter No Test'!$W$9:$W$5008,2066)</f>
        <v>192.02133594720311</v>
      </c>
      <c r="AR2068">
        <f>1/(COUNT('Iter No Test'!$W$9:$W$5008)-1)+$AR$2067</f>
        <v>0.41308261652332018</v>
      </c>
    </row>
    <row r="2069" spans="22:44">
      <c r="V2069">
        <v>2061</v>
      </c>
      <c r="W2069">
        <v>208.51781791202319</v>
      </c>
      <c r="AQ2069">
        <f>SMALL('Iter No Test'!$W$9:$W$5008,2067)</f>
        <v>192.02369737963153</v>
      </c>
      <c r="AR2069">
        <f>1/(COUNT('Iter No Test'!$W$9:$W$5008)-1)+$AR$2068</f>
        <v>0.41328265653132179</v>
      </c>
    </row>
    <row r="2070" spans="22:44">
      <c r="V2070">
        <v>2062</v>
      </c>
      <c r="W2070">
        <v>370.81855480222805</v>
      </c>
      <c r="AQ2070">
        <f>SMALL('Iter No Test'!$W$9:$W$5008,2068)</f>
        <v>192.07076165996469</v>
      </c>
      <c r="AR2070">
        <f>1/(COUNT('Iter No Test'!$W$9:$W$5008)-1)+$AR$2069</f>
        <v>0.4134826965393234</v>
      </c>
    </row>
    <row r="2071" spans="22:44">
      <c r="V2071">
        <v>2063</v>
      </c>
      <c r="W2071">
        <v>135.88171201719211</v>
      </c>
      <c r="AQ2071">
        <f>SMALL('Iter No Test'!$W$9:$W$5008,2069)</f>
        <v>192.09954959762192</v>
      </c>
      <c r="AR2071">
        <f>1/(COUNT('Iter No Test'!$W$9:$W$5008)-1)+$AR$2070</f>
        <v>0.41368273654732501</v>
      </c>
    </row>
    <row r="2072" spans="22:44">
      <c r="V2072">
        <v>2064</v>
      </c>
      <c r="W2072">
        <v>158.10127735748893</v>
      </c>
      <c r="AQ2072">
        <f>SMALL('Iter No Test'!$W$9:$W$5008,2070)</f>
        <v>192.15716519372214</v>
      </c>
      <c r="AR2072">
        <f>1/(COUNT('Iter No Test'!$W$9:$W$5008)-1)+$AR$2071</f>
        <v>0.41388277655532663</v>
      </c>
    </row>
    <row r="2073" spans="22:44">
      <c r="V2073">
        <v>2065</v>
      </c>
      <c r="W2073">
        <v>316.92814343214309</v>
      </c>
      <c r="AQ2073">
        <f>SMALL('Iter No Test'!$W$9:$W$5008,2071)</f>
        <v>192.17710738466724</v>
      </c>
      <c r="AR2073">
        <f>1/(COUNT('Iter No Test'!$W$9:$W$5008)-1)+$AR$2072</f>
        <v>0.41408281656332824</v>
      </c>
    </row>
    <row r="2074" spans="22:44">
      <c r="V2074">
        <v>2066</v>
      </c>
      <c r="W2074">
        <v>284.11298245710327</v>
      </c>
      <c r="AQ2074">
        <f>SMALL('Iter No Test'!$W$9:$W$5008,2072)</f>
        <v>192.18977915244278</v>
      </c>
      <c r="AR2074">
        <f>1/(COUNT('Iter No Test'!$W$9:$W$5008)-1)+$AR$2073</f>
        <v>0.41428285657132985</v>
      </c>
    </row>
    <row r="2075" spans="22:44">
      <c r="V2075">
        <v>2067</v>
      </c>
      <c r="W2075">
        <v>208.01656847147638</v>
      </c>
      <c r="AQ2075">
        <f>SMALL('Iter No Test'!$W$9:$W$5008,2073)</f>
        <v>192.21268797215649</v>
      </c>
      <c r="AR2075">
        <f>1/(COUNT('Iter No Test'!$W$9:$W$5008)-1)+$AR$2074</f>
        <v>0.41448289657933146</v>
      </c>
    </row>
    <row r="2076" spans="22:44">
      <c r="V2076">
        <v>2068</v>
      </c>
      <c r="W2076">
        <v>291.62291048087923</v>
      </c>
      <c r="AQ2076">
        <f>SMALL('Iter No Test'!$W$9:$W$5008,2074)</f>
        <v>192.23141725355481</v>
      </c>
      <c r="AR2076">
        <f>1/(COUNT('Iter No Test'!$W$9:$W$5008)-1)+$AR$2075</f>
        <v>0.41468293658733307</v>
      </c>
    </row>
    <row r="2077" spans="22:44">
      <c r="V2077">
        <v>2069</v>
      </c>
      <c r="W2077">
        <v>151.72172391863407</v>
      </c>
      <c r="AQ2077">
        <f>SMALL('Iter No Test'!$W$9:$W$5008,2075)</f>
        <v>192.23258594725195</v>
      </c>
      <c r="AR2077">
        <f>1/(COUNT('Iter No Test'!$W$9:$W$5008)-1)+$AR$2076</f>
        <v>0.41488297659533468</v>
      </c>
    </row>
    <row r="2078" spans="22:44">
      <c r="V2078">
        <v>2070</v>
      </c>
      <c r="W2078">
        <v>315.83967662154373</v>
      </c>
      <c r="AQ2078">
        <f>SMALL('Iter No Test'!$W$9:$W$5008,2076)</f>
        <v>192.25273263408573</v>
      </c>
      <c r="AR2078">
        <f>1/(COUNT('Iter No Test'!$W$9:$W$5008)-1)+$AR$2077</f>
        <v>0.4150830166033363</v>
      </c>
    </row>
    <row r="2079" spans="22:44">
      <c r="V2079">
        <v>2071</v>
      </c>
      <c r="W2079">
        <v>403.78375197252126</v>
      </c>
      <c r="AQ2079">
        <f>SMALL('Iter No Test'!$W$9:$W$5008,2077)</f>
        <v>192.26320903728018</v>
      </c>
      <c r="AR2079">
        <f>1/(COUNT('Iter No Test'!$W$9:$W$5008)-1)+$AR$2078</f>
        <v>0.41528305661133791</v>
      </c>
    </row>
    <row r="2080" spans="22:44">
      <c r="V2080">
        <v>2072</v>
      </c>
      <c r="W2080">
        <v>160.40447345189676</v>
      </c>
      <c r="AQ2080">
        <f>SMALL('Iter No Test'!$W$9:$W$5008,2078)</f>
        <v>192.28943578794804</v>
      </c>
      <c r="AR2080">
        <f>1/(COUNT('Iter No Test'!$W$9:$W$5008)-1)+$AR$2079</f>
        <v>0.41548309661933952</v>
      </c>
    </row>
    <row r="2081" spans="22:44">
      <c r="V2081">
        <v>2073</v>
      </c>
      <c r="W2081">
        <v>276.32946589890287</v>
      </c>
      <c r="AQ2081">
        <f>SMALL('Iter No Test'!$W$9:$W$5008,2079)</f>
        <v>192.31663114304314</v>
      </c>
      <c r="AR2081">
        <f>1/(COUNT('Iter No Test'!$W$9:$W$5008)-1)+$AR$2080</f>
        <v>0.41568313662734113</v>
      </c>
    </row>
    <row r="2082" spans="22:44">
      <c r="V2082">
        <v>2074</v>
      </c>
      <c r="W2082">
        <v>175.65622173786562</v>
      </c>
      <c r="AQ2082">
        <f>SMALL('Iter No Test'!$W$9:$W$5008,2080)</f>
        <v>192.32746028477877</v>
      </c>
      <c r="AR2082">
        <f>1/(COUNT('Iter No Test'!$W$9:$W$5008)-1)+$AR$2081</f>
        <v>0.41588317663534274</v>
      </c>
    </row>
    <row r="2083" spans="22:44">
      <c r="V2083">
        <v>2075</v>
      </c>
      <c r="W2083">
        <v>279.73450014481597</v>
      </c>
      <c r="AQ2083">
        <f>SMALL('Iter No Test'!$W$9:$W$5008,2081)</f>
        <v>192.34066524244429</v>
      </c>
      <c r="AR2083">
        <f>1/(COUNT('Iter No Test'!$W$9:$W$5008)-1)+$AR$2082</f>
        <v>0.41608321664334436</v>
      </c>
    </row>
    <row r="2084" spans="22:44">
      <c r="V2084">
        <v>2076</v>
      </c>
      <c r="W2084">
        <v>434.36120526527066</v>
      </c>
      <c r="AQ2084">
        <f>SMALL('Iter No Test'!$W$9:$W$5008,2082)</f>
        <v>192.40227921874177</v>
      </c>
      <c r="AR2084">
        <f>1/(COUNT('Iter No Test'!$W$9:$W$5008)-1)+$AR$2083</f>
        <v>0.41628325665134597</v>
      </c>
    </row>
    <row r="2085" spans="22:44">
      <c r="V2085">
        <v>2077</v>
      </c>
      <c r="W2085">
        <v>225.39724041038633</v>
      </c>
      <c r="AQ2085">
        <f>SMALL('Iter No Test'!$W$9:$W$5008,2083)</f>
        <v>192.44859285028451</v>
      </c>
      <c r="AR2085">
        <f>1/(COUNT('Iter No Test'!$W$9:$W$5008)-1)+$AR$2084</f>
        <v>0.41648329665934758</v>
      </c>
    </row>
    <row r="2086" spans="22:44">
      <c r="V2086">
        <v>2078</v>
      </c>
      <c r="W2086">
        <v>46.895956103817781</v>
      </c>
      <c r="AQ2086">
        <f>SMALL('Iter No Test'!$W$9:$W$5008,2084)</f>
        <v>192.48809783795278</v>
      </c>
      <c r="AR2086">
        <f>1/(COUNT('Iter No Test'!$W$9:$W$5008)-1)+$AR$2085</f>
        <v>0.41668333666734919</v>
      </c>
    </row>
    <row r="2087" spans="22:44">
      <c r="V2087">
        <v>2079</v>
      </c>
      <c r="W2087">
        <v>200.66638183251749</v>
      </c>
      <c r="AQ2087">
        <f>SMALL('Iter No Test'!$W$9:$W$5008,2085)</f>
        <v>192.55643083947805</v>
      </c>
      <c r="AR2087">
        <f>1/(COUNT('Iter No Test'!$W$9:$W$5008)-1)+$AR$2086</f>
        <v>0.4168833766753508</v>
      </c>
    </row>
    <row r="2088" spans="22:44">
      <c r="V2088">
        <v>2080</v>
      </c>
      <c r="W2088">
        <v>202.40823874071023</v>
      </c>
      <c r="AQ2088">
        <f>SMALL('Iter No Test'!$W$9:$W$5008,2086)</f>
        <v>192.56343273379744</v>
      </c>
      <c r="AR2088">
        <f>1/(COUNT('Iter No Test'!$W$9:$W$5008)-1)+$AR$2087</f>
        <v>0.41708341668335241</v>
      </c>
    </row>
    <row r="2089" spans="22:44">
      <c r="V2089">
        <v>2081</v>
      </c>
      <c r="W2089">
        <v>204.06199978677856</v>
      </c>
      <c r="AQ2089">
        <f>SMALL('Iter No Test'!$W$9:$W$5008,2087)</f>
        <v>192.5730992799142</v>
      </c>
      <c r="AR2089">
        <f>1/(COUNT('Iter No Test'!$W$9:$W$5008)-1)+$AR$2088</f>
        <v>0.41728345669135403</v>
      </c>
    </row>
    <row r="2090" spans="22:44">
      <c r="V2090">
        <v>2082</v>
      </c>
      <c r="W2090">
        <v>193.95897764164681</v>
      </c>
      <c r="AQ2090">
        <f>SMALL('Iter No Test'!$W$9:$W$5008,2088)</f>
        <v>192.62065275860397</v>
      </c>
      <c r="AR2090">
        <f>1/(COUNT('Iter No Test'!$W$9:$W$5008)-1)+$AR$2089</f>
        <v>0.41748349669935564</v>
      </c>
    </row>
    <row r="2091" spans="22:44">
      <c r="V2091">
        <v>2083</v>
      </c>
      <c r="W2091">
        <v>134.31898357831466</v>
      </c>
      <c r="AQ2091">
        <f>SMALL('Iter No Test'!$W$9:$W$5008,2089)</f>
        <v>192.62325769406408</v>
      </c>
      <c r="AR2091">
        <f>1/(COUNT('Iter No Test'!$W$9:$W$5008)-1)+$AR$2090</f>
        <v>0.41768353670735725</v>
      </c>
    </row>
    <row r="2092" spans="22:44">
      <c r="V2092">
        <v>2084</v>
      </c>
      <c r="W2092">
        <v>193.07478132095014</v>
      </c>
      <c r="AQ2092">
        <f>SMALL('Iter No Test'!$W$9:$W$5008,2090)</f>
        <v>192.62501424982202</v>
      </c>
      <c r="AR2092">
        <f>1/(COUNT('Iter No Test'!$W$9:$W$5008)-1)+$AR$2091</f>
        <v>0.41788357671535886</v>
      </c>
    </row>
    <row r="2093" spans="22:44">
      <c r="V2093">
        <v>2085</v>
      </c>
      <c r="W2093">
        <v>208.4406435744641</v>
      </c>
      <c r="AQ2093">
        <f>SMALL('Iter No Test'!$W$9:$W$5008,2091)</f>
        <v>192.67192650281552</v>
      </c>
      <c r="AR2093">
        <f>1/(COUNT('Iter No Test'!$W$9:$W$5008)-1)+$AR$2092</f>
        <v>0.41808361672336047</v>
      </c>
    </row>
    <row r="2094" spans="22:44">
      <c r="V2094">
        <v>2086</v>
      </c>
      <c r="W2094">
        <v>342.14863194642339</v>
      </c>
      <c r="AQ2094">
        <f>SMALL('Iter No Test'!$W$9:$W$5008,2092)</f>
        <v>192.67267314470888</v>
      </c>
      <c r="AR2094">
        <f>1/(COUNT('Iter No Test'!$W$9:$W$5008)-1)+$AR$2093</f>
        <v>0.41828365673136209</v>
      </c>
    </row>
    <row r="2095" spans="22:44">
      <c r="V2095">
        <v>2087</v>
      </c>
      <c r="W2095">
        <v>338.99372440276841</v>
      </c>
      <c r="AQ2095">
        <f>SMALL('Iter No Test'!$W$9:$W$5008,2093)</f>
        <v>192.69568763096555</v>
      </c>
      <c r="AR2095">
        <f>1/(COUNT('Iter No Test'!$W$9:$W$5008)-1)+$AR$2094</f>
        <v>0.4184836967393637</v>
      </c>
    </row>
    <row r="2096" spans="22:44">
      <c r="V2096">
        <v>2088</v>
      </c>
      <c r="W2096">
        <v>318.67810800025973</v>
      </c>
      <c r="AQ2096">
        <f>SMALL('Iter No Test'!$W$9:$W$5008,2094)</f>
        <v>192.76426494992037</v>
      </c>
      <c r="AR2096">
        <f>1/(COUNT('Iter No Test'!$W$9:$W$5008)-1)+$AR$2095</f>
        <v>0.41868373674736531</v>
      </c>
    </row>
    <row r="2097" spans="22:44">
      <c r="V2097">
        <v>2089</v>
      </c>
      <c r="W2097">
        <v>213.50987624990796</v>
      </c>
      <c r="AQ2097">
        <f>SMALL('Iter No Test'!$W$9:$W$5008,2095)</f>
        <v>192.76669574693597</v>
      </c>
      <c r="AR2097">
        <f>1/(COUNT('Iter No Test'!$W$9:$W$5008)-1)+$AR$2096</f>
        <v>0.41888377675536692</v>
      </c>
    </row>
    <row r="2098" spans="22:44">
      <c r="V2098">
        <v>2090</v>
      </c>
      <c r="W2098">
        <v>205.48838153646543</v>
      </c>
      <c r="AQ2098">
        <f>SMALL('Iter No Test'!$W$9:$W$5008,2096)</f>
        <v>192.79389112840471</v>
      </c>
      <c r="AR2098">
        <f>1/(COUNT('Iter No Test'!$W$9:$W$5008)-1)+$AR$2097</f>
        <v>0.41908381676336853</v>
      </c>
    </row>
    <row r="2099" spans="22:44">
      <c r="V2099">
        <v>2091</v>
      </c>
      <c r="W2099">
        <v>94.256729991995456</v>
      </c>
      <c r="AQ2099">
        <f>SMALL('Iter No Test'!$W$9:$W$5008,2097)</f>
        <v>192.92278781763895</v>
      </c>
      <c r="AR2099">
        <f>1/(COUNT('Iter No Test'!$W$9:$W$5008)-1)+$AR$2098</f>
        <v>0.41928385677137014</v>
      </c>
    </row>
    <row r="2100" spans="22:44">
      <c r="V2100">
        <v>2092</v>
      </c>
      <c r="W2100">
        <v>174.96142283429703</v>
      </c>
      <c r="AQ2100">
        <f>SMALL('Iter No Test'!$W$9:$W$5008,2098)</f>
        <v>192.95549807446025</v>
      </c>
      <c r="AR2100">
        <f>1/(COUNT('Iter No Test'!$W$9:$W$5008)-1)+$AR$2099</f>
        <v>0.41948389677937176</v>
      </c>
    </row>
    <row r="2101" spans="22:44">
      <c r="V2101">
        <v>2093</v>
      </c>
      <c r="W2101">
        <v>240.11779921758583</v>
      </c>
      <c r="AQ2101">
        <f>SMALL('Iter No Test'!$W$9:$W$5008,2099)</f>
        <v>193.02759427195014</v>
      </c>
      <c r="AR2101">
        <f>1/(COUNT('Iter No Test'!$W$9:$W$5008)-1)+$AR$2100</f>
        <v>0.41968393678737337</v>
      </c>
    </row>
    <row r="2102" spans="22:44">
      <c r="V2102">
        <v>2094</v>
      </c>
      <c r="W2102">
        <v>250.01218702521686</v>
      </c>
      <c r="AQ2102">
        <f>SMALL('Iter No Test'!$W$9:$W$5008,2100)</f>
        <v>193.06374604188576</v>
      </c>
      <c r="AR2102">
        <f>1/(COUNT('Iter No Test'!$W$9:$W$5008)-1)+$AR$2101</f>
        <v>0.41988397679537498</v>
      </c>
    </row>
    <row r="2103" spans="22:44">
      <c r="V2103">
        <v>2095</v>
      </c>
      <c r="W2103">
        <v>258.15478289890098</v>
      </c>
      <c r="AQ2103">
        <f>SMALL('Iter No Test'!$W$9:$W$5008,2101)</f>
        <v>193.07478132095014</v>
      </c>
      <c r="AR2103">
        <f>1/(COUNT('Iter No Test'!$W$9:$W$5008)-1)+$AR$2102</f>
        <v>0.42008401680337659</v>
      </c>
    </row>
    <row r="2104" spans="22:44">
      <c r="V2104">
        <v>2096</v>
      </c>
      <c r="W2104">
        <v>292.06668636073312</v>
      </c>
      <c r="AQ2104">
        <f>SMALL('Iter No Test'!$W$9:$W$5008,2102)</f>
        <v>193.09316447661462</v>
      </c>
      <c r="AR2104">
        <f>1/(COUNT('Iter No Test'!$W$9:$W$5008)-1)+$AR$2103</f>
        <v>0.4202840568113782</v>
      </c>
    </row>
    <row r="2105" spans="22:44">
      <c r="V2105">
        <v>2097</v>
      </c>
      <c r="W2105">
        <v>186.70624212756525</v>
      </c>
      <c r="AQ2105">
        <f>SMALL('Iter No Test'!$W$9:$W$5008,2103)</f>
        <v>193.09367670937388</v>
      </c>
      <c r="AR2105">
        <f>1/(COUNT('Iter No Test'!$W$9:$W$5008)-1)+$AR$2104</f>
        <v>0.42048409681937982</v>
      </c>
    </row>
    <row r="2106" spans="22:44">
      <c r="V2106">
        <v>2098</v>
      </c>
      <c r="W2106">
        <v>287.77602165192366</v>
      </c>
      <c r="AQ2106">
        <f>SMALL('Iter No Test'!$W$9:$W$5008,2104)</f>
        <v>193.17973979954951</v>
      </c>
      <c r="AR2106">
        <f>1/(COUNT('Iter No Test'!$W$9:$W$5008)-1)+$AR$2105</f>
        <v>0.42068413682738143</v>
      </c>
    </row>
    <row r="2107" spans="22:44">
      <c r="V2107">
        <v>2099</v>
      </c>
      <c r="W2107">
        <v>398.76777057567392</v>
      </c>
      <c r="AQ2107">
        <f>SMALL('Iter No Test'!$W$9:$W$5008,2105)</f>
        <v>193.18045632649731</v>
      </c>
      <c r="AR2107">
        <f>1/(COUNT('Iter No Test'!$W$9:$W$5008)-1)+$AR$2106</f>
        <v>0.42088417683538304</v>
      </c>
    </row>
    <row r="2108" spans="22:44">
      <c r="V2108">
        <v>2100</v>
      </c>
      <c r="W2108">
        <v>120.75584876823225</v>
      </c>
      <c r="AQ2108">
        <f>SMALL('Iter No Test'!$W$9:$W$5008,2106)</f>
        <v>193.20256625916525</v>
      </c>
      <c r="AR2108">
        <f>1/(COUNT('Iter No Test'!$W$9:$W$5008)-1)+$AR$2107</f>
        <v>0.42108421684338465</v>
      </c>
    </row>
    <row r="2109" spans="22:44">
      <c r="V2109">
        <v>2101</v>
      </c>
      <c r="W2109">
        <v>379.51070876831216</v>
      </c>
      <c r="AQ2109">
        <f>SMALL('Iter No Test'!$W$9:$W$5008,2107)</f>
        <v>193.20849901234521</v>
      </c>
      <c r="AR2109">
        <f>1/(COUNT('Iter No Test'!$W$9:$W$5008)-1)+$AR$2108</f>
        <v>0.42128425685138626</v>
      </c>
    </row>
    <row r="2110" spans="22:44">
      <c r="V2110">
        <v>2102</v>
      </c>
      <c r="W2110">
        <v>283.22348778346611</v>
      </c>
      <c r="AQ2110">
        <f>SMALL('Iter No Test'!$W$9:$W$5008,2108)</f>
        <v>193.38702675655941</v>
      </c>
      <c r="AR2110">
        <f>1/(COUNT('Iter No Test'!$W$9:$W$5008)-1)+$AR$2109</f>
        <v>0.42148429685938787</v>
      </c>
    </row>
    <row r="2111" spans="22:44">
      <c r="V2111">
        <v>2103</v>
      </c>
      <c r="W2111">
        <v>199.42566903802629</v>
      </c>
      <c r="AQ2111">
        <f>SMALL('Iter No Test'!$W$9:$W$5008,2109)</f>
        <v>193.38719180176054</v>
      </c>
      <c r="AR2111">
        <f>1/(COUNT('Iter No Test'!$W$9:$W$5008)-1)+$AR$2110</f>
        <v>0.42168433686738949</v>
      </c>
    </row>
    <row r="2112" spans="22:44">
      <c r="V2112">
        <v>2104</v>
      </c>
      <c r="W2112">
        <v>176.26326624090419</v>
      </c>
      <c r="AQ2112">
        <f>SMALL('Iter No Test'!$W$9:$W$5008,2110)</f>
        <v>193.3908107973412</v>
      </c>
      <c r="AR2112">
        <f>1/(COUNT('Iter No Test'!$W$9:$W$5008)-1)+$AR$2111</f>
        <v>0.4218843768753911</v>
      </c>
    </row>
    <row r="2113" spans="22:44">
      <c r="V2113">
        <v>2105</v>
      </c>
      <c r="W2113">
        <v>293.52669597812138</v>
      </c>
      <c r="AQ2113">
        <f>SMALL('Iter No Test'!$W$9:$W$5008,2111)</f>
        <v>193.42769088449654</v>
      </c>
      <c r="AR2113">
        <f>1/(COUNT('Iter No Test'!$W$9:$W$5008)-1)+$AR$2112</f>
        <v>0.42208441688339271</v>
      </c>
    </row>
    <row r="2114" spans="22:44">
      <c r="V2114">
        <v>2106</v>
      </c>
      <c r="W2114">
        <v>156.51533451004337</v>
      </c>
      <c r="AQ2114">
        <f>SMALL('Iter No Test'!$W$9:$W$5008,2112)</f>
        <v>193.45826688342487</v>
      </c>
      <c r="AR2114">
        <f>1/(COUNT('Iter No Test'!$W$9:$W$5008)-1)+$AR$2113</f>
        <v>0.42228445689139432</v>
      </c>
    </row>
    <row r="2115" spans="22:44">
      <c r="V2115">
        <v>2107</v>
      </c>
      <c r="W2115">
        <v>271.28993572936372</v>
      </c>
      <c r="AQ2115">
        <f>SMALL('Iter No Test'!$W$9:$W$5008,2113)</f>
        <v>193.50659071077052</v>
      </c>
      <c r="AR2115">
        <f>1/(COUNT('Iter No Test'!$W$9:$W$5008)-1)+$AR$2114</f>
        <v>0.42248449689939593</v>
      </c>
    </row>
    <row r="2116" spans="22:44">
      <c r="V2116">
        <v>2108</v>
      </c>
      <c r="W2116">
        <v>153.83746135390427</v>
      </c>
      <c r="AQ2116">
        <f>SMALL('Iter No Test'!$W$9:$W$5008,2114)</f>
        <v>193.55394773913758</v>
      </c>
      <c r="AR2116">
        <f>1/(COUNT('Iter No Test'!$W$9:$W$5008)-1)+$AR$2115</f>
        <v>0.42268453690739755</v>
      </c>
    </row>
    <row r="2117" spans="22:44">
      <c r="V2117">
        <v>2109</v>
      </c>
      <c r="W2117">
        <v>238.68117935224558</v>
      </c>
      <c r="AQ2117">
        <f>SMALL('Iter No Test'!$W$9:$W$5008,2115)</f>
        <v>193.63717575273736</v>
      </c>
      <c r="AR2117">
        <f>1/(COUNT('Iter No Test'!$W$9:$W$5008)-1)+$AR$2116</f>
        <v>0.42288457691539916</v>
      </c>
    </row>
    <row r="2118" spans="22:44">
      <c r="V2118">
        <v>2110</v>
      </c>
      <c r="W2118">
        <v>99.387355548243193</v>
      </c>
      <c r="AQ2118">
        <f>SMALL('Iter No Test'!$W$9:$W$5008,2116)</f>
        <v>193.67914685724224</v>
      </c>
      <c r="AR2118">
        <f>1/(COUNT('Iter No Test'!$W$9:$W$5008)-1)+$AR$2117</f>
        <v>0.42308461692340077</v>
      </c>
    </row>
    <row r="2119" spans="22:44">
      <c r="V2119">
        <v>2111</v>
      </c>
      <c r="W2119">
        <v>266.7715169849227</v>
      </c>
      <c r="AQ2119">
        <f>SMALL('Iter No Test'!$W$9:$W$5008,2117)</f>
        <v>193.72922804438613</v>
      </c>
      <c r="AR2119">
        <f>1/(COUNT('Iter No Test'!$W$9:$W$5008)-1)+$AR$2118</f>
        <v>0.42328465693140238</v>
      </c>
    </row>
    <row r="2120" spans="22:44">
      <c r="V2120">
        <v>2112</v>
      </c>
      <c r="W2120">
        <v>176.9892870737107</v>
      </c>
      <c r="AQ2120">
        <f>SMALL('Iter No Test'!$W$9:$W$5008,2118)</f>
        <v>193.7846165353584</v>
      </c>
      <c r="AR2120">
        <f>1/(COUNT('Iter No Test'!$W$9:$W$5008)-1)+$AR$2119</f>
        <v>0.42348469693940399</v>
      </c>
    </row>
    <row r="2121" spans="22:44">
      <c r="V2121">
        <v>2113</v>
      </c>
      <c r="W2121">
        <v>230.99320199218775</v>
      </c>
      <c r="AQ2121">
        <f>SMALL('Iter No Test'!$W$9:$W$5008,2119)</f>
        <v>193.78958515219119</v>
      </c>
      <c r="AR2121">
        <f>1/(COUNT('Iter No Test'!$W$9:$W$5008)-1)+$AR$2120</f>
        <v>0.4236847369474056</v>
      </c>
    </row>
    <row r="2122" spans="22:44">
      <c r="V2122">
        <v>2114</v>
      </c>
      <c r="W2122">
        <v>133.22214382470861</v>
      </c>
      <c r="AQ2122">
        <f>SMALL('Iter No Test'!$W$9:$W$5008,2120)</f>
        <v>193.80527874998415</v>
      </c>
      <c r="AR2122">
        <f>1/(COUNT('Iter No Test'!$W$9:$W$5008)-1)+$AR$2121</f>
        <v>0.42388477695540722</v>
      </c>
    </row>
    <row r="2123" spans="22:44">
      <c r="V2123">
        <v>2115</v>
      </c>
      <c r="W2123">
        <v>176.43186151921452</v>
      </c>
      <c r="AQ2123">
        <f>SMALL('Iter No Test'!$W$9:$W$5008,2121)</f>
        <v>193.85248902506032</v>
      </c>
      <c r="AR2123">
        <f>1/(COUNT('Iter No Test'!$W$9:$W$5008)-1)+$AR$2122</f>
        <v>0.42408481696340883</v>
      </c>
    </row>
    <row r="2124" spans="22:44">
      <c r="V2124">
        <v>2116</v>
      </c>
      <c r="W2124">
        <v>178.70264914460284</v>
      </c>
      <c r="AQ2124">
        <f>SMALL('Iter No Test'!$W$9:$W$5008,2122)</f>
        <v>193.89445092766618</v>
      </c>
      <c r="AR2124">
        <f>1/(COUNT('Iter No Test'!$W$9:$W$5008)-1)+$AR$2123</f>
        <v>0.42428485697141044</v>
      </c>
    </row>
    <row r="2125" spans="22:44">
      <c r="V2125">
        <v>2117</v>
      </c>
      <c r="W2125">
        <v>275.93901240738023</v>
      </c>
      <c r="AQ2125">
        <f>SMALL('Iter No Test'!$W$9:$W$5008,2123)</f>
        <v>193.91028498941853</v>
      </c>
      <c r="AR2125">
        <f>1/(COUNT('Iter No Test'!$W$9:$W$5008)-1)+$AR$2124</f>
        <v>0.42448489697941205</v>
      </c>
    </row>
    <row r="2126" spans="22:44">
      <c r="V2126">
        <v>2118</v>
      </c>
      <c r="W2126">
        <v>205.14819742210781</v>
      </c>
      <c r="AQ2126">
        <f>SMALL('Iter No Test'!$W$9:$W$5008,2124)</f>
        <v>193.94009002119896</v>
      </c>
      <c r="AR2126">
        <f>1/(COUNT('Iter No Test'!$W$9:$W$5008)-1)+$AR$2125</f>
        <v>0.42468493698741366</v>
      </c>
    </row>
    <row r="2127" spans="22:44">
      <c r="V2127">
        <v>2119</v>
      </c>
      <c r="W2127">
        <v>201.87100578162475</v>
      </c>
      <c r="AQ2127">
        <f>SMALL('Iter No Test'!$W$9:$W$5008,2125)</f>
        <v>193.94879465022035</v>
      </c>
      <c r="AR2127">
        <f>1/(COUNT('Iter No Test'!$W$9:$W$5008)-1)+$AR$2126</f>
        <v>0.42488497699541528</v>
      </c>
    </row>
    <row r="2128" spans="22:44">
      <c r="V2128">
        <v>2120</v>
      </c>
      <c r="W2128">
        <v>65.009687958173402</v>
      </c>
      <c r="AQ2128">
        <f>SMALL('Iter No Test'!$W$9:$W$5008,2126)</f>
        <v>193.95897764164681</v>
      </c>
      <c r="AR2128">
        <f>1/(COUNT('Iter No Test'!$W$9:$W$5008)-1)+$AR$2127</f>
        <v>0.42508501700341689</v>
      </c>
    </row>
    <row r="2129" spans="22:44">
      <c r="V2129">
        <v>2121</v>
      </c>
      <c r="W2129">
        <v>213.46695061860811</v>
      </c>
      <c r="AQ2129">
        <f>SMALL('Iter No Test'!$W$9:$W$5008,2127)</f>
        <v>194.03003377763713</v>
      </c>
      <c r="AR2129">
        <f>1/(COUNT('Iter No Test'!$W$9:$W$5008)-1)+$AR$2128</f>
        <v>0.4252850570114185</v>
      </c>
    </row>
    <row r="2130" spans="22:44">
      <c r="V2130">
        <v>2122</v>
      </c>
      <c r="W2130">
        <v>307.34045445649269</v>
      </c>
      <c r="AQ2130">
        <f>SMALL('Iter No Test'!$W$9:$W$5008,2128)</f>
        <v>194.04879226893001</v>
      </c>
      <c r="AR2130">
        <f>1/(COUNT('Iter No Test'!$W$9:$W$5008)-1)+$AR$2129</f>
        <v>0.42548509701942011</v>
      </c>
    </row>
    <row r="2131" spans="22:44">
      <c r="V2131">
        <v>2123</v>
      </c>
      <c r="W2131">
        <v>94.60036423661424</v>
      </c>
      <c r="AQ2131">
        <f>SMALL('Iter No Test'!$W$9:$W$5008,2129)</f>
        <v>194.06841067314568</v>
      </c>
      <c r="AR2131">
        <f>1/(COUNT('Iter No Test'!$W$9:$W$5008)-1)+$AR$2130</f>
        <v>0.42568513702742172</v>
      </c>
    </row>
    <row r="2132" spans="22:44">
      <c r="V2132">
        <v>2124</v>
      </c>
      <c r="W2132">
        <v>93.498468089170004</v>
      </c>
      <c r="AQ2132">
        <f>SMALL('Iter No Test'!$W$9:$W$5008,2130)</f>
        <v>194.07597563699477</v>
      </c>
      <c r="AR2132">
        <f>1/(COUNT('Iter No Test'!$W$9:$W$5008)-1)+$AR$2131</f>
        <v>0.42588517703542333</v>
      </c>
    </row>
    <row r="2133" spans="22:44">
      <c r="V2133">
        <v>2125</v>
      </c>
      <c r="W2133">
        <v>398.25773238252305</v>
      </c>
      <c r="AQ2133">
        <f>SMALL('Iter No Test'!$W$9:$W$5008,2131)</f>
        <v>194.12102120127594</v>
      </c>
      <c r="AR2133">
        <f>1/(COUNT('Iter No Test'!$W$9:$W$5008)-1)+$AR$2132</f>
        <v>0.42608521704342495</v>
      </c>
    </row>
    <row r="2134" spans="22:44">
      <c r="V2134">
        <v>2126</v>
      </c>
      <c r="W2134">
        <v>257.94844315917834</v>
      </c>
      <c r="AQ2134">
        <f>SMALL('Iter No Test'!$W$9:$W$5008,2132)</f>
        <v>194.12448896762621</v>
      </c>
      <c r="AR2134">
        <f>1/(COUNT('Iter No Test'!$W$9:$W$5008)-1)+$AR$2133</f>
        <v>0.42628525705142656</v>
      </c>
    </row>
    <row r="2135" spans="22:44">
      <c r="V2135">
        <v>2127</v>
      </c>
      <c r="W2135">
        <v>366.88671703660685</v>
      </c>
      <c r="AQ2135">
        <f>SMALL('Iter No Test'!$W$9:$W$5008,2133)</f>
        <v>194.13529827737946</v>
      </c>
      <c r="AR2135">
        <f>1/(COUNT('Iter No Test'!$W$9:$W$5008)-1)+$AR$2134</f>
        <v>0.42648529705942817</v>
      </c>
    </row>
    <row r="2136" spans="22:44">
      <c r="V2136">
        <v>2128</v>
      </c>
      <c r="W2136">
        <v>385.83674468135894</v>
      </c>
      <c r="AQ2136">
        <f>SMALL('Iter No Test'!$W$9:$W$5008,2134)</f>
        <v>194.1527346190579</v>
      </c>
      <c r="AR2136">
        <f>1/(COUNT('Iter No Test'!$W$9:$W$5008)-1)+$AR$2135</f>
        <v>0.42668533706742978</v>
      </c>
    </row>
    <row r="2137" spans="22:44">
      <c r="V2137">
        <v>2129</v>
      </c>
      <c r="W2137">
        <v>328.59655343828206</v>
      </c>
      <c r="AQ2137">
        <f>SMALL('Iter No Test'!$W$9:$W$5008,2135)</f>
        <v>194.25980052731336</v>
      </c>
      <c r="AR2137">
        <f>1/(COUNT('Iter No Test'!$W$9:$W$5008)-1)+$AR$2136</f>
        <v>0.42688537707543139</v>
      </c>
    </row>
    <row r="2138" spans="22:44">
      <c r="V2138">
        <v>2130</v>
      </c>
      <c r="W2138">
        <v>295.02898445315594</v>
      </c>
      <c r="AQ2138">
        <f>SMALL('Iter No Test'!$W$9:$W$5008,2136)</f>
        <v>194.2728844415802</v>
      </c>
      <c r="AR2138">
        <f>1/(COUNT('Iter No Test'!$W$9:$W$5008)-1)+$AR$2137</f>
        <v>0.42708541708343301</v>
      </c>
    </row>
    <row r="2139" spans="22:44">
      <c r="V2139">
        <v>2131</v>
      </c>
      <c r="W2139">
        <v>164.02460740013245</v>
      </c>
      <c r="AQ2139">
        <f>SMALL('Iter No Test'!$W$9:$W$5008,2137)</f>
        <v>194.3334309466164</v>
      </c>
      <c r="AR2139">
        <f>1/(COUNT('Iter No Test'!$W$9:$W$5008)-1)+$AR$2138</f>
        <v>0.42728545709143462</v>
      </c>
    </row>
    <row r="2140" spans="22:44">
      <c r="V2140">
        <v>2132</v>
      </c>
      <c r="W2140">
        <v>330.48667093768279</v>
      </c>
      <c r="AQ2140">
        <f>SMALL('Iter No Test'!$W$9:$W$5008,2138)</f>
        <v>194.39172981472876</v>
      </c>
      <c r="AR2140">
        <f>1/(COUNT('Iter No Test'!$W$9:$W$5008)-1)+$AR$2139</f>
        <v>0.42748549709943623</v>
      </c>
    </row>
    <row r="2141" spans="22:44">
      <c r="V2141">
        <v>2133</v>
      </c>
      <c r="W2141">
        <v>87.199511797538733</v>
      </c>
      <c r="AQ2141">
        <f>SMALL('Iter No Test'!$W$9:$W$5008,2139)</f>
        <v>194.41419423472655</v>
      </c>
      <c r="AR2141">
        <f>1/(COUNT('Iter No Test'!$W$9:$W$5008)-1)+$AR$2140</f>
        <v>0.42768553710743784</v>
      </c>
    </row>
    <row r="2142" spans="22:44">
      <c r="V2142">
        <v>2134</v>
      </c>
      <c r="W2142">
        <v>234.64254831877122</v>
      </c>
      <c r="AQ2142">
        <f>SMALL('Iter No Test'!$W$9:$W$5008,2140)</f>
        <v>194.41932234737084</v>
      </c>
      <c r="AR2142">
        <f>1/(COUNT('Iter No Test'!$W$9:$W$5008)-1)+$AR$2141</f>
        <v>0.42788557711543945</v>
      </c>
    </row>
    <row r="2143" spans="22:44">
      <c r="V2143">
        <v>2135</v>
      </c>
      <c r="W2143">
        <v>68.076246048754484</v>
      </c>
      <c r="AQ2143">
        <f>SMALL('Iter No Test'!$W$9:$W$5008,2141)</f>
        <v>194.41990072190842</v>
      </c>
      <c r="AR2143">
        <f>1/(COUNT('Iter No Test'!$W$9:$W$5008)-1)+$AR$2142</f>
        <v>0.42808561712344106</v>
      </c>
    </row>
    <row r="2144" spans="22:44">
      <c r="V2144">
        <v>2136</v>
      </c>
      <c r="W2144">
        <v>370.22898444033325</v>
      </c>
      <c r="AQ2144">
        <f>SMALL('Iter No Test'!$W$9:$W$5008,2142)</f>
        <v>194.45862051326657</v>
      </c>
      <c r="AR2144">
        <f>1/(COUNT('Iter No Test'!$W$9:$W$5008)-1)+$AR$2143</f>
        <v>0.42828565713144268</v>
      </c>
    </row>
    <row r="2145" spans="22:44">
      <c r="V2145">
        <v>2137</v>
      </c>
      <c r="W2145">
        <v>185.75185880954649</v>
      </c>
      <c r="AQ2145">
        <f>SMALL('Iter No Test'!$W$9:$W$5008,2143)</f>
        <v>194.55584060203466</v>
      </c>
      <c r="AR2145">
        <f>1/(COUNT('Iter No Test'!$W$9:$W$5008)-1)+$AR$2144</f>
        <v>0.42848569713944429</v>
      </c>
    </row>
    <row r="2146" spans="22:44">
      <c r="V2146">
        <v>2138</v>
      </c>
      <c r="W2146">
        <v>291.35967200546281</v>
      </c>
      <c r="AQ2146">
        <f>SMALL('Iter No Test'!$W$9:$W$5008,2144)</f>
        <v>194.58171600630223</v>
      </c>
      <c r="AR2146">
        <f>1/(COUNT('Iter No Test'!$W$9:$W$5008)-1)+$AR$2145</f>
        <v>0.4286857371474459</v>
      </c>
    </row>
    <row r="2147" spans="22:44">
      <c r="V2147">
        <v>2139</v>
      </c>
      <c r="W2147">
        <v>220.48183988400643</v>
      </c>
      <c r="AQ2147">
        <f>SMALL('Iter No Test'!$W$9:$W$5008,2145)</f>
        <v>194.61868529356013</v>
      </c>
      <c r="AR2147">
        <f>1/(COUNT('Iter No Test'!$W$9:$W$5008)-1)+$AR$2146</f>
        <v>0.42888577715544751</v>
      </c>
    </row>
    <row r="2148" spans="22:44">
      <c r="V2148">
        <v>2140</v>
      </c>
      <c r="W2148">
        <v>228.37350975581813</v>
      </c>
      <c r="AQ2148">
        <f>SMALL('Iter No Test'!$W$9:$W$5008,2146)</f>
        <v>194.75741205484752</v>
      </c>
      <c r="AR2148">
        <f>1/(COUNT('Iter No Test'!$W$9:$W$5008)-1)+$AR$2147</f>
        <v>0.42908581716344912</v>
      </c>
    </row>
    <row r="2149" spans="22:44">
      <c r="V2149">
        <v>2141</v>
      </c>
      <c r="W2149">
        <v>250.33468508107916</v>
      </c>
      <c r="AQ2149">
        <f>SMALL('Iter No Test'!$W$9:$W$5008,2147)</f>
        <v>194.76866096634831</v>
      </c>
      <c r="AR2149">
        <f>1/(COUNT('Iter No Test'!$W$9:$W$5008)-1)+$AR$2148</f>
        <v>0.42928585717145074</v>
      </c>
    </row>
    <row r="2150" spans="22:44">
      <c r="V2150">
        <v>2142</v>
      </c>
      <c r="W2150">
        <v>21.584185751102424</v>
      </c>
      <c r="AQ2150">
        <f>SMALL('Iter No Test'!$W$9:$W$5008,2148)</f>
        <v>194.77697314813184</v>
      </c>
      <c r="AR2150">
        <f>1/(COUNT('Iter No Test'!$W$9:$W$5008)-1)+$AR$2149</f>
        <v>0.42948589717945235</v>
      </c>
    </row>
    <row r="2151" spans="22:44">
      <c r="V2151">
        <v>2143</v>
      </c>
      <c r="W2151">
        <v>317.82204038597058</v>
      </c>
      <c r="AQ2151">
        <f>SMALL('Iter No Test'!$W$9:$W$5008,2149)</f>
        <v>194.82159543127747</v>
      </c>
      <c r="AR2151">
        <f>1/(COUNT('Iter No Test'!$W$9:$W$5008)-1)+$AR$2150</f>
        <v>0.42968593718745396</v>
      </c>
    </row>
    <row r="2152" spans="22:44">
      <c r="V2152">
        <v>2144</v>
      </c>
      <c r="W2152">
        <v>391.91487022117451</v>
      </c>
      <c r="AQ2152">
        <f>SMALL('Iter No Test'!$W$9:$W$5008,2150)</f>
        <v>194.8886614811542</v>
      </c>
      <c r="AR2152">
        <f>1/(COUNT('Iter No Test'!$W$9:$W$5008)-1)+$AR$2151</f>
        <v>0.42988597719545557</v>
      </c>
    </row>
    <row r="2153" spans="22:44">
      <c r="V2153">
        <v>2145</v>
      </c>
      <c r="W2153">
        <v>193.02759427195014</v>
      </c>
      <c r="AQ2153">
        <f>SMALL('Iter No Test'!$W$9:$W$5008,2151)</f>
        <v>194.89077169757184</v>
      </c>
      <c r="AR2153">
        <f>1/(COUNT('Iter No Test'!$W$9:$W$5008)-1)+$AR$2152</f>
        <v>0.43008601720345718</v>
      </c>
    </row>
    <row r="2154" spans="22:44">
      <c r="V2154">
        <v>2146</v>
      </c>
      <c r="W2154">
        <v>71.696704937980854</v>
      </c>
      <c r="AQ2154">
        <f>SMALL('Iter No Test'!$W$9:$W$5008,2152)</f>
        <v>194.93859838977201</v>
      </c>
      <c r="AR2154">
        <f>1/(COUNT('Iter No Test'!$W$9:$W$5008)-1)+$AR$2153</f>
        <v>0.43028605721145879</v>
      </c>
    </row>
    <row r="2155" spans="22:44">
      <c r="V2155">
        <v>2147</v>
      </c>
      <c r="W2155">
        <v>198.94455264864649</v>
      </c>
      <c r="AQ2155">
        <f>SMALL('Iter No Test'!$W$9:$W$5008,2153)</f>
        <v>194.97822290318373</v>
      </c>
      <c r="AR2155">
        <f>1/(COUNT('Iter No Test'!$W$9:$W$5008)-1)+$AR$2154</f>
        <v>0.43048609721946041</v>
      </c>
    </row>
    <row r="2156" spans="22:44">
      <c r="V2156">
        <v>2148</v>
      </c>
      <c r="W2156">
        <v>223.38053527646645</v>
      </c>
      <c r="AQ2156">
        <f>SMALL('Iter No Test'!$W$9:$W$5008,2154)</f>
        <v>194.9953015994667</v>
      </c>
      <c r="AR2156">
        <f>1/(COUNT('Iter No Test'!$W$9:$W$5008)-1)+$AR$2155</f>
        <v>0.43068613722746202</v>
      </c>
    </row>
    <row r="2157" spans="22:44">
      <c r="V2157">
        <v>2149</v>
      </c>
      <c r="W2157">
        <v>73.733633387192114</v>
      </c>
      <c r="AQ2157">
        <f>SMALL('Iter No Test'!$W$9:$W$5008,2155)</f>
        <v>195.00106094931468</v>
      </c>
      <c r="AR2157">
        <f>1/(COUNT('Iter No Test'!$W$9:$W$5008)-1)+$AR$2156</f>
        <v>0.43088617723546363</v>
      </c>
    </row>
    <row r="2158" spans="22:44">
      <c r="V2158">
        <v>2150</v>
      </c>
      <c r="W2158">
        <v>234.36465630639614</v>
      </c>
      <c r="AQ2158">
        <f>SMALL('Iter No Test'!$W$9:$W$5008,2156)</f>
        <v>195.03796825247923</v>
      </c>
      <c r="AR2158">
        <f>1/(COUNT('Iter No Test'!$W$9:$W$5008)-1)+$AR$2157</f>
        <v>0.43108621724346524</v>
      </c>
    </row>
    <row r="2159" spans="22:44">
      <c r="V2159">
        <v>2151</v>
      </c>
      <c r="W2159">
        <v>63.009782961633704</v>
      </c>
      <c r="AQ2159">
        <f>SMALL('Iter No Test'!$W$9:$W$5008,2157)</f>
        <v>195.1603929933288</v>
      </c>
      <c r="AR2159">
        <f>1/(COUNT('Iter No Test'!$W$9:$W$5008)-1)+$AR$2158</f>
        <v>0.43128625725146685</v>
      </c>
    </row>
    <row r="2160" spans="22:44">
      <c r="V2160">
        <v>2152</v>
      </c>
      <c r="W2160">
        <v>248.7588597864135</v>
      </c>
      <c r="AQ2160">
        <f>SMALL('Iter No Test'!$W$9:$W$5008,2158)</f>
        <v>195.23298088016537</v>
      </c>
      <c r="AR2160">
        <f>1/(COUNT('Iter No Test'!$W$9:$W$5008)-1)+$AR$2159</f>
        <v>0.43148629725946847</v>
      </c>
    </row>
    <row r="2161" spans="22:44">
      <c r="V2161">
        <v>2153</v>
      </c>
      <c r="W2161">
        <v>218.89612458581968</v>
      </c>
      <c r="AQ2161">
        <f>SMALL('Iter No Test'!$W$9:$W$5008,2159)</f>
        <v>195.25160567004735</v>
      </c>
      <c r="AR2161">
        <f>1/(COUNT('Iter No Test'!$W$9:$W$5008)-1)+$AR$2160</f>
        <v>0.43168633726747008</v>
      </c>
    </row>
    <row r="2162" spans="22:44">
      <c r="V2162">
        <v>2154</v>
      </c>
      <c r="W2162">
        <v>264.35450783310455</v>
      </c>
      <c r="AQ2162">
        <f>SMALL('Iter No Test'!$W$9:$W$5008,2160)</f>
        <v>195.33127108586967</v>
      </c>
      <c r="AR2162">
        <f>1/(COUNT('Iter No Test'!$W$9:$W$5008)-1)+$AR$2161</f>
        <v>0.43188637727547169</v>
      </c>
    </row>
    <row r="2163" spans="22:44">
      <c r="V2163">
        <v>2155</v>
      </c>
      <c r="W2163">
        <v>181.71219373891395</v>
      </c>
      <c r="AQ2163">
        <f>SMALL('Iter No Test'!$W$9:$W$5008,2161)</f>
        <v>195.33734372793805</v>
      </c>
      <c r="AR2163">
        <f>1/(COUNT('Iter No Test'!$W$9:$W$5008)-1)+$AR$2162</f>
        <v>0.4320864172834733</v>
      </c>
    </row>
    <row r="2164" spans="22:44">
      <c r="V2164">
        <v>2156</v>
      </c>
      <c r="W2164">
        <v>150.80093520234936</v>
      </c>
      <c r="AQ2164">
        <f>SMALL('Iter No Test'!$W$9:$W$5008,2162)</f>
        <v>195.37065233355526</v>
      </c>
      <c r="AR2164">
        <f>1/(COUNT('Iter No Test'!$W$9:$W$5008)-1)+$AR$2163</f>
        <v>0.43228645729147491</v>
      </c>
    </row>
    <row r="2165" spans="22:44">
      <c r="V2165">
        <v>2157</v>
      </c>
      <c r="W2165">
        <v>133.69485671998632</v>
      </c>
      <c r="AQ2165">
        <f>SMALL('Iter No Test'!$W$9:$W$5008,2163)</f>
        <v>195.52322418372307</v>
      </c>
      <c r="AR2165">
        <f>1/(COUNT('Iter No Test'!$W$9:$W$5008)-1)+$AR$2164</f>
        <v>0.43248649729947652</v>
      </c>
    </row>
    <row r="2166" spans="22:44">
      <c r="V2166">
        <v>2158</v>
      </c>
      <c r="W2166">
        <v>496.93422954856123</v>
      </c>
      <c r="AQ2166">
        <f>SMALL('Iter No Test'!$W$9:$W$5008,2164)</f>
        <v>195.52346889323823</v>
      </c>
      <c r="AR2166">
        <f>1/(COUNT('Iter No Test'!$W$9:$W$5008)-1)+$AR$2165</f>
        <v>0.43268653730747814</v>
      </c>
    </row>
    <row r="2167" spans="22:44">
      <c r="V2167">
        <v>2159</v>
      </c>
      <c r="W2167">
        <v>150.20576096732717</v>
      </c>
      <c r="AQ2167">
        <f>SMALL('Iter No Test'!$W$9:$W$5008,2165)</f>
        <v>195.53051488566993</v>
      </c>
      <c r="AR2167">
        <f>1/(COUNT('Iter No Test'!$W$9:$W$5008)-1)+$AR$2166</f>
        <v>0.43288657731547975</v>
      </c>
    </row>
    <row r="2168" spans="22:44">
      <c r="V2168">
        <v>2160</v>
      </c>
      <c r="W2168">
        <v>196.86035663951836</v>
      </c>
      <c r="AQ2168">
        <f>SMALL('Iter No Test'!$W$9:$W$5008,2166)</f>
        <v>195.54140060041894</v>
      </c>
      <c r="AR2168">
        <f>1/(COUNT('Iter No Test'!$W$9:$W$5008)-1)+$AR$2167</f>
        <v>0.43308661732348136</v>
      </c>
    </row>
    <row r="2169" spans="22:44">
      <c r="V2169">
        <v>2161</v>
      </c>
      <c r="W2169">
        <v>264.15693609881282</v>
      </c>
      <c r="AQ2169">
        <f>SMALL('Iter No Test'!$W$9:$W$5008,2167)</f>
        <v>195.57752251119524</v>
      </c>
      <c r="AR2169">
        <f>1/(COUNT('Iter No Test'!$W$9:$W$5008)-1)+$AR$2168</f>
        <v>0.43328665733148297</v>
      </c>
    </row>
    <row r="2170" spans="22:44">
      <c r="V2170">
        <v>2162</v>
      </c>
      <c r="W2170">
        <v>181.05584949007402</v>
      </c>
      <c r="AQ2170">
        <f>SMALL('Iter No Test'!$W$9:$W$5008,2168)</f>
        <v>195.60659990863104</v>
      </c>
      <c r="AR2170">
        <f>1/(COUNT('Iter No Test'!$W$9:$W$5008)-1)+$AR$2169</f>
        <v>0.43348669733948458</v>
      </c>
    </row>
    <row r="2171" spans="22:44">
      <c r="V2171">
        <v>2163</v>
      </c>
      <c r="W2171">
        <v>167.4192755305682</v>
      </c>
      <c r="AQ2171">
        <f>SMALL('Iter No Test'!$W$9:$W$5008,2169)</f>
        <v>195.64181055339463</v>
      </c>
      <c r="AR2171">
        <f>1/(COUNT('Iter No Test'!$W$9:$W$5008)-1)+$AR$2170</f>
        <v>0.4336867373474862</v>
      </c>
    </row>
    <row r="2172" spans="22:44">
      <c r="V2172">
        <v>2164</v>
      </c>
      <c r="W2172">
        <v>120.18481666682999</v>
      </c>
      <c r="AQ2172">
        <f>SMALL('Iter No Test'!$W$9:$W$5008,2170)</f>
        <v>195.6936809424017</v>
      </c>
      <c r="AR2172">
        <f>1/(COUNT('Iter No Test'!$W$9:$W$5008)-1)+$AR$2171</f>
        <v>0.43388677735548781</v>
      </c>
    </row>
    <row r="2173" spans="22:44">
      <c r="V2173">
        <v>2165</v>
      </c>
      <c r="W2173">
        <v>189.31885773601596</v>
      </c>
      <c r="AQ2173">
        <f>SMALL('Iter No Test'!$W$9:$W$5008,2171)</f>
        <v>195.7093335092988</v>
      </c>
      <c r="AR2173">
        <f>1/(COUNT('Iter No Test'!$W$9:$W$5008)-1)+$AR$2172</f>
        <v>0.43408681736348942</v>
      </c>
    </row>
    <row r="2174" spans="22:44">
      <c r="V2174">
        <v>2166</v>
      </c>
      <c r="W2174">
        <v>180.86470730857945</v>
      </c>
      <c r="AQ2174">
        <f>SMALL('Iter No Test'!$W$9:$W$5008,2172)</f>
        <v>195.72501031418503</v>
      </c>
      <c r="AR2174">
        <f>1/(COUNT('Iter No Test'!$W$9:$W$5008)-1)+$AR$2173</f>
        <v>0.43428685737149103</v>
      </c>
    </row>
    <row r="2175" spans="22:44">
      <c r="V2175">
        <v>2167</v>
      </c>
      <c r="W2175">
        <v>254.07916839896603</v>
      </c>
      <c r="AQ2175">
        <f>SMALL('Iter No Test'!$W$9:$W$5008,2173)</f>
        <v>195.76424141227636</v>
      </c>
      <c r="AR2175">
        <f>1/(COUNT('Iter No Test'!$W$9:$W$5008)-1)+$AR$2174</f>
        <v>0.43448689737949264</v>
      </c>
    </row>
    <row r="2176" spans="22:44">
      <c r="V2176">
        <v>2168</v>
      </c>
      <c r="W2176">
        <v>281.78549826487586</v>
      </c>
      <c r="AQ2176">
        <f>SMALL('Iter No Test'!$W$9:$W$5008,2174)</f>
        <v>195.79424442559085</v>
      </c>
      <c r="AR2176">
        <f>1/(COUNT('Iter No Test'!$W$9:$W$5008)-1)+$AR$2175</f>
        <v>0.43468693738749425</v>
      </c>
    </row>
    <row r="2177" spans="22:44">
      <c r="V2177">
        <v>2169</v>
      </c>
      <c r="W2177">
        <v>144.00874418034249</v>
      </c>
      <c r="AQ2177">
        <f>SMALL('Iter No Test'!$W$9:$W$5008,2175)</f>
        <v>195.82927424537581</v>
      </c>
      <c r="AR2177">
        <f>1/(COUNT('Iter No Test'!$W$9:$W$5008)-1)+$AR$2176</f>
        <v>0.43488697739549587</v>
      </c>
    </row>
    <row r="2178" spans="22:44">
      <c r="V2178">
        <v>2170</v>
      </c>
      <c r="W2178">
        <v>175.45470615940079</v>
      </c>
      <c r="AQ2178">
        <f>SMALL('Iter No Test'!$W$9:$W$5008,2176)</f>
        <v>195.94649163332858</v>
      </c>
      <c r="AR2178">
        <f>1/(COUNT('Iter No Test'!$W$9:$W$5008)-1)+$AR$2177</f>
        <v>0.43508701740349748</v>
      </c>
    </row>
    <row r="2179" spans="22:44">
      <c r="V2179">
        <v>2171</v>
      </c>
      <c r="W2179">
        <v>374.21929180163079</v>
      </c>
      <c r="AQ2179">
        <f>SMALL('Iter No Test'!$W$9:$W$5008,2177)</f>
        <v>195.992113371454</v>
      </c>
      <c r="AR2179">
        <f>1/(COUNT('Iter No Test'!$W$9:$W$5008)-1)+$AR$2178</f>
        <v>0.43528705741149909</v>
      </c>
    </row>
    <row r="2180" spans="22:44">
      <c r="V2180">
        <v>2172</v>
      </c>
      <c r="W2180">
        <v>188.79159581724301</v>
      </c>
      <c r="AQ2180">
        <f>SMALL('Iter No Test'!$W$9:$W$5008,2178)</f>
        <v>195.99662285864571</v>
      </c>
      <c r="AR2180">
        <f>1/(COUNT('Iter No Test'!$W$9:$W$5008)-1)+$AR$2179</f>
        <v>0.4354870974195007</v>
      </c>
    </row>
    <row r="2181" spans="22:44">
      <c r="V2181">
        <v>2173</v>
      </c>
      <c r="W2181">
        <v>50.726965695049458</v>
      </c>
      <c r="AQ2181">
        <f>SMALL('Iter No Test'!$W$9:$W$5008,2179)</f>
        <v>196.04877996715925</v>
      </c>
      <c r="AR2181">
        <f>1/(COUNT('Iter No Test'!$W$9:$W$5008)-1)+$AR$2180</f>
        <v>0.43568713742750231</v>
      </c>
    </row>
    <row r="2182" spans="22:44">
      <c r="V2182">
        <v>2174</v>
      </c>
      <c r="W2182">
        <v>230.48490420238406</v>
      </c>
      <c r="AQ2182">
        <f>SMALL('Iter No Test'!$W$9:$W$5008,2180)</f>
        <v>196.1228436606639</v>
      </c>
      <c r="AR2182">
        <f>1/(COUNT('Iter No Test'!$W$9:$W$5008)-1)+$AR$2181</f>
        <v>0.43588717743550393</v>
      </c>
    </row>
    <row r="2183" spans="22:44">
      <c r="V2183">
        <v>2175</v>
      </c>
      <c r="W2183">
        <v>177.85709854689924</v>
      </c>
      <c r="AQ2183">
        <f>SMALL('Iter No Test'!$W$9:$W$5008,2181)</f>
        <v>196.21981484419825</v>
      </c>
      <c r="AR2183">
        <f>1/(COUNT('Iter No Test'!$W$9:$W$5008)-1)+$AR$2182</f>
        <v>0.43608721744350554</v>
      </c>
    </row>
    <row r="2184" spans="22:44">
      <c r="V2184">
        <v>2176</v>
      </c>
      <c r="W2184">
        <v>289.65981911243364</v>
      </c>
      <c r="AQ2184">
        <f>SMALL('Iter No Test'!$W$9:$W$5008,2182)</f>
        <v>196.22921626451216</v>
      </c>
      <c r="AR2184">
        <f>1/(COUNT('Iter No Test'!$W$9:$W$5008)-1)+$AR$2183</f>
        <v>0.43628725745150715</v>
      </c>
    </row>
    <row r="2185" spans="22:44">
      <c r="V2185">
        <v>2177</v>
      </c>
      <c r="W2185">
        <v>396.51706352566839</v>
      </c>
      <c r="AQ2185">
        <f>SMALL('Iter No Test'!$W$9:$W$5008,2183)</f>
        <v>196.2705192208868</v>
      </c>
      <c r="AR2185">
        <f>1/(COUNT('Iter No Test'!$W$9:$W$5008)-1)+$AR$2184</f>
        <v>0.43648729745950876</v>
      </c>
    </row>
    <row r="2186" spans="22:44">
      <c r="V2186">
        <v>2178</v>
      </c>
      <c r="W2186">
        <v>245.80996725190315</v>
      </c>
      <c r="AQ2186">
        <f>SMALL('Iter No Test'!$W$9:$W$5008,2184)</f>
        <v>196.37825169024708</v>
      </c>
      <c r="AR2186">
        <f>1/(COUNT('Iter No Test'!$W$9:$W$5008)-1)+$AR$2185</f>
        <v>0.43668733746751037</v>
      </c>
    </row>
    <row r="2187" spans="22:44">
      <c r="V2187">
        <v>2179</v>
      </c>
      <c r="W2187">
        <v>295.94500587286279</v>
      </c>
      <c r="AQ2187">
        <f>SMALL('Iter No Test'!$W$9:$W$5008,2185)</f>
        <v>196.38390977184105</v>
      </c>
      <c r="AR2187">
        <f>1/(COUNT('Iter No Test'!$W$9:$W$5008)-1)+$AR$2186</f>
        <v>0.43688737747551198</v>
      </c>
    </row>
    <row r="2188" spans="22:44">
      <c r="V2188">
        <v>2180</v>
      </c>
      <c r="W2188">
        <v>221.98824891306867</v>
      </c>
      <c r="AQ2188">
        <f>SMALL('Iter No Test'!$W$9:$W$5008,2186)</f>
        <v>196.38510939640136</v>
      </c>
      <c r="AR2188">
        <f>1/(COUNT('Iter No Test'!$W$9:$W$5008)-1)+$AR$2187</f>
        <v>0.4370874174835136</v>
      </c>
    </row>
    <row r="2189" spans="22:44">
      <c r="V2189">
        <v>2181</v>
      </c>
      <c r="W2189">
        <v>43.360385033288551</v>
      </c>
      <c r="AQ2189">
        <f>SMALL('Iter No Test'!$W$9:$W$5008,2187)</f>
        <v>196.39952438306281</v>
      </c>
      <c r="AR2189">
        <f>1/(COUNT('Iter No Test'!$W$9:$W$5008)-1)+$AR$2188</f>
        <v>0.43728745749151521</v>
      </c>
    </row>
    <row r="2190" spans="22:44">
      <c r="V2190">
        <v>2182</v>
      </c>
      <c r="W2190">
        <v>228.15859874947273</v>
      </c>
      <c r="AQ2190">
        <f>SMALL('Iter No Test'!$W$9:$W$5008,2188)</f>
        <v>196.4667642113846</v>
      </c>
      <c r="AR2190">
        <f>1/(COUNT('Iter No Test'!$W$9:$W$5008)-1)+$AR$2189</f>
        <v>0.43748749749951682</v>
      </c>
    </row>
    <row r="2191" spans="22:44">
      <c r="V2191">
        <v>2183</v>
      </c>
      <c r="W2191">
        <v>233.96506292099676</v>
      </c>
      <c r="AQ2191">
        <f>SMALL('Iter No Test'!$W$9:$W$5008,2189)</f>
        <v>196.49822222888554</v>
      </c>
      <c r="AR2191">
        <f>1/(COUNT('Iter No Test'!$W$9:$W$5008)-1)+$AR$2190</f>
        <v>0.43768753750751843</v>
      </c>
    </row>
    <row r="2192" spans="22:44">
      <c r="V2192">
        <v>2184</v>
      </c>
      <c r="W2192">
        <v>124.16827971209878</v>
      </c>
      <c r="AQ2192">
        <f>SMALL('Iter No Test'!$W$9:$W$5008,2190)</f>
        <v>196.53008569275454</v>
      </c>
      <c r="AR2192">
        <f>1/(COUNT('Iter No Test'!$W$9:$W$5008)-1)+$AR$2191</f>
        <v>0.43788757751552004</v>
      </c>
    </row>
    <row r="2193" spans="22:44">
      <c r="V2193">
        <v>2185</v>
      </c>
      <c r="W2193">
        <v>185.43523012250787</v>
      </c>
      <c r="AQ2193">
        <f>SMALL('Iter No Test'!$W$9:$W$5008,2191)</f>
        <v>196.54636312398191</v>
      </c>
      <c r="AR2193">
        <f>1/(COUNT('Iter No Test'!$W$9:$W$5008)-1)+$AR$2192</f>
        <v>0.43808761752352166</v>
      </c>
    </row>
    <row r="2194" spans="22:44">
      <c r="V2194">
        <v>2186</v>
      </c>
      <c r="W2194">
        <v>250.56111785583215</v>
      </c>
      <c r="AQ2194">
        <f>SMALL('Iter No Test'!$W$9:$W$5008,2192)</f>
        <v>196.57075616009854</v>
      </c>
      <c r="AR2194">
        <f>1/(COUNT('Iter No Test'!$W$9:$W$5008)-1)+$AR$2193</f>
        <v>0.43828765753152327</v>
      </c>
    </row>
    <row r="2195" spans="22:44">
      <c r="V2195">
        <v>2187</v>
      </c>
      <c r="W2195">
        <v>119.81478421490127</v>
      </c>
      <c r="AQ2195">
        <f>SMALL('Iter No Test'!$W$9:$W$5008,2193)</f>
        <v>196.60958426342862</v>
      </c>
      <c r="AR2195">
        <f>1/(COUNT('Iter No Test'!$W$9:$W$5008)-1)+$AR$2194</f>
        <v>0.43848769753952488</v>
      </c>
    </row>
    <row r="2196" spans="22:44">
      <c r="V2196">
        <v>2188</v>
      </c>
      <c r="W2196">
        <v>71.146062658950797</v>
      </c>
      <c r="AQ2196">
        <f>SMALL('Iter No Test'!$W$9:$W$5008,2194)</f>
        <v>196.6275074696554</v>
      </c>
      <c r="AR2196">
        <f>1/(COUNT('Iter No Test'!$W$9:$W$5008)-1)+$AR$2195</f>
        <v>0.43868773754752649</v>
      </c>
    </row>
    <row r="2197" spans="22:44">
      <c r="V2197">
        <v>2189</v>
      </c>
      <c r="W2197">
        <v>180.93586829707743</v>
      </c>
      <c r="AQ2197">
        <f>SMALL('Iter No Test'!$W$9:$W$5008,2195)</f>
        <v>196.69727438814587</v>
      </c>
      <c r="AR2197">
        <f>1/(COUNT('Iter No Test'!$W$9:$W$5008)-1)+$AR$2196</f>
        <v>0.4388877775555281</v>
      </c>
    </row>
    <row r="2198" spans="22:44">
      <c r="V2198">
        <v>2190</v>
      </c>
      <c r="W2198">
        <v>201.5331038184847</v>
      </c>
      <c r="AQ2198">
        <f>SMALL('Iter No Test'!$W$9:$W$5008,2196)</f>
        <v>196.70167291372715</v>
      </c>
      <c r="AR2198">
        <f>1/(COUNT('Iter No Test'!$W$9:$W$5008)-1)+$AR$2197</f>
        <v>0.43908781756352971</v>
      </c>
    </row>
    <row r="2199" spans="22:44">
      <c r="V2199">
        <v>2191</v>
      </c>
      <c r="W2199">
        <v>166.82676835734799</v>
      </c>
      <c r="AQ2199">
        <f>SMALL('Iter No Test'!$W$9:$W$5008,2197)</f>
        <v>196.71159316360584</v>
      </c>
      <c r="AR2199">
        <f>1/(COUNT('Iter No Test'!$W$9:$W$5008)-1)+$AR$2198</f>
        <v>0.43928785757153133</v>
      </c>
    </row>
    <row r="2200" spans="22:44">
      <c r="V2200">
        <v>2192</v>
      </c>
      <c r="W2200">
        <v>251.64770496060058</v>
      </c>
      <c r="AQ2200">
        <f>SMALL('Iter No Test'!$W$9:$W$5008,2198)</f>
        <v>196.73579794084441</v>
      </c>
      <c r="AR2200">
        <f>1/(COUNT('Iter No Test'!$W$9:$W$5008)-1)+$AR$2199</f>
        <v>0.43948789757953294</v>
      </c>
    </row>
    <row r="2201" spans="22:44">
      <c r="V2201">
        <v>2193</v>
      </c>
      <c r="W2201">
        <v>160.56282064110434</v>
      </c>
      <c r="AQ2201">
        <f>SMALL('Iter No Test'!$W$9:$W$5008,2199)</f>
        <v>196.86035663951836</v>
      </c>
      <c r="AR2201">
        <f>1/(COUNT('Iter No Test'!$W$9:$W$5008)-1)+$AR$2200</f>
        <v>0.43968793758753455</v>
      </c>
    </row>
    <row r="2202" spans="22:44">
      <c r="V2202">
        <v>2194</v>
      </c>
      <c r="W2202">
        <v>166.02853002679973</v>
      </c>
      <c r="AQ2202">
        <f>SMALL('Iter No Test'!$W$9:$W$5008,2200)</f>
        <v>196.90804797333655</v>
      </c>
      <c r="AR2202">
        <f>1/(COUNT('Iter No Test'!$W$9:$W$5008)-1)+$AR$2201</f>
        <v>0.43988797759553616</v>
      </c>
    </row>
    <row r="2203" spans="22:44">
      <c r="V2203">
        <v>2195</v>
      </c>
      <c r="W2203">
        <v>203.77806365422276</v>
      </c>
      <c r="AQ2203">
        <f>SMALL('Iter No Test'!$W$9:$W$5008,2201)</f>
        <v>196.92814048257324</v>
      </c>
      <c r="AR2203">
        <f>1/(COUNT('Iter No Test'!$W$9:$W$5008)-1)+$AR$2202</f>
        <v>0.44008801760353777</v>
      </c>
    </row>
    <row r="2204" spans="22:44">
      <c r="V2204">
        <v>2196</v>
      </c>
      <c r="W2204">
        <v>102.95117020016791</v>
      </c>
      <c r="AQ2204">
        <f>SMALL('Iter No Test'!$W$9:$W$5008,2202)</f>
        <v>196.94754864821246</v>
      </c>
      <c r="AR2204">
        <f>1/(COUNT('Iter No Test'!$W$9:$W$5008)-1)+$AR$2203</f>
        <v>0.44028805761153939</v>
      </c>
    </row>
    <row r="2205" spans="22:44">
      <c r="V2205">
        <v>2197</v>
      </c>
      <c r="W2205">
        <v>56.229697810325575</v>
      </c>
      <c r="AQ2205">
        <f>SMALL('Iter No Test'!$W$9:$W$5008,2203)</f>
        <v>196.96033441048186</v>
      </c>
      <c r="AR2205">
        <f>1/(COUNT('Iter No Test'!$W$9:$W$5008)-1)+$AR$2204</f>
        <v>0.440488097619541</v>
      </c>
    </row>
    <row r="2206" spans="22:44">
      <c r="V2206">
        <v>2198</v>
      </c>
      <c r="W2206">
        <v>210.1574377040387</v>
      </c>
      <c r="AQ2206">
        <f>SMALL('Iter No Test'!$W$9:$W$5008,2204)</f>
        <v>196.98734113665392</v>
      </c>
      <c r="AR2206">
        <f>1/(COUNT('Iter No Test'!$W$9:$W$5008)-1)+$AR$2205</f>
        <v>0.44068813762754261</v>
      </c>
    </row>
    <row r="2207" spans="22:44">
      <c r="V2207">
        <v>2199</v>
      </c>
      <c r="W2207">
        <v>215.17973202143466</v>
      </c>
      <c r="AQ2207">
        <f>SMALL('Iter No Test'!$W$9:$W$5008,2205)</f>
        <v>197.0223078809943</v>
      </c>
      <c r="AR2207">
        <f>1/(COUNT('Iter No Test'!$W$9:$W$5008)-1)+$AR$2206</f>
        <v>0.44088817763554422</v>
      </c>
    </row>
    <row r="2208" spans="22:44">
      <c r="V2208">
        <v>2200</v>
      </c>
      <c r="W2208">
        <v>304.87725646602598</v>
      </c>
      <c r="AQ2208">
        <f>SMALL('Iter No Test'!$W$9:$W$5008,2206)</f>
        <v>197.08801825152142</v>
      </c>
      <c r="AR2208">
        <f>1/(COUNT('Iter No Test'!$W$9:$W$5008)-1)+$AR$2207</f>
        <v>0.44108821764354583</v>
      </c>
    </row>
    <row r="2209" spans="22:44">
      <c r="V2209">
        <v>2201</v>
      </c>
      <c r="W2209">
        <v>200.85146444608156</v>
      </c>
      <c r="AQ2209">
        <f>SMALL('Iter No Test'!$W$9:$W$5008,2207)</f>
        <v>197.10136749487228</v>
      </c>
      <c r="AR2209">
        <f>1/(COUNT('Iter No Test'!$W$9:$W$5008)-1)+$AR$2208</f>
        <v>0.44128825765154744</v>
      </c>
    </row>
    <row r="2210" spans="22:44">
      <c r="V2210">
        <v>2202</v>
      </c>
      <c r="W2210">
        <v>227.35424887234666</v>
      </c>
      <c r="AQ2210">
        <f>SMALL('Iter No Test'!$W$9:$W$5008,2208)</f>
        <v>197.12394374276215</v>
      </c>
      <c r="AR2210">
        <f>1/(COUNT('Iter No Test'!$W$9:$W$5008)-1)+$AR$2209</f>
        <v>0.44148829765954906</v>
      </c>
    </row>
    <row r="2211" spans="22:44">
      <c r="V2211">
        <v>2203</v>
      </c>
      <c r="W2211">
        <v>266.11947682909522</v>
      </c>
      <c r="AQ2211">
        <f>SMALL('Iter No Test'!$W$9:$W$5008,2209)</f>
        <v>197.13535906373983</v>
      </c>
      <c r="AR2211">
        <f>1/(COUNT('Iter No Test'!$W$9:$W$5008)-1)+$AR$2210</f>
        <v>0.44168833766755067</v>
      </c>
    </row>
    <row r="2212" spans="22:44">
      <c r="V2212">
        <v>2204</v>
      </c>
      <c r="W2212">
        <v>229.39708167544683</v>
      </c>
      <c r="AQ2212">
        <f>SMALL('Iter No Test'!$W$9:$W$5008,2210)</f>
        <v>197.14509560128869</v>
      </c>
      <c r="AR2212">
        <f>1/(COUNT('Iter No Test'!$W$9:$W$5008)-1)+$AR$2211</f>
        <v>0.44188837767555228</v>
      </c>
    </row>
    <row r="2213" spans="22:44">
      <c r="V2213">
        <v>2205</v>
      </c>
      <c r="W2213">
        <v>159.72139334164592</v>
      </c>
      <c r="AQ2213">
        <f>SMALL('Iter No Test'!$W$9:$W$5008,2211)</f>
        <v>197.18886179590044</v>
      </c>
      <c r="AR2213">
        <f>1/(COUNT('Iter No Test'!$W$9:$W$5008)-1)+$AR$2212</f>
        <v>0.44208841768355389</v>
      </c>
    </row>
    <row r="2214" spans="22:44">
      <c r="V2214">
        <v>2206</v>
      </c>
      <c r="W2214">
        <v>183.66456398575673</v>
      </c>
      <c r="AQ2214">
        <f>SMALL('Iter No Test'!$W$9:$W$5008,2212)</f>
        <v>197.24808062547078</v>
      </c>
      <c r="AR2214">
        <f>1/(COUNT('Iter No Test'!$W$9:$W$5008)-1)+$AR$2213</f>
        <v>0.4422884576915555</v>
      </c>
    </row>
    <row r="2215" spans="22:44">
      <c r="V2215">
        <v>2207</v>
      </c>
      <c r="W2215">
        <v>167.54877692702695</v>
      </c>
      <c r="AQ2215">
        <f>SMALL('Iter No Test'!$W$9:$W$5008,2213)</f>
        <v>197.27899817953914</v>
      </c>
      <c r="AR2215">
        <f>1/(COUNT('Iter No Test'!$W$9:$W$5008)-1)+$AR$2214</f>
        <v>0.44248849769955712</v>
      </c>
    </row>
    <row r="2216" spans="22:44">
      <c r="V2216">
        <v>2208</v>
      </c>
      <c r="W2216">
        <v>199.91006392652668</v>
      </c>
      <c r="AQ2216">
        <f>SMALL('Iter No Test'!$W$9:$W$5008,2214)</f>
        <v>197.32939196388477</v>
      </c>
      <c r="AR2216">
        <f>1/(COUNT('Iter No Test'!$W$9:$W$5008)-1)+$AR$2215</f>
        <v>0.44268853770755873</v>
      </c>
    </row>
    <row r="2217" spans="22:44">
      <c r="V2217">
        <v>2209</v>
      </c>
      <c r="W2217">
        <v>116.80799287910399</v>
      </c>
      <c r="AQ2217">
        <f>SMALL('Iter No Test'!$W$9:$W$5008,2215)</f>
        <v>197.34069450358191</v>
      </c>
      <c r="AR2217">
        <f>1/(COUNT('Iter No Test'!$W$9:$W$5008)-1)+$AR$2216</f>
        <v>0.44288857771556034</v>
      </c>
    </row>
    <row r="2218" spans="22:44">
      <c r="V2218">
        <v>2210</v>
      </c>
      <c r="W2218">
        <v>230.32710533702556</v>
      </c>
      <c r="AQ2218">
        <f>SMALL('Iter No Test'!$W$9:$W$5008,2216)</f>
        <v>197.34152094028136</v>
      </c>
      <c r="AR2218">
        <f>1/(COUNT('Iter No Test'!$W$9:$W$5008)-1)+$AR$2217</f>
        <v>0.44308861772356195</v>
      </c>
    </row>
    <row r="2219" spans="22:44">
      <c r="V2219">
        <v>2211</v>
      </c>
      <c r="W2219">
        <v>339.77967439261352</v>
      </c>
      <c r="AQ2219">
        <f>SMALL('Iter No Test'!$W$9:$W$5008,2217)</f>
        <v>197.35470225121247</v>
      </c>
      <c r="AR2219">
        <f>1/(COUNT('Iter No Test'!$W$9:$W$5008)-1)+$AR$2218</f>
        <v>0.44328865773156356</v>
      </c>
    </row>
    <row r="2220" spans="22:44">
      <c r="V2220">
        <v>2212</v>
      </c>
      <c r="W2220">
        <v>191.12741595758308</v>
      </c>
      <c r="AQ2220">
        <f>SMALL('Iter No Test'!$W$9:$W$5008,2218)</f>
        <v>197.45233022840836</v>
      </c>
      <c r="AR2220">
        <f>1/(COUNT('Iter No Test'!$W$9:$W$5008)-1)+$AR$2219</f>
        <v>0.44348869773956517</v>
      </c>
    </row>
    <row r="2221" spans="22:44">
      <c r="V2221">
        <v>2213</v>
      </c>
      <c r="W2221">
        <v>193.09316447661462</v>
      </c>
      <c r="AQ2221">
        <f>SMALL('Iter No Test'!$W$9:$W$5008,2219)</f>
        <v>197.49239981878534</v>
      </c>
      <c r="AR2221">
        <f>1/(COUNT('Iter No Test'!$W$9:$W$5008)-1)+$AR$2220</f>
        <v>0.44368873774756679</v>
      </c>
    </row>
    <row r="2222" spans="22:44">
      <c r="V2222">
        <v>2214</v>
      </c>
      <c r="W2222">
        <v>82.955411503128829</v>
      </c>
      <c r="AQ2222">
        <f>SMALL('Iter No Test'!$W$9:$W$5008,2220)</f>
        <v>197.50894809017265</v>
      </c>
      <c r="AR2222">
        <f>1/(COUNT('Iter No Test'!$W$9:$W$5008)-1)+$AR$2221</f>
        <v>0.4438887777555684</v>
      </c>
    </row>
    <row r="2223" spans="22:44">
      <c r="V2223">
        <v>2215</v>
      </c>
      <c r="W2223">
        <v>280.0491284655435</v>
      </c>
      <c r="AQ2223">
        <f>SMALL('Iter No Test'!$W$9:$W$5008,2221)</f>
        <v>197.55673545755695</v>
      </c>
      <c r="AR2223">
        <f>1/(COUNT('Iter No Test'!$W$9:$W$5008)-1)+$AR$2222</f>
        <v>0.44408881776357001</v>
      </c>
    </row>
    <row r="2224" spans="22:44">
      <c r="V2224">
        <v>2216</v>
      </c>
      <c r="W2224">
        <v>223.8426871510635</v>
      </c>
      <c r="AQ2224">
        <f>SMALL('Iter No Test'!$W$9:$W$5008,2222)</f>
        <v>197.605484944956</v>
      </c>
      <c r="AR2224">
        <f>1/(COUNT('Iter No Test'!$W$9:$W$5008)-1)+$AR$2223</f>
        <v>0.44428885777157162</v>
      </c>
    </row>
    <row r="2225" spans="22:44">
      <c r="V2225">
        <v>2217</v>
      </c>
      <c r="W2225">
        <v>394.34544516323672</v>
      </c>
      <c r="AQ2225">
        <f>SMALL('Iter No Test'!$W$9:$W$5008,2223)</f>
        <v>197.64463081630049</v>
      </c>
      <c r="AR2225">
        <f>1/(COUNT('Iter No Test'!$W$9:$W$5008)-1)+$AR$2224</f>
        <v>0.44448889777957323</v>
      </c>
    </row>
    <row r="2226" spans="22:44">
      <c r="V2226">
        <v>2218</v>
      </c>
      <c r="W2226">
        <v>54.511872192669472</v>
      </c>
      <c r="AQ2226">
        <f>SMALL('Iter No Test'!$W$9:$W$5008,2224)</f>
        <v>197.69081561589996</v>
      </c>
      <c r="AR2226">
        <f>1/(COUNT('Iter No Test'!$W$9:$W$5008)-1)+$AR$2225</f>
        <v>0.44468893778757485</v>
      </c>
    </row>
    <row r="2227" spans="22:44">
      <c r="V2227">
        <v>2219</v>
      </c>
      <c r="W2227">
        <v>182.04637927049095</v>
      </c>
      <c r="AQ2227">
        <f>SMALL('Iter No Test'!$W$9:$W$5008,2225)</f>
        <v>197.71164760617199</v>
      </c>
      <c r="AR2227">
        <f>1/(COUNT('Iter No Test'!$W$9:$W$5008)-1)+$AR$2226</f>
        <v>0.44488897779557646</v>
      </c>
    </row>
    <row r="2228" spans="22:44">
      <c r="V2228">
        <v>2220</v>
      </c>
      <c r="W2228">
        <v>132.02968693843508</v>
      </c>
      <c r="AQ2228">
        <f>SMALL('Iter No Test'!$W$9:$W$5008,2226)</f>
        <v>197.74936992270872</v>
      </c>
      <c r="AR2228">
        <f>1/(COUNT('Iter No Test'!$W$9:$W$5008)-1)+$AR$2227</f>
        <v>0.44508901780357807</v>
      </c>
    </row>
    <row r="2229" spans="22:44">
      <c r="V2229">
        <v>2221</v>
      </c>
      <c r="W2229">
        <v>125.45827310222168</v>
      </c>
      <c r="AQ2229">
        <f>SMALL('Iter No Test'!$W$9:$W$5008,2227)</f>
        <v>197.77915082088796</v>
      </c>
      <c r="AR2229">
        <f>1/(COUNT('Iter No Test'!$W$9:$W$5008)-1)+$AR$2228</f>
        <v>0.44528905781157968</v>
      </c>
    </row>
    <row r="2230" spans="22:44">
      <c r="V2230">
        <v>2222</v>
      </c>
      <c r="W2230">
        <v>234.98502802330322</v>
      </c>
      <c r="AQ2230">
        <f>SMALL('Iter No Test'!$W$9:$W$5008,2228)</f>
        <v>197.82131482475586</v>
      </c>
      <c r="AR2230">
        <f>1/(COUNT('Iter No Test'!$W$9:$W$5008)-1)+$AR$2229</f>
        <v>0.44548909781958129</v>
      </c>
    </row>
    <row r="2231" spans="22:44">
      <c r="V2231">
        <v>2223</v>
      </c>
      <c r="W2231">
        <v>92.668148742409215</v>
      </c>
      <c r="AQ2231">
        <f>SMALL('Iter No Test'!$W$9:$W$5008,2229)</f>
        <v>197.9994021967814</v>
      </c>
      <c r="AR2231">
        <f>1/(COUNT('Iter No Test'!$W$9:$W$5008)-1)+$AR$2230</f>
        <v>0.4456891378275829</v>
      </c>
    </row>
    <row r="2232" spans="22:44">
      <c r="V2232">
        <v>2224</v>
      </c>
      <c r="W2232">
        <v>164.54831522922683</v>
      </c>
      <c r="AQ2232">
        <f>SMALL('Iter No Test'!$W$9:$W$5008,2230)</f>
        <v>198.00161736331322</v>
      </c>
      <c r="AR2232">
        <f>1/(COUNT('Iter No Test'!$W$9:$W$5008)-1)+$AR$2231</f>
        <v>0.44588917783558452</v>
      </c>
    </row>
    <row r="2233" spans="22:44">
      <c r="V2233">
        <v>2225</v>
      </c>
      <c r="W2233">
        <v>188.08592728369268</v>
      </c>
      <c r="AQ2233">
        <f>SMALL('Iter No Test'!$W$9:$W$5008,2231)</f>
        <v>198.01740323339649</v>
      </c>
      <c r="AR2233">
        <f>1/(COUNT('Iter No Test'!$W$9:$W$5008)-1)+$AR$2232</f>
        <v>0.44608921784358613</v>
      </c>
    </row>
    <row r="2234" spans="22:44">
      <c r="V2234">
        <v>2226</v>
      </c>
      <c r="W2234">
        <v>172.9661074294701</v>
      </c>
      <c r="AQ2234">
        <f>SMALL('Iter No Test'!$W$9:$W$5008,2232)</f>
        <v>198.04728334816105</v>
      </c>
      <c r="AR2234">
        <f>1/(COUNT('Iter No Test'!$W$9:$W$5008)-1)+$AR$2233</f>
        <v>0.44628925785158774</v>
      </c>
    </row>
    <row r="2235" spans="22:44">
      <c r="V2235">
        <v>2227</v>
      </c>
      <c r="W2235">
        <v>75.924754829103051</v>
      </c>
      <c r="AQ2235">
        <f>SMALL('Iter No Test'!$W$9:$W$5008,2233)</f>
        <v>198.05213372756063</v>
      </c>
      <c r="AR2235">
        <f>1/(COUNT('Iter No Test'!$W$9:$W$5008)-1)+$AR$2234</f>
        <v>0.44648929785958935</v>
      </c>
    </row>
    <row r="2236" spans="22:44">
      <c r="V2236">
        <v>2228</v>
      </c>
      <c r="W2236">
        <v>193.42769088449654</v>
      </c>
      <c r="AQ2236">
        <f>SMALL('Iter No Test'!$W$9:$W$5008,2234)</f>
        <v>198.08624404804985</v>
      </c>
      <c r="AR2236">
        <f>1/(COUNT('Iter No Test'!$W$9:$W$5008)-1)+$AR$2235</f>
        <v>0.44668933786759096</v>
      </c>
    </row>
    <row r="2237" spans="22:44">
      <c r="V2237">
        <v>2229</v>
      </c>
      <c r="W2237">
        <v>199.81771020022222</v>
      </c>
      <c r="AQ2237">
        <f>SMALL('Iter No Test'!$W$9:$W$5008,2235)</f>
        <v>198.10410183066685</v>
      </c>
      <c r="AR2237">
        <f>1/(COUNT('Iter No Test'!$W$9:$W$5008)-1)+$AR$2236</f>
        <v>0.44688937787559257</v>
      </c>
    </row>
    <row r="2238" spans="22:44">
      <c r="V2238">
        <v>2230</v>
      </c>
      <c r="W2238">
        <v>169.52792731706134</v>
      </c>
      <c r="AQ2238">
        <f>SMALL('Iter No Test'!$W$9:$W$5008,2236)</f>
        <v>198.13355616048077</v>
      </c>
      <c r="AR2238">
        <f>1/(COUNT('Iter No Test'!$W$9:$W$5008)-1)+$AR$2237</f>
        <v>0.44708941788359419</v>
      </c>
    </row>
    <row r="2239" spans="22:44">
      <c r="V2239">
        <v>2231</v>
      </c>
      <c r="W2239">
        <v>213.85366674349626</v>
      </c>
      <c r="AQ2239">
        <f>SMALL('Iter No Test'!$W$9:$W$5008,2237)</f>
        <v>198.18723323353163</v>
      </c>
      <c r="AR2239">
        <f>1/(COUNT('Iter No Test'!$W$9:$W$5008)-1)+$AR$2238</f>
        <v>0.4472894578915958</v>
      </c>
    </row>
    <row r="2240" spans="22:44">
      <c r="V2240">
        <v>2232</v>
      </c>
      <c r="W2240">
        <v>75.160967773552173</v>
      </c>
      <c r="AQ2240">
        <f>SMALL('Iter No Test'!$W$9:$W$5008,2238)</f>
        <v>198.21882259556634</v>
      </c>
      <c r="AR2240">
        <f>1/(COUNT('Iter No Test'!$W$9:$W$5008)-1)+$AR$2239</f>
        <v>0.44748949789959741</v>
      </c>
    </row>
    <row r="2241" spans="22:44">
      <c r="V2241">
        <v>2233</v>
      </c>
      <c r="W2241">
        <v>89.945872403816466</v>
      </c>
      <c r="AQ2241">
        <f>SMALL('Iter No Test'!$W$9:$W$5008,2239)</f>
        <v>198.22142489133986</v>
      </c>
      <c r="AR2241">
        <f>1/(COUNT('Iter No Test'!$W$9:$W$5008)-1)+$AR$2240</f>
        <v>0.44768953790759902</v>
      </c>
    </row>
    <row r="2242" spans="22:44">
      <c r="V2242">
        <v>2234</v>
      </c>
      <c r="W2242">
        <v>390.02946692053933</v>
      </c>
      <c r="AQ2242">
        <f>SMALL('Iter No Test'!$W$9:$W$5008,2240)</f>
        <v>198.33400790688682</v>
      </c>
      <c r="AR2242">
        <f>1/(COUNT('Iter No Test'!$W$9:$W$5008)-1)+$AR$2241</f>
        <v>0.44788957791560063</v>
      </c>
    </row>
    <row r="2243" spans="22:44">
      <c r="V2243">
        <v>2235</v>
      </c>
      <c r="W2243">
        <v>385.31954894032867</v>
      </c>
      <c r="AQ2243">
        <f>SMALL('Iter No Test'!$W$9:$W$5008,2241)</f>
        <v>198.33511929986099</v>
      </c>
      <c r="AR2243">
        <f>1/(COUNT('Iter No Test'!$W$9:$W$5008)-1)+$AR$2242</f>
        <v>0.44808961792360225</v>
      </c>
    </row>
    <row r="2244" spans="22:44">
      <c r="V2244">
        <v>2236</v>
      </c>
      <c r="W2244">
        <v>102.14931845818336</v>
      </c>
      <c r="AQ2244">
        <f>SMALL('Iter No Test'!$W$9:$W$5008,2242)</f>
        <v>198.36237321549382</v>
      </c>
      <c r="AR2244">
        <f>1/(COUNT('Iter No Test'!$W$9:$W$5008)-1)+$AR$2243</f>
        <v>0.44828965793160386</v>
      </c>
    </row>
    <row r="2245" spans="22:44">
      <c r="V2245">
        <v>2237</v>
      </c>
      <c r="W2245">
        <v>120.29576640135966</v>
      </c>
      <c r="AQ2245">
        <f>SMALL('Iter No Test'!$W$9:$W$5008,2243)</f>
        <v>198.41323970429494</v>
      </c>
      <c r="AR2245">
        <f>1/(COUNT('Iter No Test'!$W$9:$W$5008)-1)+$AR$2244</f>
        <v>0.44848969793960547</v>
      </c>
    </row>
    <row r="2246" spans="22:44">
      <c r="V2246">
        <v>2238</v>
      </c>
      <c r="W2246">
        <v>298.7033628884322</v>
      </c>
      <c r="AQ2246">
        <f>SMALL('Iter No Test'!$W$9:$W$5008,2244)</f>
        <v>198.45411757686929</v>
      </c>
      <c r="AR2246">
        <f>1/(COUNT('Iter No Test'!$W$9:$W$5008)-1)+$AR$2245</f>
        <v>0.44868973794760708</v>
      </c>
    </row>
    <row r="2247" spans="22:44">
      <c r="V2247">
        <v>2239</v>
      </c>
      <c r="W2247">
        <v>269.33307960765546</v>
      </c>
      <c r="AQ2247">
        <f>SMALL('Iter No Test'!$W$9:$W$5008,2245)</f>
        <v>198.62802341038497</v>
      </c>
      <c r="AR2247">
        <f>1/(COUNT('Iter No Test'!$W$9:$W$5008)-1)+$AR$2246</f>
        <v>0.44888977795560869</v>
      </c>
    </row>
    <row r="2248" spans="22:44">
      <c r="V2248">
        <v>2240</v>
      </c>
      <c r="W2248">
        <v>298.62278876639454</v>
      </c>
      <c r="AQ2248">
        <f>SMALL('Iter No Test'!$W$9:$W$5008,2246)</f>
        <v>198.66151876827976</v>
      </c>
      <c r="AR2248">
        <f>1/(COUNT('Iter No Test'!$W$9:$W$5008)-1)+$AR$2247</f>
        <v>0.4490898179636103</v>
      </c>
    </row>
    <row r="2249" spans="22:44">
      <c r="V2249">
        <v>2241</v>
      </c>
      <c r="W2249">
        <v>95.638547409827282</v>
      </c>
      <c r="AQ2249">
        <f>SMALL('Iter No Test'!$W$9:$W$5008,2247)</f>
        <v>198.77049163163727</v>
      </c>
      <c r="AR2249">
        <f>1/(COUNT('Iter No Test'!$W$9:$W$5008)-1)+$AR$2248</f>
        <v>0.44928985797161192</v>
      </c>
    </row>
    <row r="2250" spans="22:44">
      <c r="V2250">
        <v>2242</v>
      </c>
      <c r="W2250">
        <v>263.78213008087732</v>
      </c>
      <c r="AQ2250">
        <f>SMALL('Iter No Test'!$W$9:$W$5008,2248)</f>
        <v>198.78303900790991</v>
      </c>
      <c r="AR2250">
        <f>1/(COUNT('Iter No Test'!$W$9:$W$5008)-1)+$AR$2249</f>
        <v>0.44948989797961353</v>
      </c>
    </row>
    <row r="2251" spans="22:44">
      <c r="V2251">
        <v>2243</v>
      </c>
      <c r="W2251">
        <v>173.50557507298117</v>
      </c>
      <c r="AQ2251">
        <f>SMALL('Iter No Test'!$W$9:$W$5008,2249)</f>
        <v>198.87726095647761</v>
      </c>
      <c r="AR2251">
        <f>1/(COUNT('Iter No Test'!$W$9:$W$5008)-1)+$AR$2250</f>
        <v>0.44968993798761514</v>
      </c>
    </row>
    <row r="2252" spans="22:44">
      <c r="V2252">
        <v>2244</v>
      </c>
      <c r="W2252">
        <v>245.14748514777594</v>
      </c>
      <c r="AQ2252">
        <f>SMALL('Iter No Test'!$W$9:$W$5008,2250)</f>
        <v>198.87941640157248</v>
      </c>
      <c r="AR2252">
        <f>1/(COUNT('Iter No Test'!$W$9:$W$5008)-1)+$AR$2251</f>
        <v>0.44988997799561675</v>
      </c>
    </row>
    <row r="2253" spans="22:44">
      <c r="V2253">
        <v>2245</v>
      </c>
      <c r="W2253">
        <v>242.26426600798908</v>
      </c>
      <c r="AQ2253">
        <f>SMALL('Iter No Test'!$W$9:$W$5008,2251)</f>
        <v>198.8849398850553</v>
      </c>
      <c r="AR2253">
        <f>1/(COUNT('Iter No Test'!$W$9:$W$5008)-1)+$AR$2252</f>
        <v>0.45009001800361836</v>
      </c>
    </row>
    <row r="2254" spans="22:44">
      <c r="V2254">
        <v>2246</v>
      </c>
      <c r="W2254">
        <v>149.37996356755451</v>
      </c>
      <c r="AQ2254">
        <f>SMALL('Iter No Test'!$W$9:$W$5008,2252)</f>
        <v>198.90505072299797</v>
      </c>
      <c r="AR2254">
        <f>1/(COUNT('Iter No Test'!$W$9:$W$5008)-1)+$AR$2253</f>
        <v>0.45029005801161998</v>
      </c>
    </row>
    <row r="2255" spans="22:44">
      <c r="V2255">
        <v>2247</v>
      </c>
      <c r="W2255">
        <v>249.04847574404752</v>
      </c>
      <c r="AQ2255">
        <f>SMALL('Iter No Test'!$W$9:$W$5008,2253)</f>
        <v>198.94455264864649</v>
      </c>
      <c r="AR2255">
        <f>1/(COUNT('Iter No Test'!$W$9:$W$5008)-1)+$AR$2254</f>
        <v>0.45049009801962159</v>
      </c>
    </row>
    <row r="2256" spans="22:44">
      <c r="V2256">
        <v>2248</v>
      </c>
      <c r="W2256">
        <v>348.92554893536794</v>
      </c>
      <c r="AQ2256">
        <f>SMALL('Iter No Test'!$W$9:$W$5008,2254)</f>
        <v>198.99258737884296</v>
      </c>
      <c r="AR2256">
        <f>1/(COUNT('Iter No Test'!$W$9:$W$5008)-1)+$AR$2255</f>
        <v>0.4506901380276232</v>
      </c>
    </row>
    <row r="2257" spans="22:44">
      <c r="V2257">
        <v>2249</v>
      </c>
      <c r="W2257">
        <v>276.72594133863043</v>
      </c>
      <c r="AQ2257">
        <f>SMALL('Iter No Test'!$W$9:$W$5008,2255)</f>
        <v>199.00595556844337</v>
      </c>
      <c r="AR2257">
        <f>1/(COUNT('Iter No Test'!$W$9:$W$5008)-1)+$AR$2256</f>
        <v>0.45089017803562481</v>
      </c>
    </row>
    <row r="2258" spans="22:44">
      <c r="V2258">
        <v>2250</v>
      </c>
      <c r="W2258">
        <v>310.47663871834283</v>
      </c>
      <c r="AQ2258">
        <f>SMALL('Iter No Test'!$W$9:$W$5008,2256)</f>
        <v>199.03865872172543</v>
      </c>
      <c r="AR2258">
        <f>1/(COUNT('Iter No Test'!$W$9:$W$5008)-1)+$AR$2257</f>
        <v>0.45109021804362642</v>
      </c>
    </row>
    <row r="2259" spans="22:44">
      <c r="V2259">
        <v>2251</v>
      </c>
      <c r="W2259">
        <v>141.55700030650027</v>
      </c>
      <c r="AQ2259">
        <f>SMALL('Iter No Test'!$W$9:$W$5008,2257)</f>
        <v>199.06074539273402</v>
      </c>
      <c r="AR2259">
        <f>1/(COUNT('Iter No Test'!$W$9:$W$5008)-1)+$AR$2258</f>
        <v>0.45129025805162803</v>
      </c>
    </row>
    <row r="2260" spans="22:44">
      <c r="V2260">
        <v>2252</v>
      </c>
      <c r="W2260">
        <v>332.48799179236062</v>
      </c>
      <c r="AQ2260">
        <f>SMALL('Iter No Test'!$W$9:$W$5008,2258)</f>
        <v>199.13583322728573</v>
      </c>
      <c r="AR2260">
        <f>1/(COUNT('Iter No Test'!$W$9:$W$5008)-1)+$AR$2259</f>
        <v>0.45149029805962965</v>
      </c>
    </row>
    <row r="2261" spans="22:44">
      <c r="V2261">
        <v>2253</v>
      </c>
      <c r="W2261">
        <v>418.18778136357389</v>
      </c>
      <c r="AQ2261">
        <f>SMALL('Iter No Test'!$W$9:$W$5008,2259)</f>
        <v>199.13837869391236</v>
      </c>
      <c r="AR2261">
        <f>1/(COUNT('Iter No Test'!$W$9:$W$5008)-1)+$AR$2260</f>
        <v>0.45169033806763126</v>
      </c>
    </row>
    <row r="2262" spans="22:44">
      <c r="V2262">
        <v>2254</v>
      </c>
      <c r="W2262">
        <v>141.0083654994155</v>
      </c>
      <c r="AQ2262">
        <f>SMALL('Iter No Test'!$W$9:$W$5008,2260)</f>
        <v>199.18347702943649</v>
      </c>
      <c r="AR2262">
        <f>1/(COUNT('Iter No Test'!$W$9:$W$5008)-1)+$AR$2261</f>
        <v>0.45189037807563287</v>
      </c>
    </row>
    <row r="2263" spans="22:44">
      <c r="V2263">
        <v>2255</v>
      </c>
      <c r="W2263">
        <v>308.94833208364076</v>
      </c>
      <c r="AQ2263">
        <f>SMALL('Iter No Test'!$W$9:$W$5008,2261)</f>
        <v>199.26072525063142</v>
      </c>
      <c r="AR2263">
        <f>1/(COUNT('Iter No Test'!$W$9:$W$5008)-1)+$AR$2262</f>
        <v>0.45209041808363448</v>
      </c>
    </row>
    <row r="2264" spans="22:44">
      <c r="V2264">
        <v>2256</v>
      </c>
      <c r="W2264">
        <v>266.75629400961941</v>
      </c>
      <c r="AQ2264">
        <f>SMALL('Iter No Test'!$W$9:$W$5008,2262)</f>
        <v>199.2804226622614</v>
      </c>
      <c r="AR2264">
        <f>1/(COUNT('Iter No Test'!$W$9:$W$5008)-1)+$AR$2263</f>
        <v>0.45229045809163609</v>
      </c>
    </row>
    <row r="2265" spans="22:44">
      <c r="V2265">
        <v>2257</v>
      </c>
      <c r="W2265">
        <v>332.85287750171528</v>
      </c>
      <c r="AQ2265">
        <f>SMALL('Iter No Test'!$W$9:$W$5008,2263)</f>
        <v>199.28642962689653</v>
      </c>
      <c r="AR2265">
        <f>1/(COUNT('Iter No Test'!$W$9:$W$5008)-1)+$AR$2264</f>
        <v>0.45249049809963771</v>
      </c>
    </row>
    <row r="2266" spans="22:44">
      <c r="V2266">
        <v>2258</v>
      </c>
      <c r="W2266">
        <v>329.34673980650393</v>
      </c>
      <c r="AQ2266">
        <f>SMALL('Iter No Test'!$W$9:$W$5008,2264)</f>
        <v>199.36719215919561</v>
      </c>
      <c r="AR2266">
        <f>1/(COUNT('Iter No Test'!$W$9:$W$5008)-1)+$AR$2265</f>
        <v>0.45269053810763932</v>
      </c>
    </row>
    <row r="2267" spans="22:44">
      <c r="V2267">
        <v>2259</v>
      </c>
      <c r="W2267">
        <v>224.62687770402016</v>
      </c>
      <c r="AQ2267">
        <f>SMALL('Iter No Test'!$W$9:$W$5008,2265)</f>
        <v>199.41194463048404</v>
      </c>
      <c r="AR2267">
        <f>1/(COUNT('Iter No Test'!$W$9:$W$5008)-1)+$AR$2266</f>
        <v>0.45289057811564093</v>
      </c>
    </row>
    <row r="2268" spans="22:44">
      <c r="V2268">
        <v>2260</v>
      </c>
      <c r="W2268">
        <v>262.71374953916529</v>
      </c>
      <c r="AQ2268">
        <f>SMALL('Iter No Test'!$W$9:$W$5008,2266)</f>
        <v>199.42566903802629</v>
      </c>
      <c r="AR2268">
        <f>1/(COUNT('Iter No Test'!$W$9:$W$5008)-1)+$AR$2267</f>
        <v>0.45309061812364254</v>
      </c>
    </row>
    <row r="2269" spans="22:44">
      <c r="V2269">
        <v>2261</v>
      </c>
      <c r="W2269">
        <v>198.01740323339649</v>
      </c>
      <c r="AQ2269">
        <f>SMALL('Iter No Test'!$W$9:$W$5008,2267)</f>
        <v>199.45339991404092</v>
      </c>
      <c r="AR2269">
        <f>1/(COUNT('Iter No Test'!$W$9:$W$5008)-1)+$AR$2268</f>
        <v>0.45329065813164415</v>
      </c>
    </row>
    <row r="2270" spans="22:44">
      <c r="V2270">
        <v>2262</v>
      </c>
      <c r="W2270">
        <v>342.59264668336402</v>
      </c>
      <c r="AQ2270">
        <f>SMALL('Iter No Test'!$W$9:$W$5008,2268)</f>
        <v>199.46305779096181</v>
      </c>
      <c r="AR2270">
        <f>1/(COUNT('Iter No Test'!$W$9:$W$5008)-1)+$AR$2269</f>
        <v>0.45349069813964576</v>
      </c>
    </row>
    <row r="2271" spans="22:44">
      <c r="V2271">
        <v>2263</v>
      </c>
      <c r="W2271">
        <v>44.109540584433049</v>
      </c>
      <c r="AQ2271">
        <f>SMALL('Iter No Test'!$W$9:$W$5008,2269)</f>
        <v>199.46855828935702</v>
      </c>
      <c r="AR2271">
        <f>1/(COUNT('Iter No Test'!$W$9:$W$5008)-1)+$AR$2270</f>
        <v>0.45369073814764738</v>
      </c>
    </row>
    <row r="2272" spans="22:44">
      <c r="V2272">
        <v>2264</v>
      </c>
      <c r="W2272">
        <v>294.85202603429468</v>
      </c>
      <c r="AQ2272">
        <f>SMALL('Iter No Test'!$W$9:$W$5008,2270)</f>
        <v>199.47836424799357</v>
      </c>
      <c r="AR2272">
        <f>1/(COUNT('Iter No Test'!$W$9:$W$5008)-1)+$AR$2271</f>
        <v>0.45389077815564899</v>
      </c>
    </row>
    <row r="2273" spans="22:44">
      <c r="V2273">
        <v>2265</v>
      </c>
      <c r="W2273">
        <v>270.77650825226397</v>
      </c>
      <c r="AQ2273">
        <f>SMALL('Iter No Test'!$W$9:$W$5008,2271)</f>
        <v>199.51895623853966</v>
      </c>
      <c r="AR2273">
        <f>1/(COUNT('Iter No Test'!$W$9:$W$5008)-1)+$AR$2272</f>
        <v>0.4540908181636506</v>
      </c>
    </row>
    <row r="2274" spans="22:44">
      <c r="V2274">
        <v>2266</v>
      </c>
      <c r="W2274">
        <v>193.09367670937388</v>
      </c>
      <c r="AQ2274">
        <f>SMALL('Iter No Test'!$W$9:$W$5008,2272)</f>
        <v>199.52437326152884</v>
      </c>
      <c r="AR2274">
        <f>1/(COUNT('Iter No Test'!$W$9:$W$5008)-1)+$AR$2273</f>
        <v>0.45429085817165221</v>
      </c>
    </row>
    <row r="2275" spans="22:44">
      <c r="V2275">
        <v>2267</v>
      </c>
      <c r="W2275">
        <v>45.921607511802478</v>
      </c>
      <c r="AQ2275">
        <f>SMALL('Iter No Test'!$W$9:$W$5008,2273)</f>
        <v>199.52967316156415</v>
      </c>
      <c r="AR2275">
        <f>1/(COUNT('Iter No Test'!$W$9:$W$5008)-1)+$AR$2274</f>
        <v>0.45449089817965382</v>
      </c>
    </row>
    <row r="2276" spans="22:44">
      <c r="V2276">
        <v>2268</v>
      </c>
      <c r="W2276">
        <v>139.60490930463837</v>
      </c>
      <c r="AQ2276">
        <f>SMALL('Iter No Test'!$W$9:$W$5008,2274)</f>
        <v>199.57997034941167</v>
      </c>
      <c r="AR2276">
        <f>1/(COUNT('Iter No Test'!$W$9:$W$5008)-1)+$AR$2275</f>
        <v>0.45469093818765544</v>
      </c>
    </row>
    <row r="2277" spans="22:44">
      <c r="V2277">
        <v>2269</v>
      </c>
      <c r="W2277">
        <v>157.76859992249621</v>
      </c>
      <c r="AQ2277">
        <f>SMALL('Iter No Test'!$W$9:$W$5008,2275)</f>
        <v>199.62673590757197</v>
      </c>
      <c r="AR2277">
        <f>1/(COUNT('Iter No Test'!$W$9:$W$5008)-1)+$AR$2276</f>
        <v>0.45489097819565705</v>
      </c>
    </row>
    <row r="2278" spans="22:44">
      <c r="V2278">
        <v>2270</v>
      </c>
      <c r="W2278">
        <v>137.8571191298189</v>
      </c>
      <c r="AQ2278">
        <f>SMALL('Iter No Test'!$W$9:$W$5008,2276)</f>
        <v>199.76754448569343</v>
      </c>
      <c r="AR2278">
        <f>1/(COUNT('Iter No Test'!$W$9:$W$5008)-1)+$AR$2277</f>
        <v>0.45509101820365866</v>
      </c>
    </row>
    <row r="2279" spans="22:44">
      <c r="V2279">
        <v>2271</v>
      </c>
      <c r="W2279">
        <v>334.08033555734352</v>
      </c>
      <c r="AQ2279">
        <f>SMALL('Iter No Test'!$W$9:$W$5008,2277)</f>
        <v>199.77008391947447</v>
      </c>
      <c r="AR2279">
        <f>1/(COUNT('Iter No Test'!$W$9:$W$5008)-1)+$AR$2278</f>
        <v>0.45529105821166027</v>
      </c>
    </row>
    <row r="2280" spans="22:44">
      <c r="V2280">
        <v>2272</v>
      </c>
      <c r="W2280">
        <v>244.44433363310168</v>
      </c>
      <c r="AQ2280">
        <f>SMALL('Iter No Test'!$W$9:$W$5008,2278)</f>
        <v>199.81771020022222</v>
      </c>
      <c r="AR2280">
        <f>1/(COUNT('Iter No Test'!$W$9:$W$5008)-1)+$AR$2279</f>
        <v>0.45549109821966188</v>
      </c>
    </row>
    <row r="2281" spans="22:44">
      <c r="V2281">
        <v>2273</v>
      </c>
      <c r="W2281">
        <v>233.29573876472867</v>
      </c>
      <c r="AQ2281">
        <f>SMALL('Iter No Test'!$W$9:$W$5008,2279)</f>
        <v>199.82048603801073</v>
      </c>
      <c r="AR2281">
        <f>1/(COUNT('Iter No Test'!$W$9:$W$5008)-1)+$AR$2280</f>
        <v>0.45569113822766349</v>
      </c>
    </row>
    <row r="2282" spans="22:44">
      <c r="V2282">
        <v>2274</v>
      </c>
      <c r="W2282">
        <v>241.16422303955699</v>
      </c>
      <c r="AQ2282">
        <f>SMALL('Iter No Test'!$W$9:$W$5008,2280)</f>
        <v>199.90939409466486</v>
      </c>
      <c r="AR2282">
        <f>1/(COUNT('Iter No Test'!$W$9:$W$5008)-1)+$AR$2281</f>
        <v>0.45589117823566511</v>
      </c>
    </row>
    <row r="2283" spans="22:44">
      <c r="V2283">
        <v>2275</v>
      </c>
      <c r="W2283">
        <v>278.92608917941902</v>
      </c>
      <c r="AQ2283">
        <f>SMALL('Iter No Test'!$W$9:$W$5008,2281)</f>
        <v>199.91006392652668</v>
      </c>
      <c r="AR2283">
        <f>1/(COUNT('Iter No Test'!$W$9:$W$5008)-1)+$AR$2282</f>
        <v>0.45609121824366672</v>
      </c>
    </row>
    <row r="2284" spans="22:44">
      <c r="V2284">
        <v>2276</v>
      </c>
      <c r="W2284">
        <v>88.364468749485326</v>
      </c>
      <c r="AQ2284">
        <f>SMALL('Iter No Test'!$W$9:$W$5008,2282)</f>
        <v>199.96954949263102</v>
      </c>
      <c r="AR2284">
        <f>1/(COUNT('Iter No Test'!$W$9:$W$5008)-1)+$AR$2283</f>
        <v>0.45629125825166833</v>
      </c>
    </row>
    <row r="2285" spans="22:44">
      <c r="V2285">
        <v>2277</v>
      </c>
      <c r="W2285">
        <v>128.34627481952208</v>
      </c>
      <c r="AQ2285">
        <f>SMALL('Iter No Test'!$W$9:$W$5008,2283)</f>
        <v>200.01182765005052</v>
      </c>
      <c r="AR2285">
        <f>1/(COUNT('Iter No Test'!$W$9:$W$5008)-1)+$AR$2284</f>
        <v>0.45649129825966994</v>
      </c>
    </row>
    <row r="2286" spans="22:44">
      <c r="V2286">
        <v>2278</v>
      </c>
      <c r="W2286">
        <v>270.91054838080805</v>
      </c>
      <c r="AQ2286">
        <f>SMALL('Iter No Test'!$W$9:$W$5008,2284)</f>
        <v>200.05506665949466</v>
      </c>
      <c r="AR2286">
        <f>1/(COUNT('Iter No Test'!$W$9:$W$5008)-1)+$AR$2285</f>
        <v>0.45669133826767155</v>
      </c>
    </row>
    <row r="2287" spans="22:44">
      <c r="V2287">
        <v>2279</v>
      </c>
      <c r="W2287">
        <v>235.93805144486012</v>
      </c>
      <c r="AQ2287">
        <f>SMALL('Iter No Test'!$W$9:$W$5008,2285)</f>
        <v>200.05951897634381</v>
      </c>
      <c r="AR2287">
        <f>1/(COUNT('Iter No Test'!$W$9:$W$5008)-1)+$AR$2286</f>
        <v>0.45689137827567317</v>
      </c>
    </row>
    <row r="2288" spans="22:44">
      <c r="V2288">
        <v>2280</v>
      </c>
      <c r="W2288">
        <v>330.02828379813013</v>
      </c>
      <c r="AQ2288">
        <f>SMALL('Iter No Test'!$W$9:$W$5008,2286)</f>
        <v>200.17807516334355</v>
      </c>
      <c r="AR2288">
        <f>1/(COUNT('Iter No Test'!$W$9:$W$5008)-1)+$AR$2287</f>
        <v>0.45709141828367478</v>
      </c>
    </row>
    <row r="2289" spans="22:44">
      <c r="V2289">
        <v>2281</v>
      </c>
      <c r="W2289">
        <v>340.02534593383797</v>
      </c>
      <c r="AQ2289">
        <f>SMALL('Iter No Test'!$W$9:$W$5008,2287)</f>
        <v>200.20851655991902</v>
      </c>
      <c r="AR2289">
        <f>1/(COUNT('Iter No Test'!$W$9:$W$5008)-1)+$AR$2288</f>
        <v>0.45729145829167639</v>
      </c>
    </row>
    <row r="2290" spans="22:44">
      <c r="V2290">
        <v>2282</v>
      </c>
      <c r="W2290">
        <v>302.323629656408</v>
      </c>
      <c r="AQ2290">
        <f>SMALL('Iter No Test'!$W$9:$W$5008,2288)</f>
        <v>200.21011367730634</v>
      </c>
      <c r="AR2290">
        <f>1/(COUNT('Iter No Test'!$W$9:$W$5008)-1)+$AR$2289</f>
        <v>0.457491498299678</v>
      </c>
    </row>
    <row r="2291" spans="22:44">
      <c r="V2291">
        <v>2283</v>
      </c>
      <c r="W2291">
        <v>129.80306601862168</v>
      </c>
      <c r="AQ2291">
        <f>SMALL('Iter No Test'!$W$9:$W$5008,2289)</f>
        <v>200.25281078239868</v>
      </c>
      <c r="AR2291">
        <f>1/(COUNT('Iter No Test'!$W$9:$W$5008)-1)+$AR$2290</f>
        <v>0.45769153830767961</v>
      </c>
    </row>
    <row r="2292" spans="22:44">
      <c r="V2292">
        <v>2284</v>
      </c>
      <c r="W2292">
        <v>218.27503245519046</v>
      </c>
      <c r="AQ2292">
        <f>SMALL('Iter No Test'!$W$9:$W$5008,2290)</f>
        <v>200.25527488053032</v>
      </c>
      <c r="AR2292">
        <f>1/(COUNT('Iter No Test'!$W$9:$W$5008)-1)+$AR$2291</f>
        <v>0.45789157831568122</v>
      </c>
    </row>
    <row r="2293" spans="22:44">
      <c r="V2293">
        <v>2285</v>
      </c>
      <c r="W2293">
        <v>122.28201443711211</v>
      </c>
      <c r="AQ2293">
        <f>SMALL('Iter No Test'!$W$9:$W$5008,2291)</f>
        <v>200.25655409708989</v>
      </c>
      <c r="AR2293">
        <f>1/(COUNT('Iter No Test'!$W$9:$W$5008)-1)+$AR$2292</f>
        <v>0.45809161832368284</v>
      </c>
    </row>
    <row r="2294" spans="22:44">
      <c r="V2294">
        <v>2286</v>
      </c>
      <c r="W2294">
        <v>380.98882434334871</v>
      </c>
      <c r="AQ2294">
        <f>SMALL('Iter No Test'!$W$9:$W$5008,2292)</f>
        <v>200.34322055799004</v>
      </c>
      <c r="AR2294">
        <f>1/(COUNT('Iter No Test'!$W$9:$W$5008)-1)+$AR$2293</f>
        <v>0.45829165833168445</v>
      </c>
    </row>
    <row r="2295" spans="22:44">
      <c r="V2295">
        <v>2287</v>
      </c>
      <c r="W2295">
        <v>278.88653289992556</v>
      </c>
      <c r="AQ2295">
        <f>SMALL('Iter No Test'!$W$9:$W$5008,2293)</f>
        <v>200.40089408838108</v>
      </c>
      <c r="AR2295">
        <f>1/(COUNT('Iter No Test'!$W$9:$W$5008)-1)+$AR$2294</f>
        <v>0.45849169833968606</v>
      </c>
    </row>
    <row r="2296" spans="22:44">
      <c r="V2296">
        <v>2288</v>
      </c>
      <c r="W2296">
        <v>216.71392273064666</v>
      </c>
      <c r="AQ2296">
        <f>SMALL('Iter No Test'!$W$9:$W$5008,2294)</f>
        <v>200.45455712861224</v>
      </c>
      <c r="AR2296">
        <f>1/(COUNT('Iter No Test'!$W$9:$W$5008)-1)+$AR$2295</f>
        <v>0.45869173834768767</v>
      </c>
    </row>
    <row r="2297" spans="22:44">
      <c r="V2297">
        <v>2289</v>
      </c>
      <c r="W2297">
        <v>252.84478555862464</v>
      </c>
      <c r="AQ2297">
        <f>SMALL('Iter No Test'!$W$9:$W$5008,2295)</f>
        <v>200.45633167523138</v>
      </c>
      <c r="AR2297">
        <f>1/(COUNT('Iter No Test'!$W$9:$W$5008)-1)+$AR$2296</f>
        <v>0.45889177835568928</v>
      </c>
    </row>
    <row r="2298" spans="22:44">
      <c r="V2298">
        <v>2290</v>
      </c>
      <c r="W2298">
        <v>148.5235403461779</v>
      </c>
      <c r="AQ2298">
        <f>SMALL('Iter No Test'!$W$9:$W$5008,2296)</f>
        <v>200.48130204534931</v>
      </c>
      <c r="AR2298">
        <f>1/(COUNT('Iter No Test'!$W$9:$W$5008)-1)+$AR$2297</f>
        <v>0.4590918183636909</v>
      </c>
    </row>
    <row r="2299" spans="22:44">
      <c r="V2299">
        <v>2291</v>
      </c>
      <c r="W2299">
        <v>273.62336810758353</v>
      </c>
      <c r="AQ2299">
        <f>SMALL('Iter No Test'!$W$9:$W$5008,2297)</f>
        <v>200.53919415010967</v>
      </c>
      <c r="AR2299">
        <f>1/(COUNT('Iter No Test'!$W$9:$W$5008)-1)+$AR$2298</f>
        <v>0.45929185837169251</v>
      </c>
    </row>
    <row r="2300" spans="22:44">
      <c r="V2300">
        <v>2292</v>
      </c>
      <c r="W2300">
        <v>248.48715150168775</v>
      </c>
      <c r="AQ2300">
        <f>SMALL('Iter No Test'!$W$9:$W$5008,2298)</f>
        <v>200.57153950923572</v>
      </c>
      <c r="AR2300">
        <f>1/(COUNT('Iter No Test'!$W$9:$W$5008)-1)+$AR$2299</f>
        <v>0.45949189837969412</v>
      </c>
    </row>
    <row r="2301" spans="22:44">
      <c r="V2301">
        <v>2293</v>
      </c>
      <c r="W2301">
        <v>264.56398625322112</v>
      </c>
      <c r="AQ2301">
        <f>SMALL('Iter No Test'!$W$9:$W$5008,2299)</f>
        <v>200.5888005052619</v>
      </c>
      <c r="AR2301">
        <f>1/(COUNT('Iter No Test'!$W$9:$W$5008)-1)+$AR$2300</f>
        <v>0.45969193838769573</v>
      </c>
    </row>
    <row r="2302" spans="22:44">
      <c r="V2302">
        <v>2294</v>
      </c>
      <c r="W2302">
        <v>215.08975298207889</v>
      </c>
      <c r="AQ2302">
        <f>SMALL('Iter No Test'!$W$9:$W$5008,2300)</f>
        <v>200.61897869269836</v>
      </c>
      <c r="AR2302">
        <f>1/(COUNT('Iter No Test'!$W$9:$W$5008)-1)+$AR$2301</f>
        <v>0.45989197839569734</v>
      </c>
    </row>
    <row r="2303" spans="22:44">
      <c r="V2303">
        <v>2295</v>
      </c>
      <c r="W2303">
        <v>226.5761844022521</v>
      </c>
      <c r="AQ2303">
        <f>SMALL('Iter No Test'!$W$9:$W$5008,2301)</f>
        <v>200.65117731634675</v>
      </c>
      <c r="AR2303">
        <f>1/(COUNT('Iter No Test'!$W$9:$W$5008)-1)+$AR$2302</f>
        <v>0.46009201840369895</v>
      </c>
    </row>
    <row r="2304" spans="22:44">
      <c r="V2304">
        <v>2296</v>
      </c>
      <c r="W2304">
        <v>339.83263057877889</v>
      </c>
      <c r="AQ2304">
        <f>SMALL('Iter No Test'!$W$9:$W$5008,2302)</f>
        <v>200.65441644199399</v>
      </c>
      <c r="AR2304">
        <f>1/(COUNT('Iter No Test'!$W$9:$W$5008)-1)+$AR$2303</f>
        <v>0.46029205841170057</v>
      </c>
    </row>
    <row r="2305" spans="22:44">
      <c r="V2305">
        <v>2297</v>
      </c>
      <c r="W2305">
        <v>429.17307488196161</v>
      </c>
      <c r="AQ2305">
        <f>SMALL('Iter No Test'!$W$9:$W$5008,2303)</f>
        <v>200.65655362774393</v>
      </c>
      <c r="AR2305">
        <f>1/(COUNT('Iter No Test'!$W$9:$W$5008)-1)+$AR$2304</f>
        <v>0.46049209841970218</v>
      </c>
    </row>
    <row r="2306" spans="22:44">
      <c r="V2306">
        <v>2298</v>
      </c>
      <c r="W2306">
        <v>188.94381746906757</v>
      </c>
      <c r="AQ2306">
        <f>SMALL('Iter No Test'!$W$9:$W$5008,2304)</f>
        <v>200.66638183251749</v>
      </c>
      <c r="AR2306">
        <f>1/(COUNT('Iter No Test'!$W$9:$W$5008)-1)+$AR$2305</f>
        <v>0.46069213842770379</v>
      </c>
    </row>
    <row r="2307" spans="22:44">
      <c r="V2307">
        <v>2299</v>
      </c>
      <c r="W2307">
        <v>211.2530872238429</v>
      </c>
      <c r="AQ2307">
        <f>SMALL('Iter No Test'!$W$9:$W$5008,2305)</f>
        <v>200.66985119625798</v>
      </c>
      <c r="AR2307">
        <f>1/(COUNT('Iter No Test'!$W$9:$W$5008)-1)+$AR$2306</f>
        <v>0.4608921784357054</v>
      </c>
    </row>
    <row r="2308" spans="22:44">
      <c r="V2308">
        <v>2300</v>
      </c>
      <c r="W2308">
        <v>168.01406375087817</v>
      </c>
      <c r="AQ2308">
        <f>SMALL('Iter No Test'!$W$9:$W$5008,2306)</f>
        <v>200.69974170126599</v>
      </c>
      <c r="AR2308">
        <f>1/(COUNT('Iter No Test'!$W$9:$W$5008)-1)+$AR$2307</f>
        <v>0.46109221844370701</v>
      </c>
    </row>
    <row r="2309" spans="22:44">
      <c r="V2309">
        <v>2301</v>
      </c>
      <c r="W2309">
        <v>455.33142858351198</v>
      </c>
      <c r="AQ2309">
        <f>SMALL('Iter No Test'!$W$9:$W$5008,2307)</f>
        <v>200.70182647060062</v>
      </c>
      <c r="AR2309">
        <f>1/(COUNT('Iter No Test'!$W$9:$W$5008)-1)+$AR$2308</f>
        <v>0.46129225845170863</v>
      </c>
    </row>
    <row r="2310" spans="22:44">
      <c r="V2310">
        <v>2302</v>
      </c>
      <c r="W2310">
        <v>209.0150383110539</v>
      </c>
      <c r="AQ2310">
        <f>SMALL('Iter No Test'!$W$9:$W$5008,2308)</f>
        <v>200.71031979701846</v>
      </c>
      <c r="AR2310">
        <f>1/(COUNT('Iter No Test'!$W$9:$W$5008)-1)+$AR$2309</f>
        <v>0.46149229845971024</v>
      </c>
    </row>
    <row r="2311" spans="22:44">
      <c r="V2311">
        <v>2303</v>
      </c>
      <c r="W2311">
        <v>118.68367734825927</v>
      </c>
      <c r="AQ2311">
        <f>SMALL('Iter No Test'!$W$9:$W$5008,2309)</f>
        <v>200.72622109899862</v>
      </c>
      <c r="AR2311">
        <f>1/(COUNT('Iter No Test'!$W$9:$W$5008)-1)+$AR$2310</f>
        <v>0.46169233846771185</v>
      </c>
    </row>
    <row r="2312" spans="22:44">
      <c r="V2312">
        <v>2304</v>
      </c>
      <c r="W2312">
        <v>143.09647996283627</v>
      </c>
      <c r="AQ2312">
        <f>SMALL('Iter No Test'!$W$9:$W$5008,2310)</f>
        <v>200.72920823748441</v>
      </c>
      <c r="AR2312">
        <f>1/(COUNT('Iter No Test'!$W$9:$W$5008)-1)+$AR$2311</f>
        <v>0.46189237847571346</v>
      </c>
    </row>
    <row r="2313" spans="22:44">
      <c r="V2313">
        <v>2305</v>
      </c>
      <c r="W2313">
        <v>278.27139361001537</v>
      </c>
      <c r="AQ2313">
        <f>SMALL('Iter No Test'!$W$9:$W$5008,2311)</f>
        <v>200.7732730031351</v>
      </c>
      <c r="AR2313">
        <f>1/(COUNT('Iter No Test'!$W$9:$W$5008)-1)+$AR$2312</f>
        <v>0.46209241848371507</v>
      </c>
    </row>
    <row r="2314" spans="22:44">
      <c r="V2314">
        <v>2306</v>
      </c>
      <c r="W2314">
        <v>327.01965607011715</v>
      </c>
      <c r="AQ2314">
        <f>SMALL('Iter No Test'!$W$9:$W$5008,2312)</f>
        <v>200.82113083253233</v>
      </c>
      <c r="AR2314">
        <f>1/(COUNT('Iter No Test'!$W$9:$W$5008)-1)+$AR$2313</f>
        <v>0.46229245849171668</v>
      </c>
    </row>
    <row r="2315" spans="22:44">
      <c r="V2315">
        <v>2307</v>
      </c>
      <c r="W2315">
        <v>160.54864709948245</v>
      </c>
      <c r="AQ2315">
        <f>SMALL('Iter No Test'!$W$9:$W$5008,2313)</f>
        <v>200.83375906617619</v>
      </c>
      <c r="AR2315">
        <f>1/(COUNT('Iter No Test'!$W$9:$W$5008)-1)+$AR$2314</f>
        <v>0.4624924984997183</v>
      </c>
    </row>
    <row r="2316" spans="22:44">
      <c r="V2316">
        <v>2308</v>
      </c>
      <c r="W2316">
        <v>278.32214665628982</v>
      </c>
      <c r="AQ2316">
        <f>SMALL('Iter No Test'!$W$9:$W$5008,2314)</f>
        <v>200.84986038332201</v>
      </c>
      <c r="AR2316">
        <f>1/(COUNT('Iter No Test'!$W$9:$W$5008)-1)+$AR$2315</f>
        <v>0.46269253850771991</v>
      </c>
    </row>
    <row r="2317" spans="22:44">
      <c r="V2317">
        <v>2309</v>
      </c>
      <c r="W2317">
        <v>187.59539519270203</v>
      </c>
      <c r="AQ2317">
        <f>SMALL('Iter No Test'!$W$9:$W$5008,2315)</f>
        <v>200.85146444608156</v>
      </c>
      <c r="AR2317">
        <f>1/(COUNT('Iter No Test'!$W$9:$W$5008)-1)+$AR$2316</f>
        <v>0.46289257851572152</v>
      </c>
    </row>
    <row r="2318" spans="22:44">
      <c r="V2318">
        <v>2310</v>
      </c>
      <c r="W2318">
        <v>152.91844182631849</v>
      </c>
      <c r="AQ2318">
        <f>SMALL('Iter No Test'!$W$9:$W$5008,2316)</f>
        <v>200.91259276708229</v>
      </c>
      <c r="AR2318">
        <f>1/(COUNT('Iter No Test'!$W$9:$W$5008)-1)+$AR$2317</f>
        <v>0.46309261852372313</v>
      </c>
    </row>
    <row r="2319" spans="22:44">
      <c r="V2319">
        <v>2311</v>
      </c>
      <c r="W2319">
        <v>147.36622223844398</v>
      </c>
      <c r="AQ2319">
        <f>SMALL('Iter No Test'!$W$9:$W$5008,2317)</f>
        <v>200.92300636352189</v>
      </c>
      <c r="AR2319">
        <f>1/(COUNT('Iter No Test'!$W$9:$W$5008)-1)+$AR$2318</f>
        <v>0.46329265853172474</v>
      </c>
    </row>
    <row r="2320" spans="22:44">
      <c r="V2320">
        <v>2312</v>
      </c>
      <c r="W2320">
        <v>346.86480527827638</v>
      </c>
      <c r="AQ2320">
        <f>SMALL('Iter No Test'!$W$9:$W$5008,2318)</f>
        <v>200.952724064969</v>
      </c>
      <c r="AR2320">
        <f>1/(COUNT('Iter No Test'!$W$9:$W$5008)-1)+$AR$2319</f>
        <v>0.46349269853972636</v>
      </c>
    </row>
    <row r="2321" spans="22:44">
      <c r="V2321">
        <v>2313</v>
      </c>
      <c r="W2321">
        <v>221.9667414431151</v>
      </c>
      <c r="AQ2321">
        <f>SMALL('Iter No Test'!$W$9:$W$5008,2319)</f>
        <v>200.98319383367684</v>
      </c>
      <c r="AR2321">
        <f>1/(COUNT('Iter No Test'!$W$9:$W$5008)-1)+$AR$2320</f>
        <v>0.46369273854772797</v>
      </c>
    </row>
    <row r="2322" spans="22:44">
      <c r="V2322">
        <v>2314</v>
      </c>
      <c r="W2322">
        <v>326.75402981982205</v>
      </c>
      <c r="AQ2322">
        <f>SMALL('Iter No Test'!$W$9:$W$5008,2320)</f>
        <v>201.19529287894721</v>
      </c>
      <c r="AR2322">
        <f>1/(COUNT('Iter No Test'!$W$9:$W$5008)-1)+$AR$2321</f>
        <v>0.46389277855572958</v>
      </c>
    </row>
    <row r="2323" spans="22:44">
      <c r="V2323">
        <v>2315</v>
      </c>
      <c r="W2323">
        <v>377.09869047192603</v>
      </c>
      <c r="AQ2323">
        <f>SMALL('Iter No Test'!$W$9:$W$5008,2321)</f>
        <v>201.23182004299366</v>
      </c>
      <c r="AR2323">
        <f>1/(COUNT('Iter No Test'!$W$9:$W$5008)-1)+$AR$2322</f>
        <v>0.46409281856373119</v>
      </c>
    </row>
    <row r="2324" spans="22:44">
      <c r="V2324">
        <v>2316</v>
      </c>
      <c r="W2324">
        <v>219.85258689035757</v>
      </c>
      <c r="AQ2324">
        <f>SMALL('Iter No Test'!$W$9:$W$5008,2322)</f>
        <v>201.25672423923498</v>
      </c>
      <c r="AR2324">
        <f>1/(COUNT('Iter No Test'!$W$9:$W$5008)-1)+$AR$2323</f>
        <v>0.4642928585717328</v>
      </c>
    </row>
    <row r="2325" spans="22:44">
      <c r="V2325">
        <v>2317</v>
      </c>
      <c r="W2325">
        <v>251.32997445204703</v>
      </c>
      <c r="AQ2325">
        <f>SMALL('Iter No Test'!$W$9:$W$5008,2323)</f>
        <v>201.36121261501995</v>
      </c>
      <c r="AR2325">
        <f>1/(COUNT('Iter No Test'!$W$9:$W$5008)-1)+$AR$2324</f>
        <v>0.46449289857973441</v>
      </c>
    </row>
    <row r="2326" spans="22:44">
      <c r="V2326">
        <v>2318</v>
      </c>
      <c r="W2326">
        <v>227.72348132417699</v>
      </c>
      <c r="AQ2326">
        <f>SMALL('Iter No Test'!$W$9:$W$5008,2324)</f>
        <v>201.38149860200514</v>
      </c>
      <c r="AR2326">
        <f>1/(COUNT('Iter No Test'!$W$9:$W$5008)-1)+$AR$2325</f>
        <v>0.46469293858773603</v>
      </c>
    </row>
    <row r="2327" spans="22:44">
      <c r="V2327">
        <v>2319</v>
      </c>
      <c r="W2327">
        <v>200.92300636352189</v>
      </c>
      <c r="AQ2327">
        <f>SMALL('Iter No Test'!$W$9:$W$5008,2325)</f>
        <v>201.38438386348301</v>
      </c>
      <c r="AR2327">
        <f>1/(COUNT('Iter No Test'!$W$9:$W$5008)-1)+$AR$2326</f>
        <v>0.46489297859573764</v>
      </c>
    </row>
    <row r="2328" spans="22:44">
      <c r="V2328">
        <v>2320</v>
      </c>
      <c r="W2328">
        <v>194.89077169757184</v>
      </c>
      <c r="AQ2328">
        <f>SMALL('Iter No Test'!$W$9:$W$5008,2326)</f>
        <v>201.38763873986761</v>
      </c>
      <c r="AR2328">
        <f>1/(COUNT('Iter No Test'!$W$9:$W$5008)-1)+$AR$2327</f>
        <v>0.46509301860373925</v>
      </c>
    </row>
    <row r="2329" spans="22:44">
      <c r="V2329">
        <v>2321</v>
      </c>
      <c r="W2329">
        <v>272.48091632215426</v>
      </c>
      <c r="AQ2329">
        <f>SMALL('Iter No Test'!$W$9:$W$5008,2327)</f>
        <v>201.44812486428111</v>
      </c>
      <c r="AR2329">
        <f>1/(COUNT('Iter No Test'!$W$9:$W$5008)-1)+$AR$2328</f>
        <v>0.46529305861174086</v>
      </c>
    </row>
    <row r="2330" spans="22:44">
      <c r="V2330">
        <v>2322</v>
      </c>
      <c r="W2330">
        <v>382.56415103210793</v>
      </c>
      <c r="AQ2330">
        <f>SMALL('Iter No Test'!$W$9:$W$5008,2328)</f>
        <v>201.50019590059335</v>
      </c>
      <c r="AR2330">
        <f>1/(COUNT('Iter No Test'!$W$9:$W$5008)-1)+$AR$2329</f>
        <v>0.46549309861974247</v>
      </c>
    </row>
    <row r="2331" spans="22:44">
      <c r="V2331">
        <v>2323</v>
      </c>
      <c r="W2331">
        <v>162.88396153510189</v>
      </c>
      <c r="AQ2331">
        <f>SMALL('Iter No Test'!$W$9:$W$5008,2329)</f>
        <v>201.5331038184847</v>
      </c>
      <c r="AR2331">
        <f>1/(COUNT('Iter No Test'!$W$9:$W$5008)-1)+$AR$2330</f>
        <v>0.46569313862774409</v>
      </c>
    </row>
    <row r="2332" spans="22:44">
      <c r="V2332">
        <v>2324</v>
      </c>
      <c r="W2332">
        <v>300.23140657057559</v>
      </c>
      <c r="AQ2332">
        <f>SMALL('Iter No Test'!$W$9:$W$5008,2330)</f>
        <v>201.54777135575736</v>
      </c>
      <c r="AR2332">
        <f>1/(COUNT('Iter No Test'!$W$9:$W$5008)-1)+$AR$2331</f>
        <v>0.4658931786357457</v>
      </c>
    </row>
    <row r="2333" spans="22:44">
      <c r="V2333">
        <v>2325</v>
      </c>
      <c r="W2333">
        <v>242.26396107949984</v>
      </c>
      <c r="AQ2333">
        <f>SMALL('Iter No Test'!$W$9:$W$5008,2331)</f>
        <v>201.56672607583002</v>
      </c>
      <c r="AR2333">
        <f>1/(COUNT('Iter No Test'!$W$9:$W$5008)-1)+$AR$2332</f>
        <v>0.46609321864374731</v>
      </c>
    </row>
    <row r="2334" spans="22:44">
      <c r="V2334">
        <v>2326</v>
      </c>
      <c r="W2334">
        <v>73.00613074801538</v>
      </c>
      <c r="AQ2334">
        <f>SMALL('Iter No Test'!$W$9:$W$5008,2332)</f>
        <v>201.58199986606826</v>
      </c>
      <c r="AR2334">
        <f>1/(COUNT('Iter No Test'!$W$9:$W$5008)-1)+$AR$2333</f>
        <v>0.46629325865174892</v>
      </c>
    </row>
    <row r="2335" spans="22:44">
      <c r="V2335">
        <v>2327</v>
      </c>
      <c r="W2335">
        <v>267.27746257336997</v>
      </c>
      <c r="AQ2335">
        <f>SMALL('Iter No Test'!$W$9:$W$5008,2333)</f>
        <v>201.60168837510363</v>
      </c>
      <c r="AR2335">
        <f>1/(COUNT('Iter No Test'!$W$9:$W$5008)-1)+$AR$2334</f>
        <v>0.46649329865975053</v>
      </c>
    </row>
    <row r="2336" spans="22:44">
      <c r="V2336">
        <v>2328</v>
      </c>
      <c r="W2336">
        <v>99.147122864675893</v>
      </c>
      <c r="AQ2336">
        <f>SMALL('Iter No Test'!$W$9:$W$5008,2334)</f>
        <v>201.67321687436089</v>
      </c>
      <c r="AR2336">
        <f>1/(COUNT('Iter No Test'!$W$9:$W$5008)-1)+$AR$2335</f>
        <v>0.46669333866775214</v>
      </c>
    </row>
    <row r="2337" spans="22:44">
      <c r="V2337">
        <v>2329</v>
      </c>
      <c r="W2337">
        <v>82.352596875481069</v>
      </c>
      <c r="AQ2337">
        <f>SMALL('Iter No Test'!$W$9:$W$5008,2335)</f>
        <v>201.79589263692753</v>
      </c>
      <c r="AR2337">
        <f>1/(COUNT('Iter No Test'!$W$9:$W$5008)-1)+$AR$2336</f>
        <v>0.46689337867575376</v>
      </c>
    </row>
    <row r="2338" spans="22:44">
      <c r="V2338">
        <v>2330</v>
      </c>
      <c r="W2338">
        <v>181.77377593186114</v>
      </c>
      <c r="AQ2338">
        <f>SMALL('Iter No Test'!$W$9:$W$5008,2336)</f>
        <v>201.81861546724232</v>
      </c>
      <c r="AR2338">
        <f>1/(COUNT('Iter No Test'!$W$9:$W$5008)-1)+$AR$2337</f>
        <v>0.46709341868375537</v>
      </c>
    </row>
    <row r="2339" spans="22:44">
      <c r="V2339">
        <v>2331</v>
      </c>
      <c r="W2339">
        <v>182.93229810796879</v>
      </c>
      <c r="AQ2339">
        <f>SMALL('Iter No Test'!$W$9:$W$5008,2337)</f>
        <v>201.82910807169628</v>
      </c>
      <c r="AR2339">
        <f>1/(COUNT('Iter No Test'!$W$9:$W$5008)-1)+$AR$2338</f>
        <v>0.46729345869175698</v>
      </c>
    </row>
    <row r="2340" spans="22:44">
      <c r="V2340">
        <v>2332</v>
      </c>
      <c r="W2340">
        <v>282.3361296956881</v>
      </c>
      <c r="AQ2340">
        <f>SMALL('Iter No Test'!$W$9:$W$5008,2338)</f>
        <v>201.85122062650555</v>
      </c>
      <c r="AR2340">
        <f>1/(COUNT('Iter No Test'!$W$9:$W$5008)-1)+$AR$2339</f>
        <v>0.46749349869975859</v>
      </c>
    </row>
    <row r="2341" spans="22:44">
      <c r="V2341">
        <v>2333</v>
      </c>
      <c r="W2341">
        <v>135.97502083726673</v>
      </c>
      <c r="AQ2341">
        <f>SMALL('Iter No Test'!$W$9:$W$5008,2339)</f>
        <v>201.87100578162475</v>
      </c>
      <c r="AR2341">
        <f>1/(COUNT('Iter No Test'!$W$9:$W$5008)-1)+$AR$2340</f>
        <v>0.4676935387077602</v>
      </c>
    </row>
    <row r="2342" spans="22:44">
      <c r="V2342">
        <v>2334</v>
      </c>
      <c r="W2342">
        <v>231.52690059321716</v>
      </c>
      <c r="AQ2342">
        <f>SMALL('Iter No Test'!$W$9:$W$5008,2340)</f>
        <v>201.88194788445699</v>
      </c>
      <c r="AR2342">
        <f>1/(COUNT('Iter No Test'!$W$9:$W$5008)-1)+$AR$2341</f>
        <v>0.46789357871576182</v>
      </c>
    </row>
    <row r="2343" spans="22:44">
      <c r="V2343">
        <v>2335</v>
      </c>
      <c r="W2343">
        <v>359.69875902904596</v>
      </c>
      <c r="AQ2343">
        <f>SMALL('Iter No Test'!$W$9:$W$5008,2341)</f>
        <v>201.88257962403679</v>
      </c>
      <c r="AR2343">
        <f>1/(COUNT('Iter No Test'!$W$9:$W$5008)-1)+$AR$2342</f>
        <v>0.46809361872376343</v>
      </c>
    </row>
    <row r="2344" spans="22:44">
      <c r="V2344">
        <v>2336</v>
      </c>
      <c r="W2344">
        <v>129.51161420770845</v>
      </c>
      <c r="AQ2344">
        <f>SMALL('Iter No Test'!$W$9:$W$5008,2342)</f>
        <v>201.89978607026435</v>
      </c>
      <c r="AR2344">
        <f>1/(COUNT('Iter No Test'!$W$9:$W$5008)-1)+$AR$2343</f>
        <v>0.46829365873176504</v>
      </c>
    </row>
    <row r="2345" spans="22:44">
      <c r="V2345">
        <v>2337</v>
      </c>
      <c r="W2345">
        <v>113.67736897761455</v>
      </c>
      <c r="AQ2345">
        <f>SMALL('Iter No Test'!$W$9:$W$5008,2343)</f>
        <v>201.94818882466581</v>
      </c>
      <c r="AR2345">
        <f>1/(COUNT('Iter No Test'!$W$9:$W$5008)-1)+$AR$2344</f>
        <v>0.46849369873976665</v>
      </c>
    </row>
    <row r="2346" spans="22:44">
      <c r="V2346">
        <v>2338</v>
      </c>
      <c r="W2346">
        <v>201.85122062650555</v>
      </c>
      <c r="AQ2346">
        <f>SMALL('Iter No Test'!$W$9:$W$5008,2344)</f>
        <v>201.95837804151216</v>
      </c>
      <c r="AR2346">
        <f>1/(COUNT('Iter No Test'!$W$9:$W$5008)-1)+$AR$2345</f>
        <v>0.46869373874776826</v>
      </c>
    </row>
    <row r="2347" spans="22:44">
      <c r="V2347">
        <v>2339</v>
      </c>
      <c r="W2347">
        <v>256.17310311764908</v>
      </c>
      <c r="AQ2347">
        <f>SMALL('Iter No Test'!$W$9:$W$5008,2345)</f>
        <v>201.98620339672331</v>
      </c>
      <c r="AR2347">
        <f>1/(COUNT('Iter No Test'!$W$9:$W$5008)-1)+$AR$2346</f>
        <v>0.46889377875576987</v>
      </c>
    </row>
    <row r="2348" spans="22:44">
      <c r="V2348">
        <v>2340</v>
      </c>
      <c r="W2348">
        <v>141.24392578061628</v>
      </c>
      <c r="AQ2348">
        <f>SMALL('Iter No Test'!$W$9:$W$5008,2346)</f>
        <v>202.04162090279465</v>
      </c>
      <c r="AR2348">
        <f>1/(COUNT('Iter No Test'!$W$9:$W$5008)-1)+$AR$2347</f>
        <v>0.46909381876377149</v>
      </c>
    </row>
    <row r="2349" spans="22:44">
      <c r="V2349">
        <v>2341</v>
      </c>
      <c r="W2349">
        <v>142.21683136356404</v>
      </c>
      <c r="AQ2349">
        <f>SMALL('Iter No Test'!$W$9:$W$5008,2347)</f>
        <v>202.09094704783053</v>
      </c>
      <c r="AR2349">
        <f>1/(COUNT('Iter No Test'!$W$9:$W$5008)-1)+$AR$2348</f>
        <v>0.4692938587717731</v>
      </c>
    </row>
    <row r="2350" spans="22:44">
      <c r="V2350">
        <v>2342</v>
      </c>
      <c r="W2350">
        <v>295.58710990561656</v>
      </c>
      <c r="AQ2350">
        <f>SMALL('Iter No Test'!$W$9:$W$5008,2348)</f>
        <v>202.11228858784807</v>
      </c>
      <c r="AR2350">
        <f>1/(COUNT('Iter No Test'!$W$9:$W$5008)-1)+$AR$2349</f>
        <v>0.46949389877977471</v>
      </c>
    </row>
    <row r="2351" spans="22:44">
      <c r="V2351">
        <v>2343</v>
      </c>
      <c r="W2351">
        <v>194.39172981472876</v>
      </c>
      <c r="AQ2351">
        <f>SMALL('Iter No Test'!$W$9:$W$5008,2349)</f>
        <v>202.16478885611892</v>
      </c>
      <c r="AR2351">
        <f>1/(COUNT('Iter No Test'!$W$9:$W$5008)-1)+$AR$2350</f>
        <v>0.46969393878777632</v>
      </c>
    </row>
    <row r="2352" spans="22:44">
      <c r="V2352">
        <v>2344</v>
      </c>
      <c r="W2352">
        <v>230.67016706832788</v>
      </c>
      <c r="AQ2352">
        <f>SMALL('Iter No Test'!$W$9:$W$5008,2350)</f>
        <v>202.18484509676409</v>
      </c>
      <c r="AR2352">
        <f>1/(COUNT('Iter No Test'!$W$9:$W$5008)-1)+$AR$2351</f>
        <v>0.46989397879577793</v>
      </c>
    </row>
    <row r="2353" spans="22:44">
      <c r="V2353">
        <v>2345</v>
      </c>
      <c r="W2353">
        <v>271.57215827422039</v>
      </c>
      <c r="AQ2353">
        <f>SMALL('Iter No Test'!$W$9:$W$5008,2351)</f>
        <v>202.34371551834477</v>
      </c>
      <c r="AR2353">
        <f>1/(COUNT('Iter No Test'!$W$9:$W$5008)-1)+$AR$2352</f>
        <v>0.47009401880377955</v>
      </c>
    </row>
    <row r="2354" spans="22:44">
      <c r="V2354">
        <v>2346</v>
      </c>
      <c r="W2354">
        <v>113.67687188527138</v>
      </c>
      <c r="AQ2354">
        <f>SMALL('Iter No Test'!$W$9:$W$5008,2352)</f>
        <v>202.40823874071023</v>
      </c>
      <c r="AR2354">
        <f>1/(COUNT('Iter No Test'!$W$9:$W$5008)-1)+$AR$2353</f>
        <v>0.47029405881178116</v>
      </c>
    </row>
    <row r="2355" spans="22:44">
      <c r="V2355">
        <v>2347</v>
      </c>
      <c r="W2355">
        <v>179.2095776247408</v>
      </c>
      <c r="AQ2355">
        <f>SMALL('Iter No Test'!$W$9:$W$5008,2353)</f>
        <v>202.55638100642574</v>
      </c>
      <c r="AR2355">
        <f>1/(COUNT('Iter No Test'!$W$9:$W$5008)-1)+$AR$2354</f>
        <v>0.47049409881978277</v>
      </c>
    </row>
    <row r="2356" spans="22:44">
      <c r="V2356">
        <v>2348</v>
      </c>
      <c r="W2356">
        <v>133.2002520137915</v>
      </c>
      <c r="AQ2356">
        <f>SMALL('Iter No Test'!$W$9:$W$5008,2354)</f>
        <v>202.60811118123891</v>
      </c>
      <c r="AR2356">
        <f>1/(COUNT('Iter No Test'!$W$9:$W$5008)-1)+$AR$2355</f>
        <v>0.47069413882778438</v>
      </c>
    </row>
    <row r="2357" spans="22:44">
      <c r="V2357">
        <v>2349</v>
      </c>
      <c r="W2357">
        <v>391.27794304416864</v>
      </c>
      <c r="AQ2357">
        <f>SMALL('Iter No Test'!$W$9:$W$5008,2355)</f>
        <v>202.64606365898683</v>
      </c>
      <c r="AR2357">
        <f>1/(COUNT('Iter No Test'!$W$9:$W$5008)-1)+$AR$2356</f>
        <v>0.47089417883578599</v>
      </c>
    </row>
    <row r="2358" spans="22:44">
      <c r="V2358">
        <v>2350</v>
      </c>
      <c r="W2358">
        <v>160.15179684631227</v>
      </c>
      <c r="AQ2358">
        <f>SMALL('Iter No Test'!$W$9:$W$5008,2356)</f>
        <v>202.738883441079</v>
      </c>
      <c r="AR2358">
        <f>1/(COUNT('Iter No Test'!$W$9:$W$5008)-1)+$AR$2357</f>
        <v>0.4710942188437876</v>
      </c>
    </row>
    <row r="2359" spans="22:44">
      <c r="V2359">
        <v>2351</v>
      </c>
      <c r="W2359">
        <v>217.65393446727239</v>
      </c>
      <c r="AQ2359">
        <f>SMALL('Iter No Test'!$W$9:$W$5008,2357)</f>
        <v>202.7435454856786</v>
      </c>
      <c r="AR2359">
        <f>1/(COUNT('Iter No Test'!$W$9:$W$5008)-1)+$AR$2358</f>
        <v>0.47129425885178922</v>
      </c>
    </row>
    <row r="2360" spans="22:44">
      <c r="V2360">
        <v>2352</v>
      </c>
      <c r="W2360">
        <v>282.22219628456185</v>
      </c>
      <c r="AQ2360">
        <f>SMALL('Iter No Test'!$W$9:$W$5008,2358)</f>
        <v>202.77321812012926</v>
      </c>
      <c r="AR2360">
        <f>1/(COUNT('Iter No Test'!$W$9:$W$5008)-1)+$AR$2359</f>
        <v>0.47149429885979083</v>
      </c>
    </row>
    <row r="2361" spans="22:44">
      <c r="V2361">
        <v>2353</v>
      </c>
      <c r="W2361">
        <v>442.950198385102</v>
      </c>
      <c r="AQ2361">
        <f>SMALL('Iter No Test'!$W$9:$W$5008,2359)</f>
        <v>202.78788811198677</v>
      </c>
      <c r="AR2361">
        <f>1/(COUNT('Iter No Test'!$W$9:$W$5008)-1)+$AR$2360</f>
        <v>0.47169433886779244</v>
      </c>
    </row>
    <row r="2362" spans="22:44">
      <c r="V2362">
        <v>2354</v>
      </c>
      <c r="W2362">
        <v>222.12589874768855</v>
      </c>
      <c r="AQ2362">
        <f>SMALL('Iter No Test'!$W$9:$W$5008,2360)</f>
        <v>202.81272174013287</v>
      </c>
      <c r="AR2362">
        <f>1/(COUNT('Iter No Test'!$W$9:$W$5008)-1)+$AR$2361</f>
        <v>0.47189437887579405</v>
      </c>
    </row>
    <row r="2363" spans="22:44">
      <c r="V2363">
        <v>2355</v>
      </c>
      <c r="W2363">
        <v>185.29321081426153</v>
      </c>
      <c r="AQ2363">
        <f>SMALL('Iter No Test'!$W$9:$W$5008,2361)</f>
        <v>202.81492184790201</v>
      </c>
      <c r="AR2363">
        <f>1/(COUNT('Iter No Test'!$W$9:$W$5008)-1)+$AR$2362</f>
        <v>0.47209441888379566</v>
      </c>
    </row>
    <row r="2364" spans="22:44">
      <c r="V2364">
        <v>2356</v>
      </c>
      <c r="W2364">
        <v>298.06182374388766</v>
      </c>
      <c r="AQ2364">
        <f>SMALL('Iter No Test'!$W$9:$W$5008,2362)</f>
        <v>202.82202067303388</v>
      </c>
      <c r="AR2364">
        <f>1/(COUNT('Iter No Test'!$W$9:$W$5008)-1)+$AR$2363</f>
        <v>0.47229445889179728</v>
      </c>
    </row>
    <row r="2365" spans="22:44">
      <c r="V2365">
        <v>2357</v>
      </c>
      <c r="W2365">
        <v>525.29076877015893</v>
      </c>
      <c r="AQ2365">
        <f>SMALL('Iter No Test'!$W$9:$W$5008,2363)</f>
        <v>202.96789837059853</v>
      </c>
      <c r="AR2365">
        <f>1/(COUNT('Iter No Test'!$W$9:$W$5008)-1)+$AR$2364</f>
        <v>0.47249449889979889</v>
      </c>
    </row>
    <row r="2366" spans="22:44">
      <c r="V2366">
        <v>2358</v>
      </c>
      <c r="W2366">
        <v>291.17534566858581</v>
      </c>
      <c r="AQ2366">
        <f>SMALL('Iter No Test'!$W$9:$W$5008,2364)</f>
        <v>203.03100189352628</v>
      </c>
      <c r="AR2366">
        <f>1/(COUNT('Iter No Test'!$W$9:$W$5008)-1)+$AR$2365</f>
        <v>0.4726945389078005</v>
      </c>
    </row>
    <row r="2367" spans="22:44">
      <c r="V2367">
        <v>2359</v>
      </c>
      <c r="W2367">
        <v>121.79316085916463</v>
      </c>
      <c r="AQ2367">
        <f>SMALL('Iter No Test'!$W$9:$W$5008,2365)</f>
        <v>203.08876969958177</v>
      </c>
      <c r="AR2367">
        <f>1/(COUNT('Iter No Test'!$W$9:$W$5008)-1)+$AR$2366</f>
        <v>0.47289457891580211</v>
      </c>
    </row>
    <row r="2368" spans="22:44">
      <c r="V2368">
        <v>2360</v>
      </c>
      <c r="W2368">
        <v>163.64859867506686</v>
      </c>
      <c r="AQ2368">
        <f>SMALL('Iter No Test'!$W$9:$W$5008,2366)</f>
        <v>203.10695709084999</v>
      </c>
      <c r="AR2368">
        <f>1/(COUNT('Iter No Test'!$W$9:$W$5008)-1)+$AR$2367</f>
        <v>0.47309461892380372</v>
      </c>
    </row>
    <row r="2369" spans="22:44">
      <c r="V2369">
        <v>2361</v>
      </c>
      <c r="W2369">
        <v>167.5547348906012</v>
      </c>
      <c r="AQ2369">
        <f>SMALL('Iter No Test'!$W$9:$W$5008,2367)</f>
        <v>203.21542579142883</v>
      </c>
      <c r="AR2369">
        <f>1/(COUNT('Iter No Test'!$W$9:$W$5008)-1)+$AR$2368</f>
        <v>0.47329465893180533</v>
      </c>
    </row>
    <row r="2370" spans="22:44">
      <c r="V2370">
        <v>2362</v>
      </c>
      <c r="W2370">
        <v>135.66434263740805</v>
      </c>
      <c r="AQ2370">
        <f>SMALL('Iter No Test'!$W$9:$W$5008,2368)</f>
        <v>203.25454390183336</v>
      </c>
      <c r="AR2370">
        <f>1/(COUNT('Iter No Test'!$W$9:$W$5008)-1)+$AR$2369</f>
        <v>0.47349469893980695</v>
      </c>
    </row>
    <row r="2371" spans="22:44">
      <c r="V2371">
        <v>2363</v>
      </c>
      <c r="W2371">
        <v>46.005150118301309</v>
      </c>
      <c r="AQ2371">
        <f>SMALL('Iter No Test'!$W$9:$W$5008,2369)</f>
        <v>203.27344657168624</v>
      </c>
      <c r="AR2371">
        <f>1/(COUNT('Iter No Test'!$W$9:$W$5008)-1)+$AR$2370</f>
        <v>0.47369473894780856</v>
      </c>
    </row>
    <row r="2372" spans="22:44">
      <c r="V2372">
        <v>2364</v>
      </c>
      <c r="W2372">
        <v>269.42917022297627</v>
      </c>
      <c r="AQ2372">
        <f>SMALL('Iter No Test'!$W$9:$W$5008,2370)</f>
        <v>203.31920944023449</v>
      </c>
      <c r="AR2372">
        <f>1/(COUNT('Iter No Test'!$W$9:$W$5008)-1)+$AR$2371</f>
        <v>0.47389477895581017</v>
      </c>
    </row>
    <row r="2373" spans="22:44">
      <c r="V2373">
        <v>2365</v>
      </c>
      <c r="W2373">
        <v>196.71159316360584</v>
      </c>
      <c r="AQ2373">
        <f>SMALL('Iter No Test'!$W$9:$W$5008,2371)</f>
        <v>203.32441871488638</v>
      </c>
      <c r="AR2373">
        <f>1/(COUNT('Iter No Test'!$W$9:$W$5008)-1)+$AR$2372</f>
        <v>0.47409481896381178</v>
      </c>
    </row>
    <row r="2374" spans="22:44">
      <c r="V2374">
        <v>2366</v>
      </c>
      <c r="W2374">
        <v>177.62746456313599</v>
      </c>
      <c r="AQ2374">
        <f>SMALL('Iter No Test'!$W$9:$W$5008,2372)</f>
        <v>203.3335571626892</v>
      </c>
      <c r="AR2374">
        <f>1/(COUNT('Iter No Test'!$W$9:$W$5008)-1)+$AR$2373</f>
        <v>0.47429485897181339</v>
      </c>
    </row>
    <row r="2375" spans="22:44">
      <c r="V2375">
        <v>2367</v>
      </c>
      <c r="W2375">
        <v>146.89403162941284</v>
      </c>
      <c r="AQ2375">
        <f>SMALL('Iter No Test'!$W$9:$W$5008,2373)</f>
        <v>203.34638985521994</v>
      </c>
      <c r="AR2375">
        <f>1/(COUNT('Iter No Test'!$W$9:$W$5008)-1)+$AR$2374</f>
        <v>0.47449489897981501</v>
      </c>
    </row>
    <row r="2376" spans="22:44">
      <c r="V2376">
        <v>2368</v>
      </c>
      <c r="W2376">
        <v>183.23450949148119</v>
      </c>
      <c r="AQ2376">
        <f>SMALL('Iter No Test'!$W$9:$W$5008,2374)</f>
        <v>203.35723284077372</v>
      </c>
      <c r="AR2376">
        <f>1/(COUNT('Iter No Test'!$W$9:$W$5008)-1)+$AR$2375</f>
        <v>0.47469493898781662</v>
      </c>
    </row>
    <row r="2377" spans="22:44">
      <c r="V2377">
        <v>2369</v>
      </c>
      <c r="W2377">
        <v>116.94865302973635</v>
      </c>
      <c r="AQ2377">
        <f>SMALL('Iter No Test'!$W$9:$W$5008,2375)</f>
        <v>203.40237197698295</v>
      </c>
      <c r="AR2377">
        <f>1/(COUNT('Iter No Test'!$W$9:$W$5008)-1)+$AR$2376</f>
        <v>0.47489497899581823</v>
      </c>
    </row>
    <row r="2378" spans="22:44">
      <c r="V2378">
        <v>2370</v>
      </c>
      <c r="W2378">
        <v>176.08763369569948</v>
      </c>
      <c r="AQ2378">
        <f>SMALL('Iter No Test'!$W$9:$W$5008,2376)</f>
        <v>203.41985045372985</v>
      </c>
      <c r="AR2378">
        <f>1/(COUNT('Iter No Test'!$W$9:$W$5008)-1)+$AR$2377</f>
        <v>0.47509501900381984</v>
      </c>
    </row>
    <row r="2379" spans="22:44">
      <c r="V2379">
        <v>2371</v>
      </c>
      <c r="W2379">
        <v>131.24812455395761</v>
      </c>
      <c r="AQ2379">
        <f>SMALL('Iter No Test'!$W$9:$W$5008,2377)</f>
        <v>203.55899398754366</v>
      </c>
      <c r="AR2379">
        <f>1/(COUNT('Iter No Test'!$W$9:$W$5008)-1)+$AR$2378</f>
        <v>0.47529505901182145</v>
      </c>
    </row>
    <row r="2380" spans="22:44">
      <c r="V2380">
        <v>2372</v>
      </c>
      <c r="W2380">
        <v>225.94247859166794</v>
      </c>
      <c r="AQ2380">
        <f>SMALL('Iter No Test'!$W$9:$W$5008,2378)</f>
        <v>203.56317288481748</v>
      </c>
      <c r="AR2380">
        <f>1/(COUNT('Iter No Test'!$W$9:$W$5008)-1)+$AR$2379</f>
        <v>0.47549509901982306</v>
      </c>
    </row>
    <row r="2381" spans="22:44">
      <c r="V2381">
        <v>2373</v>
      </c>
      <c r="W2381">
        <v>363.21595606517019</v>
      </c>
      <c r="AQ2381">
        <f>SMALL('Iter No Test'!$W$9:$W$5008,2379)</f>
        <v>203.56618476675033</v>
      </c>
      <c r="AR2381">
        <f>1/(COUNT('Iter No Test'!$W$9:$W$5008)-1)+$AR$2380</f>
        <v>0.47569513902782468</v>
      </c>
    </row>
    <row r="2382" spans="22:44">
      <c r="V2382">
        <v>2374</v>
      </c>
      <c r="W2382">
        <v>82.5280441924684</v>
      </c>
      <c r="AQ2382">
        <f>SMALL('Iter No Test'!$W$9:$W$5008,2380)</f>
        <v>203.63020373095168</v>
      </c>
      <c r="AR2382">
        <f>1/(COUNT('Iter No Test'!$W$9:$W$5008)-1)+$AR$2381</f>
        <v>0.47589517903582629</v>
      </c>
    </row>
    <row r="2383" spans="22:44">
      <c r="V2383">
        <v>2375</v>
      </c>
      <c r="W2383">
        <v>167.20897191386348</v>
      </c>
      <c r="AQ2383">
        <f>SMALL('Iter No Test'!$W$9:$W$5008,2381)</f>
        <v>203.66408808774818</v>
      </c>
      <c r="AR2383">
        <f>1/(COUNT('Iter No Test'!$W$9:$W$5008)-1)+$AR$2382</f>
        <v>0.4760952190438279</v>
      </c>
    </row>
    <row r="2384" spans="22:44">
      <c r="V2384">
        <v>2376</v>
      </c>
      <c r="W2384">
        <v>335.7090677042612</v>
      </c>
      <c r="AQ2384">
        <f>SMALL('Iter No Test'!$W$9:$W$5008,2382)</f>
        <v>203.7420064807755</v>
      </c>
      <c r="AR2384">
        <f>1/(COUNT('Iter No Test'!$W$9:$W$5008)-1)+$AR$2383</f>
        <v>0.47629525905182951</v>
      </c>
    </row>
    <row r="2385" spans="22:44">
      <c r="V2385">
        <v>2377</v>
      </c>
      <c r="W2385">
        <v>199.00595556844337</v>
      </c>
      <c r="AQ2385">
        <f>SMALL('Iter No Test'!$W$9:$W$5008,2383)</f>
        <v>203.77806365422276</v>
      </c>
      <c r="AR2385">
        <f>1/(COUNT('Iter No Test'!$W$9:$W$5008)-1)+$AR$2384</f>
        <v>0.47649529905983112</v>
      </c>
    </row>
    <row r="2386" spans="22:44">
      <c r="V2386">
        <v>2378</v>
      </c>
      <c r="W2386">
        <v>168.88972949275785</v>
      </c>
      <c r="AQ2386">
        <f>SMALL('Iter No Test'!$W$9:$W$5008,2384)</f>
        <v>203.92160094052991</v>
      </c>
      <c r="AR2386">
        <f>1/(COUNT('Iter No Test'!$W$9:$W$5008)-1)+$AR$2385</f>
        <v>0.47669533906783274</v>
      </c>
    </row>
    <row r="2387" spans="22:44">
      <c r="V2387">
        <v>2379</v>
      </c>
      <c r="W2387">
        <v>185.62668315290975</v>
      </c>
      <c r="AQ2387">
        <f>SMALL('Iter No Test'!$W$9:$W$5008,2385)</f>
        <v>203.93619175967535</v>
      </c>
      <c r="AR2387">
        <f>1/(COUNT('Iter No Test'!$W$9:$W$5008)-1)+$AR$2386</f>
        <v>0.47689537907583435</v>
      </c>
    </row>
    <row r="2388" spans="22:44">
      <c r="V2388">
        <v>2380</v>
      </c>
      <c r="W2388">
        <v>249.13417704803362</v>
      </c>
      <c r="AQ2388">
        <f>SMALL('Iter No Test'!$W$9:$W$5008,2386)</f>
        <v>203.99608637187751</v>
      </c>
      <c r="AR2388">
        <f>1/(COUNT('Iter No Test'!$W$9:$W$5008)-1)+$AR$2387</f>
        <v>0.47709541908383596</v>
      </c>
    </row>
    <row r="2389" spans="22:44">
      <c r="V2389">
        <v>2381</v>
      </c>
      <c r="W2389">
        <v>88.073141899839925</v>
      </c>
      <c r="AQ2389">
        <f>SMALL('Iter No Test'!$W$9:$W$5008,2387)</f>
        <v>204.03529619087746</v>
      </c>
      <c r="AR2389">
        <f>1/(COUNT('Iter No Test'!$W$9:$W$5008)-1)+$AR$2388</f>
        <v>0.47729545909183757</v>
      </c>
    </row>
    <row r="2390" spans="22:44">
      <c r="V2390">
        <v>2382</v>
      </c>
      <c r="W2390">
        <v>137.1829630737343</v>
      </c>
      <c r="AQ2390">
        <f>SMALL('Iter No Test'!$W$9:$W$5008,2388)</f>
        <v>204.06199978677856</v>
      </c>
      <c r="AR2390">
        <f>1/(COUNT('Iter No Test'!$W$9:$W$5008)-1)+$AR$2389</f>
        <v>0.47749549909983918</v>
      </c>
    </row>
    <row r="2391" spans="22:44">
      <c r="V2391">
        <v>2383</v>
      </c>
      <c r="W2391">
        <v>138.05606353737676</v>
      </c>
      <c r="AQ2391">
        <f>SMALL('Iter No Test'!$W$9:$W$5008,2389)</f>
        <v>204.06822379022049</v>
      </c>
      <c r="AR2391">
        <f>1/(COUNT('Iter No Test'!$W$9:$W$5008)-1)+$AR$2390</f>
        <v>0.47769553910784079</v>
      </c>
    </row>
    <row r="2392" spans="22:44">
      <c r="V2392">
        <v>2384</v>
      </c>
      <c r="W2392">
        <v>183.82455919270072</v>
      </c>
      <c r="AQ2392">
        <f>SMALL('Iter No Test'!$W$9:$W$5008,2390)</f>
        <v>204.07181861166507</v>
      </c>
      <c r="AR2392">
        <f>1/(COUNT('Iter No Test'!$W$9:$W$5008)-1)+$AR$2391</f>
        <v>0.47789557911584241</v>
      </c>
    </row>
    <row r="2393" spans="22:44">
      <c r="V2393">
        <v>2385</v>
      </c>
      <c r="W2393">
        <v>200.25527488053032</v>
      </c>
      <c r="AQ2393">
        <f>SMALL('Iter No Test'!$W$9:$W$5008,2391)</f>
        <v>204.1744334797165</v>
      </c>
      <c r="AR2393">
        <f>1/(COUNT('Iter No Test'!$W$9:$W$5008)-1)+$AR$2392</f>
        <v>0.47809561912384402</v>
      </c>
    </row>
    <row r="2394" spans="22:44">
      <c r="V2394">
        <v>2386</v>
      </c>
      <c r="W2394">
        <v>280.15907173764623</v>
      </c>
      <c r="AQ2394">
        <f>SMALL('Iter No Test'!$W$9:$W$5008,2392)</f>
        <v>204.19978630332602</v>
      </c>
      <c r="AR2394">
        <f>1/(COUNT('Iter No Test'!$W$9:$W$5008)-1)+$AR$2393</f>
        <v>0.47829565913184563</v>
      </c>
    </row>
    <row r="2395" spans="22:44">
      <c r="V2395">
        <v>2387</v>
      </c>
      <c r="W2395">
        <v>360.28872495864653</v>
      </c>
      <c r="AQ2395">
        <f>SMALL('Iter No Test'!$W$9:$W$5008,2393)</f>
        <v>204.21163990852213</v>
      </c>
      <c r="AR2395">
        <f>1/(COUNT('Iter No Test'!$W$9:$W$5008)-1)+$AR$2394</f>
        <v>0.47849569913984724</v>
      </c>
    </row>
    <row r="2396" spans="22:44">
      <c r="V2396">
        <v>2388</v>
      </c>
      <c r="W2396">
        <v>167.73657923482125</v>
      </c>
      <c r="AQ2396">
        <f>SMALL('Iter No Test'!$W$9:$W$5008,2394)</f>
        <v>204.29737280307495</v>
      </c>
      <c r="AR2396">
        <f>1/(COUNT('Iter No Test'!$W$9:$W$5008)-1)+$AR$2395</f>
        <v>0.47869573914784885</v>
      </c>
    </row>
    <row r="2397" spans="22:44">
      <c r="V2397">
        <v>2389</v>
      </c>
      <c r="W2397">
        <v>315.80480535917991</v>
      </c>
      <c r="AQ2397">
        <f>SMALL('Iter No Test'!$W$9:$W$5008,2395)</f>
        <v>204.4484793865779</v>
      </c>
      <c r="AR2397">
        <f>1/(COUNT('Iter No Test'!$W$9:$W$5008)-1)+$AR$2396</f>
        <v>0.47889577915585047</v>
      </c>
    </row>
    <row r="2398" spans="22:44">
      <c r="V2398">
        <v>2390</v>
      </c>
      <c r="W2398">
        <v>133.17263167176162</v>
      </c>
      <c r="AQ2398">
        <f>SMALL('Iter No Test'!$W$9:$W$5008,2396)</f>
        <v>204.54761454889695</v>
      </c>
      <c r="AR2398">
        <f>1/(COUNT('Iter No Test'!$W$9:$W$5008)-1)+$AR$2397</f>
        <v>0.47909581916385208</v>
      </c>
    </row>
    <row r="2399" spans="22:44">
      <c r="V2399">
        <v>2391</v>
      </c>
      <c r="W2399">
        <v>254.63693453734433</v>
      </c>
      <c r="AQ2399">
        <f>SMALL('Iter No Test'!$W$9:$W$5008,2397)</f>
        <v>204.59478536880118</v>
      </c>
      <c r="AR2399">
        <f>1/(COUNT('Iter No Test'!$W$9:$W$5008)-1)+$AR$2398</f>
        <v>0.47929585917185369</v>
      </c>
    </row>
    <row r="2400" spans="22:44">
      <c r="V2400">
        <v>2392</v>
      </c>
      <c r="W2400">
        <v>186.38580843176598</v>
      </c>
      <c r="AQ2400">
        <f>SMALL('Iter No Test'!$W$9:$W$5008,2398)</f>
        <v>204.64682262206929</v>
      </c>
      <c r="AR2400">
        <f>1/(COUNT('Iter No Test'!$W$9:$W$5008)-1)+$AR$2399</f>
        <v>0.4794958991798553</v>
      </c>
    </row>
    <row r="2401" spans="22:44">
      <c r="V2401">
        <v>2393</v>
      </c>
      <c r="W2401">
        <v>420.31727893366417</v>
      </c>
      <c r="AQ2401">
        <f>SMALL('Iter No Test'!$W$9:$W$5008,2399)</f>
        <v>204.6793529170254</v>
      </c>
      <c r="AR2401">
        <f>1/(COUNT('Iter No Test'!$W$9:$W$5008)-1)+$AR$2400</f>
        <v>0.47969593918785691</v>
      </c>
    </row>
    <row r="2402" spans="22:44">
      <c r="V2402">
        <v>2394</v>
      </c>
      <c r="W2402">
        <v>233.4808043385213</v>
      </c>
      <c r="AQ2402">
        <f>SMALL('Iter No Test'!$W$9:$W$5008,2400)</f>
        <v>204.8076923435658</v>
      </c>
      <c r="AR2402">
        <f>1/(COUNT('Iter No Test'!$W$9:$W$5008)-1)+$AR$2401</f>
        <v>0.47989597919585852</v>
      </c>
    </row>
    <row r="2403" spans="22:44">
      <c r="V2403">
        <v>2395</v>
      </c>
      <c r="W2403">
        <v>302.7231482469287</v>
      </c>
      <c r="AQ2403">
        <f>SMALL('Iter No Test'!$W$9:$W$5008,2401)</f>
        <v>204.86799860611018</v>
      </c>
      <c r="AR2403">
        <f>1/(COUNT('Iter No Test'!$W$9:$W$5008)-1)+$AR$2402</f>
        <v>0.48009601920386014</v>
      </c>
    </row>
    <row r="2404" spans="22:44">
      <c r="V2404">
        <v>2396</v>
      </c>
      <c r="W2404">
        <v>68.070684298227491</v>
      </c>
      <c r="AQ2404">
        <f>SMALL('Iter No Test'!$W$9:$W$5008,2402)</f>
        <v>204.90724515027142</v>
      </c>
      <c r="AR2404">
        <f>1/(COUNT('Iter No Test'!$W$9:$W$5008)-1)+$AR$2403</f>
        <v>0.48029605921186175</v>
      </c>
    </row>
    <row r="2405" spans="22:44">
      <c r="V2405">
        <v>2397</v>
      </c>
      <c r="W2405">
        <v>313.44358610820711</v>
      </c>
      <c r="AQ2405">
        <f>SMALL('Iter No Test'!$W$9:$W$5008,2403)</f>
        <v>204.94241314606501</v>
      </c>
      <c r="AR2405">
        <f>1/(COUNT('Iter No Test'!$W$9:$W$5008)-1)+$AR$2404</f>
        <v>0.48049609921986336</v>
      </c>
    </row>
    <row r="2406" spans="22:44">
      <c r="V2406">
        <v>2398</v>
      </c>
      <c r="W2406">
        <v>275.08968488503444</v>
      </c>
      <c r="AQ2406">
        <f>SMALL('Iter No Test'!$W$9:$W$5008,2404)</f>
        <v>204.9692447170421</v>
      </c>
      <c r="AR2406">
        <f>1/(COUNT('Iter No Test'!$W$9:$W$5008)-1)+$AR$2405</f>
        <v>0.48069613922786497</v>
      </c>
    </row>
    <row r="2407" spans="22:44">
      <c r="V2407">
        <v>2399</v>
      </c>
      <c r="W2407">
        <v>216.40374024300411</v>
      </c>
      <c r="AQ2407">
        <f>SMALL('Iter No Test'!$W$9:$W$5008,2405)</f>
        <v>205.00553875601184</v>
      </c>
      <c r="AR2407">
        <f>1/(COUNT('Iter No Test'!$W$9:$W$5008)-1)+$AR$2406</f>
        <v>0.48089617923586658</v>
      </c>
    </row>
    <row r="2408" spans="22:44">
      <c r="V2408">
        <v>2400</v>
      </c>
      <c r="W2408">
        <v>260.68608286923103</v>
      </c>
      <c r="AQ2408">
        <f>SMALL('Iter No Test'!$W$9:$W$5008,2406)</f>
        <v>205.0474396288931</v>
      </c>
      <c r="AR2408">
        <f>1/(COUNT('Iter No Test'!$W$9:$W$5008)-1)+$AR$2407</f>
        <v>0.4810962192438682</v>
      </c>
    </row>
    <row r="2409" spans="22:44">
      <c r="V2409">
        <v>2401</v>
      </c>
      <c r="W2409">
        <v>163.68379779028169</v>
      </c>
      <c r="AQ2409">
        <f>SMALL('Iter No Test'!$W$9:$W$5008,2407)</f>
        <v>205.05446898409596</v>
      </c>
      <c r="AR2409">
        <f>1/(COUNT('Iter No Test'!$W$9:$W$5008)-1)+$AR$2408</f>
        <v>0.48129625925186981</v>
      </c>
    </row>
    <row r="2410" spans="22:44">
      <c r="V2410">
        <v>2402</v>
      </c>
      <c r="W2410">
        <v>422.90567201263741</v>
      </c>
      <c r="AQ2410">
        <f>SMALL('Iter No Test'!$W$9:$W$5008,2408)</f>
        <v>205.13519483508585</v>
      </c>
      <c r="AR2410">
        <f>1/(COUNT('Iter No Test'!$W$9:$W$5008)-1)+$AR$2409</f>
        <v>0.48149629925987142</v>
      </c>
    </row>
    <row r="2411" spans="22:44">
      <c r="V2411">
        <v>2403</v>
      </c>
      <c r="W2411">
        <v>228.62596570015091</v>
      </c>
      <c r="AQ2411">
        <f>SMALL('Iter No Test'!$W$9:$W$5008,2409)</f>
        <v>205.14819742210781</v>
      </c>
      <c r="AR2411">
        <f>1/(COUNT('Iter No Test'!$W$9:$W$5008)-1)+$AR$2410</f>
        <v>0.48169633926787303</v>
      </c>
    </row>
    <row r="2412" spans="22:44">
      <c r="V2412">
        <v>2404</v>
      </c>
      <c r="W2412">
        <v>341.38124984177847</v>
      </c>
      <c r="AQ2412">
        <f>SMALL('Iter No Test'!$W$9:$W$5008,2410)</f>
        <v>205.17957949462016</v>
      </c>
      <c r="AR2412">
        <f>1/(COUNT('Iter No Test'!$W$9:$W$5008)-1)+$AR$2411</f>
        <v>0.48189637927587464</v>
      </c>
    </row>
    <row r="2413" spans="22:44">
      <c r="V2413">
        <v>2405</v>
      </c>
      <c r="W2413">
        <v>282.0331342923696</v>
      </c>
      <c r="AQ2413">
        <f>SMALL('Iter No Test'!$W$9:$W$5008,2411)</f>
        <v>205.19922936230699</v>
      </c>
      <c r="AR2413">
        <f>1/(COUNT('Iter No Test'!$W$9:$W$5008)-1)+$AR$2412</f>
        <v>0.48209641928387625</v>
      </c>
    </row>
    <row r="2414" spans="22:44">
      <c r="V2414">
        <v>2406</v>
      </c>
      <c r="W2414">
        <v>137.98314912417777</v>
      </c>
      <c r="AQ2414">
        <f>SMALL('Iter No Test'!$W$9:$W$5008,2412)</f>
        <v>205.21082198146078</v>
      </c>
      <c r="AR2414">
        <f>1/(COUNT('Iter No Test'!$W$9:$W$5008)-1)+$AR$2413</f>
        <v>0.48229645929187787</v>
      </c>
    </row>
    <row r="2415" spans="22:44">
      <c r="V2415">
        <v>2407</v>
      </c>
      <c r="W2415">
        <v>248.85055775794279</v>
      </c>
      <c r="AQ2415">
        <f>SMALL('Iter No Test'!$W$9:$W$5008,2413)</f>
        <v>205.24287522793594</v>
      </c>
      <c r="AR2415">
        <f>1/(COUNT('Iter No Test'!$W$9:$W$5008)-1)+$AR$2414</f>
        <v>0.48249649929987948</v>
      </c>
    </row>
    <row r="2416" spans="22:44">
      <c r="V2416">
        <v>2408</v>
      </c>
      <c r="W2416">
        <v>318.86056877224246</v>
      </c>
      <c r="AQ2416">
        <f>SMALL('Iter No Test'!$W$9:$W$5008,2414)</f>
        <v>205.25382423234242</v>
      </c>
      <c r="AR2416">
        <f>1/(COUNT('Iter No Test'!$W$9:$W$5008)-1)+$AR$2415</f>
        <v>0.48269653930788109</v>
      </c>
    </row>
    <row r="2417" spans="22:44">
      <c r="V2417">
        <v>2409</v>
      </c>
      <c r="W2417">
        <v>196.73579794084441</v>
      </c>
      <c r="AQ2417">
        <f>SMALL('Iter No Test'!$W$9:$W$5008,2415)</f>
        <v>205.42204816689031</v>
      </c>
      <c r="AR2417">
        <f>1/(COUNT('Iter No Test'!$W$9:$W$5008)-1)+$AR$2416</f>
        <v>0.4828965793158827</v>
      </c>
    </row>
    <row r="2418" spans="22:44">
      <c r="V2418">
        <v>2410</v>
      </c>
      <c r="W2418">
        <v>161.65722694529757</v>
      </c>
      <c r="AQ2418">
        <f>SMALL('Iter No Test'!$W$9:$W$5008,2416)</f>
        <v>205.48838153646543</v>
      </c>
      <c r="AR2418">
        <f>1/(COUNT('Iter No Test'!$W$9:$W$5008)-1)+$AR$2417</f>
        <v>0.48309661932388431</v>
      </c>
    </row>
    <row r="2419" spans="22:44">
      <c r="V2419">
        <v>2411</v>
      </c>
      <c r="W2419">
        <v>157.42672048867507</v>
      </c>
      <c r="AQ2419">
        <f>SMALL('Iter No Test'!$W$9:$W$5008,2417)</f>
        <v>205.57233467377463</v>
      </c>
      <c r="AR2419">
        <f>1/(COUNT('Iter No Test'!$W$9:$W$5008)-1)+$AR$2418</f>
        <v>0.48329665933188592</v>
      </c>
    </row>
    <row r="2420" spans="22:44">
      <c r="V2420">
        <v>2412</v>
      </c>
      <c r="W2420">
        <v>55.084390382039828</v>
      </c>
      <c r="AQ2420">
        <f>SMALL('Iter No Test'!$W$9:$W$5008,2418)</f>
        <v>205.64413029460295</v>
      </c>
      <c r="AR2420">
        <f>1/(COUNT('Iter No Test'!$W$9:$W$5008)-1)+$AR$2419</f>
        <v>0.48349669933988754</v>
      </c>
    </row>
    <row r="2421" spans="22:44">
      <c r="V2421">
        <v>2413</v>
      </c>
      <c r="W2421">
        <v>201.88194788445699</v>
      </c>
      <c r="AQ2421">
        <f>SMALL('Iter No Test'!$W$9:$W$5008,2419)</f>
        <v>205.64530500596254</v>
      </c>
      <c r="AR2421">
        <f>1/(COUNT('Iter No Test'!$W$9:$W$5008)-1)+$AR$2420</f>
        <v>0.48369673934788915</v>
      </c>
    </row>
    <row r="2422" spans="22:44">
      <c r="V2422">
        <v>2414</v>
      </c>
      <c r="W2422">
        <v>144.54341747078502</v>
      </c>
      <c r="AQ2422">
        <f>SMALL('Iter No Test'!$W$9:$W$5008,2420)</f>
        <v>205.71743397927798</v>
      </c>
      <c r="AR2422">
        <f>1/(COUNT('Iter No Test'!$W$9:$W$5008)-1)+$AR$2421</f>
        <v>0.48389677935589076</v>
      </c>
    </row>
    <row r="2423" spans="22:44">
      <c r="V2423">
        <v>2415</v>
      </c>
      <c r="W2423">
        <v>265.56559860471401</v>
      </c>
      <c r="AQ2423">
        <f>SMALL('Iter No Test'!$W$9:$W$5008,2421)</f>
        <v>205.73807074784006</v>
      </c>
      <c r="AR2423">
        <f>1/(COUNT('Iter No Test'!$W$9:$W$5008)-1)+$AR$2422</f>
        <v>0.48409681936389237</v>
      </c>
    </row>
    <row r="2424" spans="22:44">
      <c r="V2424">
        <v>2416</v>
      </c>
      <c r="W2424">
        <v>236.85852001651864</v>
      </c>
      <c r="AQ2424">
        <f>SMALL('Iter No Test'!$W$9:$W$5008,2422)</f>
        <v>205.8199153211705</v>
      </c>
      <c r="AR2424">
        <f>1/(COUNT('Iter No Test'!$W$9:$W$5008)-1)+$AR$2423</f>
        <v>0.48429685937189398</v>
      </c>
    </row>
    <row r="2425" spans="22:44">
      <c r="V2425">
        <v>2417</v>
      </c>
      <c r="W2425">
        <v>163.72372425937127</v>
      </c>
      <c r="AQ2425">
        <f>SMALL('Iter No Test'!$W$9:$W$5008,2423)</f>
        <v>205.8687042473552</v>
      </c>
      <c r="AR2425">
        <f>1/(COUNT('Iter No Test'!$W$9:$W$5008)-1)+$AR$2424</f>
        <v>0.4844968993798956</v>
      </c>
    </row>
    <row r="2426" spans="22:44">
      <c r="V2426">
        <v>2418</v>
      </c>
      <c r="W2426">
        <v>149.06158034800166</v>
      </c>
      <c r="AQ2426">
        <f>SMALL('Iter No Test'!$W$9:$W$5008,2424)</f>
        <v>205.9494290148296</v>
      </c>
      <c r="AR2426">
        <f>1/(COUNT('Iter No Test'!$W$9:$W$5008)-1)+$AR$2425</f>
        <v>0.48469693938789721</v>
      </c>
    </row>
    <row r="2427" spans="22:44">
      <c r="V2427">
        <v>2419</v>
      </c>
      <c r="W2427">
        <v>418.89124070288443</v>
      </c>
      <c r="AQ2427">
        <f>SMALL('Iter No Test'!$W$9:$W$5008,2425)</f>
        <v>205.97623577848447</v>
      </c>
      <c r="AR2427">
        <f>1/(COUNT('Iter No Test'!$W$9:$W$5008)-1)+$AR$2426</f>
        <v>0.48489697939589882</v>
      </c>
    </row>
    <row r="2428" spans="22:44">
      <c r="V2428">
        <v>2420</v>
      </c>
      <c r="W2428">
        <v>288.53003448852161</v>
      </c>
      <c r="AQ2428">
        <f>SMALL('Iter No Test'!$W$9:$W$5008,2426)</f>
        <v>205.97849980610954</v>
      </c>
      <c r="AR2428">
        <f>1/(COUNT('Iter No Test'!$W$9:$W$5008)-1)+$AR$2427</f>
        <v>0.48509701940390043</v>
      </c>
    </row>
    <row r="2429" spans="22:44">
      <c r="V2429">
        <v>2421</v>
      </c>
      <c r="W2429">
        <v>112.10424072113848</v>
      </c>
      <c r="AQ2429">
        <f>SMALL('Iter No Test'!$W$9:$W$5008,2427)</f>
        <v>206.00480891257837</v>
      </c>
      <c r="AR2429">
        <f>1/(COUNT('Iter No Test'!$W$9:$W$5008)-1)+$AR$2428</f>
        <v>0.48529705941190204</v>
      </c>
    </row>
    <row r="2430" spans="22:44">
      <c r="V2430">
        <v>2422</v>
      </c>
      <c r="W2430">
        <v>251.33435669274235</v>
      </c>
      <c r="AQ2430">
        <f>SMALL('Iter No Test'!$W$9:$W$5008,2428)</f>
        <v>206.04060568483928</v>
      </c>
      <c r="AR2430">
        <f>1/(COUNT('Iter No Test'!$W$9:$W$5008)-1)+$AR$2429</f>
        <v>0.48549709941990365</v>
      </c>
    </row>
    <row r="2431" spans="22:44">
      <c r="V2431">
        <v>2423</v>
      </c>
      <c r="W2431">
        <v>163.95663406244728</v>
      </c>
      <c r="AQ2431">
        <f>SMALL('Iter No Test'!$W$9:$W$5008,2429)</f>
        <v>206.04377917045977</v>
      </c>
      <c r="AR2431">
        <f>1/(COUNT('Iter No Test'!$W$9:$W$5008)-1)+$AR$2430</f>
        <v>0.48569713942790527</v>
      </c>
    </row>
    <row r="2432" spans="22:44">
      <c r="V2432">
        <v>2424</v>
      </c>
      <c r="W2432">
        <v>241.46774575711376</v>
      </c>
      <c r="AQ2432">
        <f>SMALL('Iter No Test'!$W$9:$W$5008,2430)</f>
        <v>206.06538096650007</v>
      </c>
      <c r="AR2432">
        <f>1/(COUNT('Iter No Test'!$W$9:$W$5008)-1)+$AR$2431</f>
        <v>0.48589717943590688</v>
      </c>
    </row>
    <row r="2433" spans="22:44">
      <c r="V2433">
        <v>2425</v>
      </c>
      <c r="W2433">
        <v>250.20485710365588</v>
      </c>
      <c r="AQ2433">
        <f>SMALL('Iter No Test'!$W$9:$W$5008,2431)</f>
        <v>206.06749304512496</v>
      </c>
      <c r="AR2433">
        <f>1/(COUNT('Iter No Test'!$W$9:$W$5008)-1)+$AR$2432</f>
        <v>0.48609721944390849</v>
      </c>
    </row>
    <row r="2434" spans="22:44">
      <c r="V2434">
        <v>2426</v>
      </c>
      <c r="W2434">
        <v>233.22714984829994</v>
      </c>
      <c r="AQ2434">
        <f>SMALL('Iter No Test'!$W$9:$W$5008,2432)</f>
        <v>206.08266230068932</v>
      </c>
      <c r="AR2434">
        <f>1/(COUNT('Iter No Test'!$W$9:$W$5008)-1)+$AR$2433</f>
        <v>0.4862972594519101</v>
      </c>
    </row>
    <row r="2435" spans="22:44">
      <c r="V2435">
        <v>2427</v>
      </c>
      <c r="W2435">
        <v>157.52039142829449</v>
      </c>
      <c r="AQ2435">
        <f>SMALL('Iter No Test'!$W$9:$W$5008,2433)</f>
        <v>206.12244224792278</v>
      </c>
      <c r="AR2435">
        <f>1/(COUNT('Iter No Test'!$W$9:$W$5008)-1)+$AR$2434</f>
        <v>0.48649729945991171</v>
      </c>
    </row>
    <row r="2436" spans="22:44">
      <c r="V2436">
        <v>2428</v>
      </c>
      <c r="W2436">
        <v>270.32104083331598</v>
      </c>
      <c r="AQ2436">
        <f>SMALL('Iter No Test'!$W$9:$W$5008,2434)</f>
        <v>206.15936790778596</v>
      </c>
      <c r="AR2436">
        <f>1/(COUNT('Iter No Test'!$W$9:$W$5008)-1)+$AR$2435</f>
        <v>0.48669733946791333</v>
      </c>
    </row>
    <row r="2437" spans="22:44">
      <c r="V2437">
        <v>2429</v>
      </c>
      <c r="W2437">
        <v>190.78269290564725</v>
      </c>
      <c r="AQ2437">
        <f>SMALL('Iter No Test'!$W$9:$W$5008,2435)</f>
        <v>206.1814615742779</v>
      </c>
      <c r="AR2437">
        <f>1/(COUNT('Iter No Test'!$W$9:$W$5008)-1)+$AR$2436</f>
        <v>0.48689737947591494</v>
      </c>
    </row>
    <row r="2438" spans="22:44">
      <c r="V2438">
        <v>2430</v>
      </c>
      <c r="W2438">
        <v>220.8297536717846</v>
      </c>
      <c r="AQ2438">
        <f>SMALL('Iter No Test'!$W$9:$W$5008,2436)</f>
        <v>206.19263408905005</v>
      </c>
      <c r="AR2438">
        <f>1/(COUNT('Iter No Test'!$W$9:$W$5008)-1)+$AR$2437</f>
        <v>0.48709741948391655</v>
      </c>
    </row>
    <row r="2439" spans="22:44">
      <c r="V2439">
        <v>2431</v>
      </c>
      <c r="W2439">
        <v>294.29354772725003</v>
      </c>
      <c r="AQ2439">
        <f>SMALL('Iter No Test'!$W$9:$W$5008,2437)</f>
        <v>206.19330505633482</v>
      </c>
      <c r="AR2439">
        <f>1/(COUNT('Iter No Test'!$W$9:$W$5008)-1)+$AR$2438</f>
        <v>0.48729745949191816</v>
      </c>
    </row>
    <row r="2440" spans="22:44">
      <c r="V2440">
        <v>2432</v>
      </c>
      <c r="W2440">
        <v>178.59575283134689</v>
      </c>
      <c r="AQ2440">
        <f>SMALL('Iter No Test'!$W$9:$W$5008,2438)</f>
        <v>206.2065562849827</v>
      </c>
      <c r="AR2440">
        <f>1/(COUNT('Iter No Test'!$W$9:$W$5008)-1)+$AR$2439</f>
        <v>0.48749749949991977</v>
      </c>
    </row>
    <row r="2441" spans="22:44">
      <c r="V2441">
        <v>2433</v>
      </c>
      <c r="W2441">
        <v>455.48337615721243</v>
      </c>
      <c r="AQ2441">
        <f>SMALL('Iter No Test'!$W$9:$W$5008,2439)</f>
        <v>206.27222656959782</v>
      </c>
      <c r="AR2441">
        <f>1/(COUNT('Iter No Test'!$W$9:$W$5008)-1)+$AR$2440</f>
        <v>0.48769753950792138</v>
      </c>
    </row>
    <row r="2442" spans="22:44">
      <c r="V2442">
        <v>2434</v>
      </c>
      <c r="W2442">
        <v>90.924857898957725</v>
      </c>
      <c r="AQ2442">
        <f>SMALL('Iter No Test'!$W$9:$W$5008,2440)</f>
        <v>206.28748195201712</v>
      </c>
      <c r="AR2442">
        <f>1/(COUNT('Iter No Test'!$W$9:$W$5008)-1)+$AR$2441</f>
        <v>0.487897579515923</v>
      </c>
    </row>
    <row r="2443" spans="22:44">
      <c r="V2443">
        <v>2435</v>
      </c>
      <c r="W2443">
        <v>234.50304473909426</v>
      </c>
      <c r="AQ2443">
        <f>SMALL('Iter No Test'!$W$9:$W$5008,2441)</f>
        <v>206.38276605638077</v>
      </c>
      <c r="AR2443">
        <f>1/(COUNT('Iter No Test'!$W$9:$W$5008)-1)+$AR$2442</f>
        <v>0.48809761952392461</v>
      </c>
    </row>
    <row r="2444" spans="22:44">
      <c r="V2444">
        <v>2436</v>
      </c>
      <c r="W2444">
        <v>164.42903377079642</v>
      </c>
      <c r="AQ2444">
        <f>SMALL('Iter No Test'!$W$9:$W$5008,2442)</f>
        <v>206.38995398618044</v>
      </c>
      <c r="AR2444">
        <f>1/(COUNT('Iter No Test'!$W$9:$W$5008)-1)+$AR$2443</f>
        <v>0.48829765953192622</v>
      </c>
    </row>
    <row r="2445" spans="22:44">
      <c r="V2445">
        <v>2437</v>
      </c>
      <c r="W2445">
        <v>129.13908128408124</v>
      </c>
      <c r="AQ2445">
        <f>SMALL('Iter No Test'!$W$9:$W$5008,2443)</f>
        <v>206.46096559362667</v>
      </c>
      <c r="AR2445">
        <f>1/(COUNT('Iter No Test'!$W$9:$W$5008)-1)+$AR$2444</f>
        <v>0.48849769953992783</v>
      </c>
    </row>
    <row r="2446" spans="22:44">
      <c r="V2446">
        <v>2438</v>
      </c>
      <c r="W2446">
        <v>447.73544482619843</v>
      </c>
      <c r="AQ2446">
        <f>SMALL('Iter No Test'!$W$9:$W$5008,2444)</f>
        <v>206.48253778501066</v>
      </c>
      <c r="AR2446">
        <f>1/(COUNT('Iter No Test'!$W$9:$W$5008)-1)+$AR$2445</f>
        <v>0.48869773954792944</v>
      </c>
    </row>
    <row r="2447" spans="22:44">
      <c r="V2447">
        <v>2439</v>
      </c>
      <c r="W2447">
        <v>260.53732381708403</v>
      </c>
      <c r="AQ2447">
        <f>SMALL('Iter No Test'!$W$9:$W$5008,2445)</f>
        <v>206.49566027667794</v>
      </c>
      <c r="AR2447">
        <f>1/(COUNT('Iter No Test'!$W$9:$W$5008)-1)+$AR$2446</f>
        <v>0.48889777955593106</v>
      </c>
    </row>
    <row r="2448" spans="22:44">
      <c r="V2448">
        <v>2440</v>
      </c>
      <c r="W2448">
        <v>373.26040630205688</v>
      </c>
      <c r="AQ2448">
        <f>SMALL('Iter No Test'!$W$9:$W$5008,2446)</f>
        <v>206.55361494289087</v>
      </c>
      <c r="AR2448">
        <f>1/(COUNT('Iter No Test'!$W$9:$W$5008)-1)+$AR$2447</f>
        <v>0.48909781956393267</v>
      </c>
    </row>
    <row r="2449" spans="22:44">
      <c r="V2449">
        <v>2441</v>
      </c>
      <c r="W2449">
        <v>109.65985696327562</v>
      </c>
      <c r="AQ2449">
        <f>SMALL('Iter No Test'!$W$9:$W$5008,2447)</f>
        <v>206.603800368522</v>
      </c>
      <c r="AR2449">
        <f>1/(COUNT('Iter No Test'!$W$9:$W$5008)-1)+$AR$2448</f>
        <v>0.48929785957193428</v>
      </c>
    </row>
    <row r="2450" spans="22:44">
      <c r="V2450">
        <v>2442</v>
      </c>
      <c r="W2450">
        <v>410.10966902399116</v>
      </c>
      <c r="AQ2450">
        <f>SMALL('Iter No Test'!$W$9:$W$5008,2448)</f>
        <v>206.65786304265265</v>
      </c>
      <c r="AR2450">
        <f>1/(COUNT('Iter No Test'!$W$9:$W$5008)-1)+$AR$2449</f>
        <v>0.48949789957993589</v>
      </c>
    </row>
    <row r="2451" spans="22:44">
      <c r="V2451">
        <v>2443</v>
      </c>
      <c r="W2451">
        <v>155.75921179882675</v>
      </c>
      <c r="AQ2451">
        <f>SMALL('Iter No Test'!$W$9:$W$5008,2449)</f>
        <v>206.66007764394553</v>
      </c>
      <c r="AR2451">
        <f>1/(COUNT('Iter No Test'!$W$9:$W$5008)-1)+$AR$2450</f>
        <v>0.4896979395879375</v>
      </c>
    </row>
    <row r="2452" spans="22:44">
      <c r="V2452">
        <v>2444</v>
      </c>
      <c r="W2452">
        <v>227.51585982272286</v>
      </c>
      <c r="AQ2452">
        <f>SMALL('Iter No Test'!$W$9:$W$5008,2450)</f>
        <v>206.70049996580775</v>
      </c>
      <c r="AR2452">
        <f>1/(COUNT('Iter No Test'!$W$9:$W$5008)-1)+$AR$2451</f>
        <v>0.48989797959593911</v>
      </c>
    </row>
    <row r="2453" spans="22:44">
      <c r="V2453">
        <v>2445</v>
      </c>
      <c r="W2453">
        <v>176.04188330866475</v>
      </c>
      <c r="AQ2453">
        <f>SMALL('Iter No Test'!$W$9:$W$5008,2451)</f>
        <v>206.76629658298185</v>
      </c>
      <c r="AR2453">
        <f>1/(COUNT('Iter No Test'!$W$9:$W$5008)-1)+$AR$2452</f>
        <v>0.49009801960394073</v>
      </c>
    </row>
    <row r="2454" spans="22:44">
      <c r="V2454">
        <v>2446</v>
      </c>
      <c r="W2454">
        <v>207.23967999123832</v>
      </c>
      <c r="AQ2454">
        <f>SMALL('Iter No Test'!$W$9:$W$5008,2452)</f>
        <v>206.82071213534522</v>
      </c>
      <c r="AR2454">
        <f>1/(COUNT('Iter No Test'!$W$9:$W$5008)-1)+$AR$2453</f>
        <v>0.49029805961194234</v>
      </c>
    </row>
    <row r="2455" spans="22:44">
      <c r="V2455">
        <v>2447</v>
      </c>
      <c r="W2455">
        <v>201.79589263692753</v>
      </c>
      <c r="AQ2455">
        <f>SMALL('Iter No Test'!$W$9:$W$5008,2453)</f>
        <v>206.92244838190959</v>
      </c>
      <c r="AR2455">
        <f>1/(COUNT('Iter No Test'!$W$9:$W$5008)-1)+$AR$2454</f>
        <v>0.49049809961994395</v>
      </c>
    </row>
    <row r="2456" spans="22:44">
      <c r="V2456">
        <v>2448</v>
      </c>
      <c r="W2456">
        <v>55.697382353432289</v>
      </c>
      <c r="AQ2456">
        <f>SMALL('Iter No Test'!$W$9:$W$5008,2454)</f>
        <v>207.04710311189808</v>
      </c>
      <c r="AR2456">
        <f>1/(COUNT('Iter No Test'!$W$9:$W$5008)-1)+$AR$2455</f>
        <v>0.49069813962794556</v>
      </c>
    </row>
    <row r="2457" spans="22:44">
      <c r="V2457">
        <v>2449</v>
      </c>
      <c r="W2457">
        <v>119.80257996052511</v>
      </c>
      <c r="AQ2457">
        <f>SMALL('Iter No Test'!$W$9:$W$5008,2455)</f>
        <v>207.12902231406017</v>
      </c>
      <c r="AR2457">
        <f>1/(COUNT('Iter No Test'!$W$9:$W$5008)-1)+$AR$2456</f>
        <v>0.49089817963594717</v>
      </c>
    </row>
    <row r="2458" spans="22:44">
      <c r="V2458">
        <v>2450</v>
      </c>
      <c r="W2458">
        <v>81.127278512495153</v>
      </c>
      <c r="AQ2458">
        <f>SMALL('Iter No Test'!$W$9:$W$5008,2456)</f>
        <v>207.19213678236312</v>
      </c>
      <c r="AR2458">
        <f>1/(COUNT('Iter No Test'!$W$9:$W$5008)-1)+$AR$2457</f>
        <v>0.49109821964394879</v>
      </c>
    </row>
    <row r="2459" spans="22:44">
      <c r="V2459">
        <v>2451</v>
      </c>
      <c r="W2459">
        <v>139.90145071944121</v>
      </c>
      <c r="AQ2459">
        <f>SMALL('Iter No Test'!$W$9:$W$5008,2457)</f>
        <v>207.22565759842635</v>
      </c>
      <c r="AR2459">
        <f>1/(COUNT('Iter No Test'!$W$9:$W$5008)-1)+$AR$2458</f>
        <v>0.4912982596519504</v>
      </c>
    </row>
    <row r="2460" spans="22:44">
      <c r="V2460">
        <v>2452</v>
      </c>
      <c r="W2460">
        <v>376.20760962524469</v>
      </c>
      <c r="AQ2460">
        <f>SMALL('Iter No Test'!$W$9:$W$5008,2458)</f>
        <v>207.22772482741982</v>
      </c>
      <c r="AR2460">
        <f>1/(COUNT('Iter No Test'!$W$9:$W$5008)-1)+$AR$2459</f>
        <v>0.49149829965995201</v>
      </c>
    </row>
    <row r="2461" spans="22:44">
      <c r="V2461">
        <v>2453</v>
      </c>
      <c r="W2461">
        <v>172.02810020201355</v>
      </c>
      <c r="AQ2461">
        <f>SMALL('Iter No Test'!$W$9:$W$5008,2459)</f>
        <v>207.23197919682707</v>
      </c>
      <c r="AR2461">
        <f>1/(COUNT('Iter No Test'!$W$9:$W$5008)-1)+$AR$2460</f>
        <v>0.49169833966795362</v>
      </c>
    </row>
    <row r="2462" spans="22:44">
      <c r="V2462">
        <v>2454</v>
      </c>
      <c r="W2462">
        <v>83.63198655576798</v>
      </c>
      <c r="AQ2462">
        <f>SMALL('Iter No Test'!$W$9:$W$5008,2460)</f>
        <v>207.23967999123832</v>
      </c>
      <c r="AR2462">
        <f>1/(COUNT('Iter No Test'!$W$9:$W$5008)-1)+$AR$2461</f>
        <v>0.49189837967595523</v>
      </c>
    </row>
    <row r="2463" spans="22:44">
      <c r="V2463">
        <v>2455</v>
      </c>
      <c r="W2463">
        <v>153.65541156902097</v>
      </c>
      <c r="AQ2463">
        <f>SMALL('Iter No Test'!$W$9:$W$5008,2461)</f>
        <v>207.30920886867878</v>
      </c>
      <c r="AR2463">
        <f>1/(COUNT('Iter No Test'!$W$9:$W$5008)-1)+$AR$2462</f>
        <v>0.49209841968395684</v>
      </c>
    </row>
    <row r="2464" spans="22:44">
      <c r="V2464">
        <v>2456</v>
      </c>
      <c r="W2464">
        <v>184.91991800041214</v>
      </c>
      <c r="AQ2464">
        <f>SMALL('Iter No Test'!$W$9:$W$5008,2462)</f>
        <v>207.31540629857938</v>
      </c>
      <c r="AR2464">
        <f>1/(COUNT('Iter No Test'!$W$9:$W$5008)-1)+$AR$2463</f>
        <v>0.49229845969195846</v>
      </c>
    </row>
    <row r="2465" spans="22:44">
      <c r="V2465">
        <v>2457</v>
      </c>
      <c r="W2465">
        <v>266.66402130048448</v>
      </c>
      <c r="AQ2465">
        <f>SMALL('Iter No Test'!$W$9:$W$5008,2463)</f>
        <v>207.34932844549016</v>
      </c>
      <c r="AR2465">
        <f>1/(COUNT('Iter No Test'!$W$9:$W$5008)-1)+$AR$2464</f>
        <v>0.49249849969996007</v>
      </c>
    </row>
    <row r="2466" spans="22:44">
      <c r="V2466">
        <v>2458</v>
      </c>
      <c r="W2466">
        <v>184.17367331096401</v>
      </c>
      <c r="AQ2466">
        <f>SMALL('Iter No Test'!$W$9:$W$5008,2464)</f>
        <v>207.55131335757841</v>
      </c>
      <c r="AR2466">
        <f>1/(COUNT('Iter No Test'!$W$9:$W$5008)-1)+$AR$2465</f>
        <v>0.49269853970796168</v>
      </c>
    </row>
    <row r="2467" spans="22:44">
      <c r="V2467">
        <v>2459</v>
      </c>
      <c r="W2467">
        <v>206.27222656959782</v>
      </c>
      <c r="AQ2467">
        <f>SMALL('Iter No Test'!$W$9:$W$5008,2465)</f>
        <v>207.57406546971731</v>
      </c>
      <c r="AR2467">
        <f>1/(COUNT('Iter No Test'!$W$9:$W$5008)-1)+$AR$2466</f>
        <v>0.49289857971596329</v>
      </c>
    </row>
    <row r="2468" spans="22:44">
      <c r="V2468">
        <v>2460</v>
      </c>
      <c r="W2468">
        <v>178.11806385374911</v>
      </c>
      <c r="AQ2468">
        <f>SMALL('Iter No Test'!$W$9:$W$5008,2466)</f>
        <v>207.57451247804826</v>
      </c>
      <c r="AR2468">
        <f>1/(COUNT('Iter No Test'!$W$9:$W$5008)-1)+$AR$2467</f>
        <v>0.4930986197239649</v>
      </c>
    </row>
    <row r="2469" spans="22:44">
      <c r="V2469">
        <v>2461</v>
      </c>
      <c r="W2469">
        <v>345.34036824864313</v>
      </c>
      <c r="AQ2469">
        <f>SMALL('Iter No Test'!$W$9:$W$5008,2467)</f>
        <v>207.63009109396751</v>
      </c>
      <c r="AR2469">
        <f>1/(COUNT('Iter No Test'!$W$9:$W$5008)-1)+$AR$2468</f>
        <v>0.49329865973196652</v>
      </c>
    </row>
    <row r="2470" spans="22:44">
      <c r="V2470">
        <v>2462</v>
      </c>
      <c r="W2470">
        <v>293.73326699211293</v>
      </c>
      <c r="AQ2470">
        <f>SMALL('Iter No Test'!$W$9:$W$5008,2468)</f>
        <v>207.64505053263457</v>
      </c>
      <c r="AR2470">
        <f>1/(COUNT('Iter No Test'!$W$9:$W$5008)-1)+$AR$2469</f>
        <v>0.49349869973996813</v>
      </c>
    </row>
    <row r="2471" spans="22:44">
      <c r="V2471">
        <v>2463</v>
      </c>
      <c r="W2471">
        <v>191.11004048000154</v>
      </c>
      <c r="AQ2471">
        <f>SMALL('Iter No Test'!$W$9:$W$5008,2469)</f>
        <v>207.81481350879145</v>
      </c>
      <c r="AR2471">
        <f>1/(COUNT('Iter No Test'!$W$9:$W$5008)-1)+$AR$2470</f>
        <v>0.49369873974796974</v>
      </c>
    </row>
    <row r="2472" spans="22:44">
      <c r="V2472">
        <v>2464</v>
      </c>
      <c r="W2472">
        <v>223.67628302207797</v>
      </c>
      <c r="AQ2472">
        <f>SMALL('Iter No Test'!$W$9:$W$5008,2470)</f>
        <v>207.89447157700567</v>
      </c>
      <c r="AR2472">
        <f>1/(COUNT('Iter No Test'!$W$9:$W$5008)-1)+$AR$2471</f>
        <v>0.49389877975597135</v>
      </c>
    </row>
    <row r="2473" spans="22:44">
      <c r="V2473">
        <v>2465</v>
      </c>
      <c r="W2473">
        <v>189.92523663408264</v>
      </c>
      <c r="AQ2473">
        <f>SMALL('Iter No Test'!$W$9:$W$5008,2471)</f>
        <v>207.93010346835737</v>
      </c>
      <c r="AR2473">
        <f>1/(COUNT('Iter No Test'!$W$9:$W$5008)-1)+$AR$2472</f>
        <v>0.49409881976397296</v>
      </c>
    </row>
    <row r="2474" spans="22:44">
      <c r="V2474">
        <v>2466</v>
      </c>
      <c r="W2474">
        <v>194.04879226893001</v>
      </c>
      <c r="AQ2474">
        <f>SMALL('Iter No Test'!$W$9:$W$5008,2472)</f>
        <v>207.97647029407472</v>
      </c>
      <c r="AR2474">
        <f>1/(COUNT('Iter No Test'!$W$9:$W$5008)-1)+$AR$2473</f>
        <v>0.49429885977197457</v>
      </c>
    </row>
    <row r="2475" spans="22:44">
      <c r="V2475">
        <v>2467</v>
      </c>
      <c r="W2475">
        <v>154.57595662976195</v>
      </c>
      <c r="AQ2475">
        <f>SMALL('Iter No Test'!$W$9:$W$5008,2473)</f>
        <v>207.978561982152</v>
      </c>
      <c r="AR2475">
        <f>1/(COUNT('Iter No Test'!$W$9:$W$5008)-1)+$AR$2474</f>
        <v>0.49449889977997619</v>
      </c>
    </row>
    <row r="2476" spans="22:44">
      <c r="V2476">
        <v>2468</v>
      </c>
      <c r="W2476">
        <v>255.17474196338645</v>
      </c>
      <c r="AQ2476">
        <f>SMALL('Iter No Test'!$W$9:$W$5008,2474)</f>
        <v>207.99648451217465</v>
      </c>
      <c r="AR2476">
        <f>1/(COUNT('Iter No Test'!$W$9:$W$5008)-1)+$AR$2475</f>
        <v>0.4946989397879778</v>
      </c>
    </row>
    <row r="2477" spans="22:44">
      <c r="V2477">
        <v>2469</v>
      </c>
      <c r="W2477">
        <v>141.563853964717</v>
      </c>
      <c r="AQ2477">
        <f>SMALL('Iter No Test'!$W$9:$W$5008,2475)</f>
        <v>208.01656847147638</v>
      </c>
      <c r="AR2477">
        <f>1/(COUNT('Iter No Test'!$W$9:$W$5008)-1)+$AR$2476</f>
        <v>0.49489897979597941</v>
      </c>
    </row>
    <row r="2478" spans="22:44">
      <c r="V2478">
        <v>2470</v>
      </c>
      <c r="W2478">
        <v>88.664774910319522</v>
      </c>
      <c r="AQ2478">
        <f>SMALL('Iter No Test'!$W$9:$W$5008,2476)</f>
        <v>208.04217980614689</v>
      </c>
      <c r="AR2478">
        <f>1/(COUNT('Iter No Test'!$W$9:$W$5008)-1)+$AR$2477</f>
        <v>0.49509901980398102</v>
      </c>
    </row>
    <row r="2479" spans="22:44">
      <c r="V2479">
        <v>2471</v>
      </c>
      <c r="W2479">
        <v>168.63295473136031</v>
      </c>
      <c r="AQ2479">
        <f>SMALL('Iter No Test'!$W$9:$W$5008,2477)</f>
        <v>208.0708108582848</v>
      </c>
      <c r="AR2479">
        <f>1/(COUNT('Iter No Test'!$W$9:$W$5008)-1)+$AR$2478</f>
        <v>0.49529905981198263</v>
      </c>
    </row>
    <row r="2480" spans="22:44">
      <c r="V2480">
        <v>2472</v>
      </c>
      <c r="W2480">
        <v>181.51547003461769</v>
      </c>
      <c r="AQ2480">
        <f>SMALL('Iter No Test'!$W$9:$W$5008,2478)</f>
        <v>208.08381637923233</v>
      </c>
      <c r="AR2480">
        <f>1/(COUNT('Iter No Test'!$W$9:$W$5008)-1)+$AR$2479</f>
        <v>0.49549909981998425</v>
      </c>
    </row>
    <row r="2481" spans="22:44">
      <c r="V2481">
        <v>2473</v>
      </c>
      <c r="W2481">
        <v>335.2549049859424</v>
      </c>
      <c r="AQ2481">
        <f>SMALL('Iter No Test'!$W$9:$W$5008,2479)</f>
        <v>208.14250543977963</v>
      </c>
      <c r="AR2481">
        <f>1/(COUNT('Iter No Test'!$W$9:$W$5008)-1)+$AR$2480</f>
        <v>0.49569913982798586</v>
      </c>
    </row>
    <row r="2482" spans="22:44">
      <c r="V2482">
        <v>2474</v>
      </c>
      <c r="W2482">
        <v>381.49686951181934</v>
      </c>
      <c r="AQ2482">
        <f>SMALL('Iter No Test'!$W$9:$W$5008,2480)</f>
        <v>208.19983654960856</v>
      </c>
      <c r="AR2482">
        <f>1/(COUNT('Iter No Test'!$W$9:$W$5008)-1)+$AR$2481</f>
        <v>0.49589917983598747</v>
      </c>
    </row>
    <row r="2483" spans="22:44">
      <c r="V2483">
        <v>2475</v>
      </c>
      <c r="W2483">
        <v>104.94781652512975</v>
      </c>
      <c r="AQ2483">
        <f>SMALL('Iter No Test'!$W$9:$W$5008,2481)</f>
        <v>208.27034731358182</v>
      </c>
      <c r="AR2483">
        <f>1/(COUNT('Iter No Test'!$W$9:$W$5008)-1)+$AR$2482</f>
        <v>0.49609921984398908</v>
      </c>
    </row>
    <row r="2484" spans="22:44">
      <c r="V2484">
        <v>2476</v>
      </c>
      <c r="W2484">
        <v>56.488855662845253</v>
      </c>
      <c r="AQ2484">
        <f>SMALL('Iter No Test'!$W$9:$W$5008,2482)</f>
        <v>208.27502903601183</v>
      </c>
      <c r="AR2484">
        <f>1/(COUNT('Iter No Test'!$W$9:$W$5008)-1)+$AR$2483</f>
        <v>0.49629925985199069</v>
      </c>
    </row>
    <row r="2485" spans="22:44">
      <c r="V2485">
        <v>2477</v>
      </c>
      <c r="W2485">
        <v>365.2982661421911</v>
      </c>
      <c r="AQ2485">
        <f>SMALL('Iter No Test'!$W$9:$W$5008,2483)</f>
        <v>208.39441659561746</v>
      </c>
      <c r="AR2485">
        <f>1/(COUNT('Iter No Test'!$W$9:$W$5008)-1)+$AR$2484</f>
        <v>0.4964992998599923</v>
      </c>
    </row>
    <row r="2486" spans="22:44">
      <c r="V2486">
        <v>2478</v>
      </c>
      <c r="W2486">
        <v>249.08964618705065</v>
      </c>
      <c r="AQ2486">
        <f>SMALL('Iter No Test'!$W$9:$W$5008,2484)</f>
        <v>208.40877284179385</v>
      </c>
      <c r="AR2486">
        <f>1/(COUNT('Iter No Test'!$W$9:$W$5008)-1)+$AR$2485</f>
        <v>0.49669933986799392</v>
      </c>
    </row>
    <row r="2487" spans="22:44">
      <c r="V2487">
        <v>2479</v>
      </c>
      <c r="W2487">
        <v>323.21623746259445</v>
      </c>
      <c r="AQ2487">
        <f>SMALL('Iter No Test'!$W$9:$W$5008,2485)</f>
        <v>208.40913874585746</v>
      </c>
      <c r="AR2487">
        <f>1/(COUNT('Iter No Test'!$W$9:$W$5008)-1)+$AR$2486</f>
        <v>0.49689937987599553</v>
      </c>
    </row>
    <row r="2488" spans="22:44">
      <c r="V2488">
        <v>2480</v>
      </c>
      <c r="W2488">
        <v>31.167079807533767</v>
      </c>
      <c r="AQ2488">
        <f>SMALL('Iter No Test'!$W$9:$W$5008,2486)</f>
        <v>208.4406435744641</v>
      </c>
      <c r="AR2488">
        <f>1/(COUNT('Iter No Test'!$W$9:$W$5008)-1)+$AR$2487</f>
        <v>0.49709941988399714</v>
      </c>
    </row>
    <row r="2489" spans="22:44">
      <c r="V2489">
        <v>2481</v>
      </c>
      <c r="W2489">
        <v>272.88906220209412</v>
      </c>
      <c r="AQ2489">
        <f>SMALL('Iter No Test'!$W$9:$W$5008,2487)</f>
        <v>208.51781791202319</v>
      </c>
      <c r="AR2489">
        <f>1/(COUNT('Iter No Test'!$W$9:$W$5008)-1)+$AR$2488</f>
        <v>0.49729945989199875</v>
      </c>
    </row>
    <row r="2490" spans="22:44">
      <c r="V2490">
        <v>2482</v>
      </c>
      <c r="W2490">
        <v>167.56553148198219</v>
      </c>
      <c r="AQ2490">
        <f>SMALL('Iter No Test'!$W$9:$W$5008,2488)</f>
        <v>208.59903290034555</v>
      </c>
      <c r="AR2490">
        <f>1/(COUNT('Iter No Test'!$W$9:$W$5008)-1)+$AR$2489</f>
        <v>0.49749949990000036</v>
      </c>
    </row>
    <row r="2491" spans="22:44">
      <c r="V2491">
        <v>2483</v>
      </c>
      <c r="W2491">
        <v>307.33583935723004</v>
      </c>
      <c r="AQ2491">
        <f>SMALL('Iter No Test'!$W$9:$W$5008,2489)</f>
        <v>208.66269737570369</v>
      </c>
      <c r="AR2491">
        <f>1/(COUNT('Iter No Test'!$W$9:$W$5008)-1)+$AR$2490</f>
        <v>0.49769953990800198</v>
      </c>
    </row>
    <row r="2492" spans="22:44">
      <c r="V2492">
        <v>2484</v>
      </c>
      <c r="W2492">
        <v>318.93961305258921</v>
      </c>
      <c r="AQ2492">
        <f>SMALL('Iter No Test'!$W$9:$W$5008,2490)</f>
        <v>208.68253005853032</v>
      </c>
      <c r="AR2492">
        <f>1/(COUNT('Iter No Test'!$W$9:$W$5008)-1)+$AR$2491</f>
        <v>0.49789957991600359</v>
      </c>
    </row>
    <row r="2493" spans="22:44">
      <c r="V2493">
        <v>2485</v>
      </c>
      <c r="W2493">
        <v>147.68541567343379</v>
      </c>
      <c r="AQ2493">
        <f>SMALL('Iter No Test'!$W$9:$W$5008,2491)</f>
        <v>208.7089694460482</v>
      </c>
      <c r="AR2493">
        <f>1/(COUNT('Iter No Test'!$W$9:$W$5008)-1)+$AR$2492</f>
        <v>0.4980996199240052</v>
      </c>
    </row>
    <row r="2494" spans="22:44">
      <c r="V2494">
        <v>2486</v>
      </c>
      <c r="W2494">
        <v>192.15716519372214</v>
      </c>
      <c r="AQ2494">
        <f>SMALL('Iter No Test'!$W$9:$W$5008,2492)</f>
        <v>208.73986754076583</v>
      </c>
      <c r="AR2494">
        <f>1/(COUNT('Iter No Test'!$W$9:$W$5008)-1)+$AR$2493</f>
        <v>0.49829965993200681</v>
      </c>
    </row>
    <row r="2495" spans="22:44">
      <c r="V2495">
        <v>2487</v>
      </c>
      <c r="W2495">
        <v>204.9692447170421</v>
      </c>
      <c r="AQ2495">
        <f>SMALL('Iter No Test'!$W$9:$W$5008,2493)</f>
        <v>208.76691814540916</v>
      </c>
      <c r="AR2495">
        <f>1/(COUNT('Iter No Test'!$W$9:$W$5008)-1)+$AR$2494</f>
        <v>0.49849969994000842</v>
      </c>
    </row>
    <row r="2496" spans="22:44">
      <c r="V2496">
        <v>2488</v>
      </c>
      <c r="W2496">
        <v>312.00801571824661</v>
      </c>
      <c r="AQ2496">
        <f>SMALL('Iter No Test'!$W$9:$W$5008,2494)</f>
        <v>208.80162930662641</v>
      </c>
      <c r="AR2496">
        <f>1/(COUNT('Iter No Test'!$W$9:$W$5008)-1)+$AR$2495</f>
        <v>0.49869973994801003</v>
      </c>
    </row>
    <row r="2497" spans="22:44">
      <c r="V2497">
        <v>2489</v>
      </c>
      <c r="W2497">
        <v>164.16083031139033</v>
      </c>
      <c r="AQ2497">
        <f>SMALL('Iter No Test'!$W$9:$W$5008,2495)</f>
        <v>208.81195249214363</v>
      </c>
      <c r="AR2497">
        <f>1/(COUNT('Iter No Test'!$W$9:$W$5008)-1)+$AR$2496</f>
        <v>0.49889977995601165</v>
      </c>
    </row>
    <row r="2498" spans="22:44">
      <c r="V2498">
        <v>2490</v>
      </c>
      <c r="W2498">
        <v>376.67423541143012</v>
      </c>
      <c r="AQ2498">
        <f>SMALL('Iter No Test'!$W$9:$W$5008,2496)</f>
        <v>208.84825145928022</v>
      </c>
      <c r="AR2498">
        <f>1/(COUNT('Iter No Test'!$W$9:$W$5008)-1)+$AR$2497</f>
        <v>0.49909981996401326</v>
      </c>
    </row>
    <row r="2499" spans="22:44">
      <c r="V2499">
        <v>2491</v>
      </c>
      <c r="W2499">
        <v>264.24247371003793</v>
      </c>
      <c r="AQ2499">
        <f>SMALL('Iter No Test'!$W$9:$W$5008,2497)</f>
        <v>208.88299207478417</v>
      </c>
      <c r="AR2499">
        <f>1/(COUNT('Iter No Test'!$W$9:$W$5008)-1)+$AR$2498</f>
        <v>0.49929985997201487</v>
      </c>
    </row>
    <row r="2500" spans="22:44">
      <c r="V2500">
        <v>2492</v>
      </c>
      <c r="W2500">
        <v>255.33999064415281</v>
      </c>
      <c r="AQ2500">
        <f>SMALL('Iter No Test'!$W$9:$W$5008,2498)</f>
        <v>208.91635153616176</v>
      </c>
      <c r="AR2500">
        <f>1/(COUNT('Iter No Test'!$W$9:$W$5008)-1)+$AR$2499</f>
        <v>0.49949989998001648</v>
      </c>
    </row>
    <row r="2501" spans="22:44">
      <c r="V2501">
        <v>2493</v>
      </c>
      <c r="W2501">
        <v>201.54777135575736</v>
      </c>
      <c r="AQ2501">
        <f>SMALL('Iter No Test'!$W$9:$W$5008,2499)</f>
        <v>208.97884829986154</v>
      </c>
      <c r="AR2501">
        <f>1/(COUNT('Iter No Test'!$W$9:$W$5008)-1)+$AR$2500</f>
        <v>0.49969993998801809</v>
      </c>
    </row>
    <row r="2502" spans="22:44">
      <c r="V2502">
        <v>2494</v>
      </c>
      <c r="W2502">
        <v>168.47207531891488</v>
      </c>
      <c r="AQ2502">
        <f>SMALL('Iter No Test'!$W$9:$W$5008,2500)</f>
        <v>209.0150383110539</v>
      </c>
      <c r="AR2502">
        <f>1/(COUNT('Iter No Test'!$W$9:$W$5008)-1)+$AR$2501</f>
        <v>0.49989997999601971</v>
      </c>
    </row>
    <row r="2503" spans="22:44">
      <c r="V2503">
        <v>2495</v>
      </c>
      <c r="W2503">
        <v>228.97800949954433</v>
      </c>
      <c r="AQ2503">
        <f>SMALL('Iter No Test'!$W$9:$W$5008,2501)</f>
        <v>209.0274169254692</v>
      </c>
      <c r="AR2503">
        <f>1/(COUNT('Iter No Test'!$W$9:$W$5008)-1)+$AR$2502</f>
        <v>0.50010002000402132</v>
      </c>
    </row>
    <row r="2504" spans="22:44">
      <c r="V2504">
        <v>2496</v>
      </c>
      <c r="W2504">
        <v>90.065149374303203</v>
      </c>
      <c r="AQ2504">
        <f>SMALL('Iter No Test'!$W$9:$W$5008,2502)</f>
        <v>209.04621578942593</v>
      </c>
      <c r="AR2504">
        <f>1/(COUNT('Iter No Test'!$W$9:$W$5008)-1)+$AR$2503</f>
        <v>0.50030006001202287</v>
      </c>
    </row>
    <row r="2505" spans="22:44">
      <c r="V2505">
        <v>2497</v>
      </c>
      <c r="W2505">
        <v>81.582612009880577</v>
      </c>
      <c r="AQ2505">
        <f>SMALL('Iter No Test'!$W$9:$W$5008,2503)</f>
        <v>209.11071036960752</v>
      </c>
      <c r="AR2505">
        <f>1/(COUNT('Iter No Test'!$W$9:$W$5008)-1)+$AR$2504</f>
        <v>0.50050010002002443</v>
      </c>
    </row>
    <row r="2506" spans="22:44">
      <c r="V2506">
        <v>2498</v>
      </c>
      <c r="W2506">
        <v>176.27816409051988</v>
      </c>
      <c r="AQ2506">
        <f>SMALL('Iter No Test'!$W$9:$W$5008,2504)</f>
        <v>209.13702136371899</v>
      </c>
      <c r="AR2506">
        <f>1/(COUNT('Iter No Test'!$W$9:$W$5008)-1)+$AR$2505</f>
        <v>0.50070014002802599</v>
      </c>
    </row>
    <row r="2507" spans="22:44">
      <c r="V2507">
        <v>2499</v>
      </c>
      <c r="W2507">
        <v>183.12175924889641</v>
      </c>
      <c r="AQ2507">
        <f>SMALL('Iter No Test'!$W$9:$W$5008,2505)</f>
        <v>209.14809854260713</v>
      </c>
      <c r="AR2507">
        <f>1/(COUNT('Iter No Test'!$W$9:$W$5008)-1)+$AR$2506</f>
        <v>0.50090018003602754</v>
      </c>
    </row>
    <row r="2508" spans="22:44">
      <c r="V2508">
        <v>2500</v>
      </c>
      <c r="W2508">
        <v>199.18347702943649</v>
      </c>
      <c r="AQ2508">
        <f>SMALL('Iter No Test'!$W$9:$W$5008,2506)</f>
        <v>209.2570180883915</v>
      </c>
      <c r="AR2508">
        <f>1/(COUNT('Iter No Test'!$W$9:$W$5008)-1)+$AR$2507</f>
        <v>0.5011002200440291</v>
      </c>
    </row>
    <row r="2509" spans="22:44">
      <c r="V2509">
        <v>2501</v>
      </c>
      <c r="W2509">
        <v>202.11228858784807</v>
      </c>
      <c r="AQ2509">
        <f>SMALL('Iter No Test'!$W$9:$W$5008,2507)</f>
        <v>209.34377697307613</v>
      </c>
      <c r="AR2509">
        <f>1/(COUNT('Iter No Test'!$W$9:$W$5008)-1)+$AR$2508</f>
        <v>0.50130026005203066</v>
      </c>
    </row>
    <row r="2510" spans="22:44">
      <c r="V2510">
        <v>2502</v>
      </c>
      <c r="W2510">
        <v>334.68694192199007</v>
      </c>
      <c r="AQ2510">
        <f>SMALL('Iter No Test'!$W$9:$W$5008,2508)</f>
        <v>209.3648721297568</v>
      </c>
      <c r="AR2510">
        <f>1/(COUNT('Iter No Test'!$W$9:$W$5008)-1)+$AR$2509</f>
        <v>0.50150030006003221</v>
      </c>
    </row>
    <row r="2511" spans="22:44">
      <c r="V2511">
        <v>2503</v>
      </c>
      <c r="W2511">
        <v>129.79502487578441</v>
      </c>
      <c r="AQ2511">
        <f>SMALL('Iter No Test'!$W$9:$W$5008,2509)</f>
        <v>209.40116529899282</v>
      </c>
      <c r="AR2511">
        <f>1/(COUNT('Iter No Test'!$W$9:$W$5008)-1)+$AR$2510</f>
        <v>0.50170034006803377</v>
      </c>
    </row>
    <row r="2512" spans="22:44">
      <c r="V2512">
        <v>2504</v>
      </c>
      <c r="W2512">
        <v>41.019109583964322</v>
      </c>
      <c r="AQ2512">
        <f>SMALL('Iter No Test'!$W$9:$W$5008,2510)</f>
        <v>209.44833930128328</v>
      </c>
      <c r="AR2512">
        <f>1/(COUNT('Iter No Test'!$W$9:$W$5008)-1)+$AR$2511</f>
        <v>0.50190038007603532</v>
      </c>
    </row>
    <row r="2513" spans="22:44">
      <c r="V2513">
        <v>2505</v>
      </c>
      <c r="W2513">
        <v>73.912210970413241</v>
      </c>
      <c r="AQ2513">
        <f>SMALL('Iter No Test'!$W$9:$W$5008,2511)</f>
        <v>209.45912857976788</v>
      </c>
      <c r="AR2513">
        <f>1/(COUNT('Iter No Test'!$W$9:$W$5008)-1)+$AR$2512</f>
        <v>0.50210042008403688</v>
      </c>
    </row>
    <row r="2514" spans="22:44">
      <c r="V2514">
        <v>2506</v>
      </c>
      <c r="W2514">
        <v>36.171362687698547</v>
      </c>
      <c r="AQ2514">
        <f>SMALL('Iter No Test'!$W$9:$W$5008,2512)</f>
        <v>209.53574696953814</v>
      </c>
      <c r="AR2514">
        <f>1/(COUNT('Iter No Test'!$W$9:$W$5008)-1)+$AR$2513</f>
        <v>0.50230046009203844</v>
      </c>
    </row>
    <row r="2515" spans="22:44">
      <c r="V2515">
        <v>2507</v>
      </c>
      <c r="W2515">
        <v>194.61868529356013</v>
      </c>
      <c r="AQ2515">
        <f>SMALL('Iter No Test'!$W$9:$W$5008,2513)</f>
        <v>209.63826547967622</v>
      </c>
      <c r="AR2515">
        <f>1/(COUNT('Iter No Test'!$W$9:$W$5008)-1)+$AR$2514</f>
        <v>0.50250050010003999</v>
      </c>
    </row>
    <row r="2516" spans="22:44">
      <c r="V2516">
        <v>2508</v>
      </c>
      <c r="W2516">
        <v>132.38837164846643</v>
      </c>
      <c r="AQ2516">
        <f>SMALL('Iter No Test'!$W$9:$W$5008,2514)</f>
        <v>209.66482065041885</v>
      </c>
      <c r="AR2516">
        <f>1/(COUNT('Iter No Test'!$W$9:$W$5008)-1)+$AR$2515</f>
        <v>0.50270054010804155</v>
      </c>
    </row>
    <row r="2517" spans="22:44">
      <c r="V2517">
        <v>2509</v>
      </c>
      <c r="W2517">
        <v>238.72422883768837</v>
      </c>
      <c r="AQ2517">
        <f>SMALL('Iter No Test'!$W$9:$W$5008,2515)</f>
        <v>209.68584021652549</v>
      </c>
      <c r="AR2517">
        <f>1/(COUNT('Iter No Test'!$W$9:$W$5008)-1)+$AR$2516</f>
        <v>0.50290058011604311</v>
      </c>
    </row>
    <row r="2518" spans="22:44">
      <c r="V2518">
        <v>2510</v>
      </c>
      <c r="W2518">
        <v>216.80395094636373</v>
      </c>
      <c r="AQ2518">
        <f>SMALL('Iter No Test'!$W$9:$W$5008,2516)</f>
        <v>209.69328048153432</v>
      </c>
      <c r="AR2518">
        <f>1/(COUNT('Iter No Test'!$W$9:$W$5008)-1)+$AR$2517</f>
        <v>0.50310062012404466</v>
      </c>
    </row>
    <row r="2519" spans="22:44">
      <c r="V2519">
        <v>2511</v>
      </c>
      <c r="W2519">
        <v>124.83344646533642</v>
      </c>
      <c r="AQ2519">
        <f>SMALL('Iter No Test'!$W$9:$W$5008,2517)</f>
        <v>209.84531119743812</v>
      </c>
      <c r="AR2519">
        <f>1/(COUNT('Iter No Test'!$W$9:$W$5008)-1)+$AR$2518</f>
        <v>0.50330066013204622</v>
      </c>
    </row>
    <row r="2520" spans="22:44">
      <c r="V2520">
        <v>2512</v>
      </c>
      <c r="W2520">
        <v>304.49139918392314</v>
      </c>
      <c r="AQ2520">
        <f>SMALL('Iter No Test'!$W$9:$W$5008,2518)</f>
        <v>209.85902178830233</v>
      </c>
      <c r="AR2520">
        <f>1/(COUNT('Iter No Test'!$W$9:$W$5008)-1)+$AR$2519</f>
        <v>0.50350070014004777</v>
      </c>
    </row>
    <row r="2521" spans="22:44">
      <c r="V2521">
        <v>2513</v>
      </c>
      <c r="W2521">
        <v>400.12205507495401</v>
      </c>
      <c r="AQ2521">
        <f>SMALL('Iter No Test'!$W$9:$W$5008,2519)</f>
        <v>209.86585079030019</v>
      </c>
      <c r="AR2521">
        <f>1/(COUNT('Iter No Test'!$W$9:$W$5008)-1)+$AR$2520</f>
        <v>0.50370074014804933</v>
      </c>
    </row>
    <row r="2522" spans="22:44">
      <c r="V2522">
        <v>2514</v>
      </c>
      <c r="W2522">
        <v>146.44965147702419</v>
      </c>
      <c r="AQ2522">
        <f>SMALL('Iter No Test'!$W$9:$W$5008,2520)</f>
        <v>209.94547500971626</v>
      </c>
      <c r="AR2522">
        <f>1/(COUNT('Iter No Test'!$W$9:$W$5008)-1)+$AR$2521</f>
        <v>0.50390078015605089</v>
      </c>
    </row>
    <row r="2523" spans="22:44">
      <c r="V2523">
        <v>2515</v>
      </c>
      <c r="W2523">
        <v>176.16854166044402</v>
      </c>
      <c r="AQ2523">
        <f>SMALL('Iter No Test'!$W$9:$W$5008,2521)</f>
        <v>209.95224521922552</v>
      </c>
      <c r="AR2523">
        <f>1/(COUNT('Iter No Test'!$W$9:$W$5008)-1)+$AR$2522</f>
        <v>0.50410082016405244</v>
      </c>
    </row>
    <row r="2524" spans="22:44">
      <c r="V2524">
        <v>2516</v>
      </c>
      <c r="W2524">
        <v>284.2553423198882</v>
      </c>
      <c r="AQ2524">
        <f>SMALL('Iter No Test'!$W$9:$W$5008,2522)</f>
        <v>209.97693692249118</v>
      </c>
      <c r="AR2524">
        <f>1/(COUNT('Iter No Test'!$W$9:$W$5008)-1)+$AR$2523</f>
        <v>0.504300860172054</v>
      </c>
    </row>
    <row r="2525" spans="22:44">
      <c r="V2525">
        <v>2517</v>
      </c>
      <c r="W2525">
        <v>272.24881997590001</v>
      </c>
      <c r="AQ2525">
        <f>SMALL('Iter No Test'!$W$9:$W$5008,2523)</f>
        <v>210.05628413306817</v>
      </c>
      <c r="AR2525">
        <f>1/(COUNT('Iter No Test'!$W$9:$W$5008)-1)+$AR$2524</f>
        <v>0.50450090018005556</v>
      </c>
    </row>
    <row r="2526" spans="22:44">
      <c r="V2526">
        <v>2518</v>
      </c>
      <c r="W2526">
        <v>188.30205425815004</v>
      </c>
      <c r="AQ2526">
        <f>SMALL('Iter No Test'!$W$9:$W$5008,2524)</f>
        <v>210.10503976645691</v>
      </c>
      <c r="AR2526">
        <f>1/(COUNT('Iter No Test'!$W$9:$W$5008)-1)+$AR$2525</f>
        <v>0.50470094018805711</v>
      </c>
    </row>
    <row r="2527" spans="22:44">
      <c r="V2527">
        <v>2519</v>
      </c>
      <c r="W2527">
        <v>224.26661430548569</v>
      </c>
      <c r="AQ2527">
        <f>SMALL('Iter No Test'!$W$9:$W$5008,2525)</f>
        <v>210.11795110509547</v>
      </c>
      <c r="AR2527">
        <f>1/(COUNT('Iter No Test'!$W$9:$W$5008)-1)+$AR$2526</f>
        <v>0.50490098019605867</v>
      </c>
    </row>
    <row r="2528" spans="22:44">
      <c r="V2528">
        <v>2520</v>
      </c>
      <c r="W2528">
        <v>161.83060277396558</v>
      </c>
      <c r="AQ2528">
        <f>SMALL('Iter No Test'!$W$9:$W$5008,2526)</f>
        <v>210.13983358408575</v>
      </c>
      <c r="AR2528">
        <f>1/(COUNT('Iter No Test'!$W$9:$W$5008)-1)+$AR$2527</f>
        <v>0.50510102020406022</v>
      </c>
    </row>
    <row r="2529" spans="22:44">
      <c r="V2529">
        <v>2521</v>
      </c>
      <c r="W2529">
        <v>160.63349542935237</v>
      </c>
      <c r="AQ2529">
        <f>SMALL('Iter No Test'!$W$9:$W$5008,2527)</f>
        <v>210.15392427285099</v>
      </c>
      <c r="AR2529">
        <f>1/(COUNT('Iter No Test'!$W$9:$W$5008)-1)+$AR$2528</f>
        <v>0.50530106021206178</v>
      </c>
    </row>
    <row r="2530" spans="22:44">
      <c r="V2530">
        <v>2522</v>
      </c>
      <c r="W2530">
        <v>14.729905048832279</v>
      </c>
      <c r="AQ2530">
        <f>SMALL('Iter No Test'!$W$9:$W$5008,2528)</f>
        <v>210.1574377040387</v>
      </c>
      <c r="AR2530">
        <f>1/(COUNT('Iter No Test'!$W$9:$W$5008)-1)+$AR$2529</f>
        <v>0.50550110022006334</v>
      </c>
    </row>
    <row r="2531" spans="22:44">
      <c r="V2531">
        <v>2523</v>
      </c>
      <c r="W2531">
        <v>185.51445804585876</v>
      </c>
      <c r="AQ2531">
        <f>SMALL('Iter No Test'!$W$9:$W$5008,2529)</f>
        <v>210.17061381353113</v>
      </c>
      <c r="AR2531">
        <f>1/(COUNT('Iter No Test'!$W$9:$W$5008)-1)+$AR$2530</f>
        <v>0.50570114022806489</v>
      </c>
    </row>
    <row r="2532" spans="22:44">
      <c r="V2532">
        <v>2524</v>
      </c>
      <c r="W2532">
        <v>385.17342570954486</v>
      </c>
      <c r="AQ2532">
        <f>SMALL('Iter No Test'!$W$9:$W$5008,2530)</f>
        <v>210.26468753550427</v>
      </c>
      <c r="AR2532">
        <f>1/(COUNT('Iter No Test'!$W$9:$W$5008)-1)+$AR$2531</f>
        <v>0.50590118023606645</v>
      </c>
    </row>
    <row r="2533" spans="22:44">
      <c r="V2533">
        <v>2525</v>
      </c>
      <c r="W2533">
        <v>199.45339991404092</v>
      </c>
      <c r="AQ2533">
        <f>SMALL('Iter No Test'!$W$9:$W$5008,2531)</f>
        <v>210.29516301611591</v>
      </c>
      <c r="AR2533">
        <f>1/(COUNT('Iter No Test'!$W$9:$W$5008)-1)+$AR$2532</f>
        <v>0.50610122024406801</v>
      </c>
    </row>
    <row r="2534" spans="22:44">
      <c r="V2534">
        <v>2526</v>
      </c>
      <c r="W2534">
        <v>260.79811687118263</v>
      </c>
      <c r="AQ2534">
        <f>SMALL('Iter No Test'!$W$9:$W$5008,2532)</f>
        <v>210.36063660065687</v>
      </c>
      <c r="AR2534">
        <f>1/(COUNT('Iter No Test'!$W$9:$W$5008)-1)+$AR$2533</f>
        <v>0.50630126025206956</v>
      </c>
    </row>
    <row r="2535" spans="22:44">
      <c r="V2535">
        <v>2527</v>
      </c>
      <c r="W2535">
        <v>173.45279564138764</v>
      </c>
      <c r="AQ2535">
        <f>SMALL('Iter No Test'!$W$9:$W$5008,2533)</f>
        <v>210.40714493312981</v>
      </c>
      <c r="AR2535">
        <f>1/(COUNT('Iter No Test'!$W$9:$W$5008)-1)+$AR$2534</f>
        <v>0.50650130026007112</v>
      </c>
    </row>
    <row r="2536" spans="22:44">
      <c r="V2536">
        <v>2528</v>
      </c>
      <c r="W2536">
        <v>193.45826688342487</v>
      </c>
      <c r="AQ2536">
        <f>SMALL('Iter No Test'!$W$9:$W$5008,2534)</f>
        <v>210.45339906678493</v>
      </c>
      <c r="AR2536">
        <f>1/(COUNT('Iter No Test'!$W$9:$W$5008)-1)+$AR$2535</f>
        <v>0.50670134026807268</v>
      </c>
    </row>
    <row r="2537" spans="22:44">
      <c r="V2537">
        <v>2529</v>
      </c>
      <c r="W2537">
        <v>127.432825125958</v>
      </c>
      <c r="AQ2537">
        <f>SMALL('Iter No Test'!$W$9:$W$5008,2535)</f>
        <v>210.46682835376603</v>
      </c>
      <c r="AR2537">
        <f>1/(COUNT('Iter No Test'!$W$9:$W$5008)-1)+$AR$2536</f>
        <v>0.50690138027607423</v>
      </c>
    </row>
    <row r="2538" spans="22:44">
      <c r="V2538">
        <v>2530</v>
      </c>
      <c r="W2538">
        <v>200.05506665949466</v>
      </c>
      <c r="AQ2538">
        <f>SMALL('Iter No Test'!$W$9:$W$5008,2536)</f>
        <v>210.49367036195034</v>
      </c>
      <c r="AR2538">
        <f>1/(COUNT('Iter No Test'!$W$9:$W$5008)-1)+$AR$2537</f>
        <v>0.50710142028407579</v>
      </c>
    </row>
    <row r="2539" spans="22:44">
      <c r="V2539">
        <v>2531</v>
      </c>
      <c r="W2539">
        <v>186.69803366186272</v>
      </c>
      <c r="AQ2539">
        <f>SMALL('Iter No Test'!$W$9:$W$5008,2537)</f>
        <v>210.58127126211244</v>
      </c>
      <c r="AR2539">
        <f>1/(COUNT('Iter No Test'!$W$9:$W$5008)-1)+$AR$2538</f>
        <v>0.50730146029207734</v>
      </c>
    </row>
    <row r="2540" spans="22:44">
      <c r="V2540">
        <v>2532</v>
      </c>
      <c r="W2540">
        <v>217.48192013619752</v>
      </c>
      <c r="AQ2540">
        <f>SMALL('Iter No Test'!$W$9:$W$5008,2538)</f>
        <v>210.6225087750847</v>
      </c>
      <c r="AR2540">
        <f>1/(COUNT('Iter No Test'!$W$9:$W$5008)-1)+$AR$2539</f>
        <v>0.5075015003000789</v>
      </c>
    </row>
    <row r="2541" spans="22:44">
      <c r="V2541">
        <v>2533</v>
      </c>
      <c r="W2541">
        <v>307.75684680111357</v>
      </c>
      <c r="AQ2541">
        <f>SMALL('Iter No Test'!$W$9:$W$5008,2539)</f>
        <v>210.71438750607675</v>
      </c>
      <c r="AR2541">
        <f>1/(COUNT('Iter No Test'!$W$9:$W$5008)-1)+$AR$2540</f>
        <v>0.50770154030808046</v>
      </c>
    </row>
    <row r="2542" spans="22:44">
      <c r="V2542">
        <v>2534</v>
      </c>
      <c r="W2542">
        <v>154.11049188666692</v>
      </c>
      <c r="AQ2542">
        <f>SMALL('Iter No Test'!$W$9:$W$5008,2540)</f>
        <v>210.71857944401268</v>
      </c>
      <c r="AR2542">
        <f>1/(COUNT('Iter No Test'!$W$9:$W$5008)-1)+$AR$2541</f>
        <v>0.50790158031608201</v>
      </c>
    </row>
    <row r="2543" spans="22:44">
      <c r="V2543">
        <v>2535</v>
      </c>
      <c r="W2543">
        <v>211.59156617405819</v>
      </c>
      <c r="AQ2543">
        <f>SMALL('Iter No Test'!$W$9:$W$5008,2541)</f>
        <v>210.76793975136471</v>
      </c>
      <c r="AR2543">
        <f>1/(COUNT('Iter No Test'!$W$9:$W$5008)-1)+$AR$2542</f>
        <v>0.50810162032408357</v>
      </c>
    </row>
    <row r="2544" spans="22:44">
      <c r="V2544">
        <v>2536</v>
      </c>
      <c r="W2544">
        <v>326.96970291074228</v>
      </c>
      <c r="AQ2544">
        <f>SMALL('Iter No Test'!$W$9:$W$5008,2542)</f>
        <v>210.86615102084801</v>
      </c>
      <c r="AR2544">
        <f>1/(COUNT('Iter No Test'!$W$9:$W$5008)-1)+$AR$2543</f>
        <v>0.50830166033208513</v>
      </c>
    </row>
    <row r="2545" spans="22:44">
      <c r="V2545">
        <v>2537</v>
      </c>
      <c r="W2545">
        <v>198.66151876827976</v>
      </c>
      <c r="AQ2545">
        <f>SMALL('Iter No Test'!$W$9:$W$5008,2543)</f>
        <v>210.91214764464371</v>
      </c>
      <c r="AR2545">
        <f>1/(COUNT('Iter No Test'!$W$9:$W$5008)-1)+$AR$2544</f>
        <v>0.50850170034008668</v>
      </c>
    </row>
    <row r="2546" spans="22:44">
      <c r="V2546">
        <v>2538</v>
      </c>
      <c r="W2546">
        <v>149.80340894175566</v>
      </c>
      <c r="AQ2546">
        <f>SMALL('Iter No Test'!$W$9:$W$5008,2544)</f>
        <v>210.9211554769347</v>
      </c>
      <c r="AR2546">
        <f>1/(COUNT('Iter No Test'!$W$9:$W$5008)-1)+$AR$2545</f>
        <v>0.50870174034808824</v>
      </c>
    </row>
    <row r="2547" spans="22:44">
      <c r="V2547">
        <v>2539</v>
      </c>
      <c r="W2547">
        <v>289.7776290559782</v>
      </c>
      <c r="AQ2547">
        <f>SMALL('Iter No Test'!$W$9:$W$5008,2545)</f>
        <v>210.92683889472193</v>
      </c>
      <c r="AR2547">
        <f>1/(COUNT('Iter No Test'!$W$9:$W$5008)-1)+$AR$2546</f>
        <v>0.50890178035608979</v>
      </c>
    </row>
    <row r="2548" spans="22:44">
      <c r="V2548">
        <v>2540</v>
      </c>
      <c r="W2548">
        <v>273.1260280953328</v>
      </c>
      <c r="AQ2548">
        <f>SMALL('Iter No Test'!$W$9:$W$5008,2546)</f>
        <v>210.97338815927384</v>
      </c>
      <c r="AR2548">
        <f>1/(COUNT('Iter No Test'!$W$9:$W$5008)-1)+$AR$2547</f>
        <v>0.50910182036409135</v>
      </c>
    </row>
    <row r="2549" spans="22:44">
      <c r="V2549">
        <v>2541</v>
      </c>
      <c r="W2549">
        <v>42.24981022606093</v>
      </c>
      <c r="AQ2549">
        <f>SMALL('Iter No Test'!$W$9:$W$5008,2547)</f>
        <v>211.02366533708769</v>
      </c>
      <c r="AR2549">
        <f>1/(COUNT('Iter No Test'!$W$9:$W$5008)-1)+$AR$2548</f>
        <v>0.50930186037209291</v>
      </c>
    </row>
    <row r="2550" spans="22:44">
      <c r="V2550">
        <v>2542</v>
      </c>
      <c r="W2550">
        <v>86.235201839207093</v>
      </c>
      <c r="AQ2550">
        <f>SMALL('Iter No Test'!$W$9:$W$5008,2548)</f>
        <v>211.0346082444359</v>
      </c>
      <c r="AR2550">
        <f>1/(COUNT('Iter No Test'!$W$9:$W$5008)-1)+$AR$2549</f>
        <v>0.50950190038009446</v>
      </c>
    </row>
    <row r="2551" spans="22:44">
      <c r="V2551">
        <v>2543</v>
      </c>
      <c r="W2551">
        <v>217.9754788638071</v>
      </c>
      <c r="AQ2551">
        <f>SMALL('Iter No Test'!$W$9:$W$5008,2549)</f>
        <v>211.03976896744254</v>
      </c>
      <c r="AR2551">
        <f>1/(COUNT('Iter No Test'!$W$9:$W$5008)-1)+$AR$2550</f>
        <v>0.50970194038809602</v>
      </c>
    </row>
    <row r="2552" spans="22:44">
      <c r="V2552">
        <v>2544</v>
      </c>
      <c r="W2552">
        <v>154.84080162918636</v>
      </c>
      <c r="AQ2552">
        <f>SMALL('Iter No Test'!$W$9:$W$5008,2550)</f>
        <v>211.10857127798948</v>
      </c>
      <c r="AR2552">
        <f>1/(COUNT('Iter No Test'!$W$9:$W$5008)-1)+$AR$2551</f>
        <v>0.50990198039609758</v>
      </c>
    </row>
    <row r="2553" spans="22:44">
      <c r="V2553">
        <v>2545</v>
      </c>
      <c r="W2553">
        <v>257.22960182780537</v>
      </c>
      <c r="AQ2553">
        <f>SMALL('Iter No Test'!$W$9:$W$5008,2551)</f>
        <v>211.12490056927899</v>
      </c>
      <c r="AR2553">
        <f>1/(COUNT('Iter No Test'!$W$9:$W$5008)-1)+$AR$2552</f>
        <v>0.51010202040409913</v>
      </c>
    </row>
    <row r="2554" spans="22:44">
      <c r="V2554">
        <v>2546</v>
      </c>
      <c r="W2554">
        <v>174.50501348118797</v>
      </c>
      <c r="AQ2554">
        <f>SMALL('Iter No Test'!$W$9:$W$5008,2552)</f>
        <v>211.22901838779995</v>
      </c>
      <c r="AR2554">
        <f>1/(COUNT('Iter No Test'!$W$9:$W$5008)-1)+$AR$2553</f>
        <v>0.51030206041210069</v>
      </c>
    </row>
    <row r="2555" spans="22:44">
      <c r="V2555">
        <v>2547</v>
      </c>
      <c r="W2555">
        <v>284.9579052404132</v>
      </c>
      <c r="AQ2555">
        <f>SMALL('Iter No Test'!$W$9:$W$5008,2553)</f>
        <v>211.23115142432303</v>
      </c>
      <c r="AR2555">
        <f>1/(COUNT('Iter No Test'!$W$9:$W$5008)-1)+$AR$2554</f>
        <v>0.51050210042010224</v>
      </c>
    </row>
    <row r="2556" spans="22:44">
      <c r="V2556">
        <v>2548</v>
      </c>
      <c r="W2556">
        <v>466.43796407181458</v>
      </c>
      <c r="AQ2556">
        <f>SMALL('Iter No Test'!$W$9:$W$5008,2554)</f>
        <v>211.23602858136218</v>
      </c>
      <c r="AR2556">
        <f>1/(COUNT('Iter No Test'!$W$9:$W$5008)-1)+$AR$2555</f>
        <v>0.5107021404281038</v>
      </c>
    </row>
    <row r="2557" spans="22:44">
      <c r="V2557">
        <v>2549</v>
      </c>
      <c r="W2557">
        <v>236.56764732174793</v>
      </c>
      <c r="AQ2557">
        <f>SMALL('Iter No Test'!$W$9:$W$5008,2555)</f>
        <v>211.2530872238429</v>
      </c>
      <c r="AR2557">
        <f>1/(COUNT('Iter No Test'!$W$9:$W$5008)-1)+$AR$2556</f>
        <v>0.51090218043610536</v>
      </c>
    </row>
    <row r="2558" spans="22:44">
      <c r="V2558">
        <v>2550</v>
      </c>
      <c r="W2558">
        <v>316.44737331316986</v>
      </c>
      <c r="AQ2558">
        <f>SMALL('Iter No Test'!$W$9:$W$5008,2556)</f>
        <v>211.26975717830899</v>
      </c>
      <c r="AR2558">
        <f>1/(COUNT('Iter No Test'!$W$9:$W$5008)-1)+$AR$2557</f>
        <v>0.51110222044410691</v>
      </c>
    </row>
    <row r="2559" spans="22:44">
      <c r="V2559">
        <v>2551</v>
      </c>
      <c r="W2559">
        <v>101.4918289838329</v>
      </c>
      <c r="AQ2559">
        <f>SMALL('Iter No Test'!$W$9:$W$5008,2557)</f>
        <v>211.31112127893914</v>
      </c>
      <c r="AR2559">
        <f>1/(COUNT('Iter No Test'!$W$9:$W$5008)-1)+$AR$2558</f>
        <v>0.51130226045210847</v>
      </c>
    </row>
    <row r="2560" spans="22:44">
      <c r="V2560">
        <v>2552</v>
      </c>
      <c r="W2560">
        <v>296.42590432390125</v>
      </c>
      <c r="AQ2560">
        <f>SMALL('Iter No Test'!$W$9:$W$5008,2558)</f>
        <v>211.34892328511546</v>
      </c>
      <c r="AR2560">
        <f>1/(COUNT('Iter No Test'!$W$9:$W$5008)-1)+$AR$2559</f>
        <v>0.51150230046011003</v>
      </c>
    </row>
    <row r="2561" spans="22:44">
      <c r="V2561">
        <v>2553</v>
      </c>
      <c r="W2561">
        <v>229.67949301226864</v>
      </c>
      <c r="AQ2561">
        <f>SMALL('Iter No Test'!$W$9:$W$5008,2559)</f>
        <v>211.38055307582351</v>
      </c>
      <c r="AR2561">
        <f>1/(COUNT('Iter No Test'!$W$9:$W$5008)-1)+$AR$2560</f>
        <v>0.51170234046811158</v>
      </c>
    </row>
    <row r="2562" spans="22:44">
      <c r="V2562">
        <v>2554</v>
      </c>
      <c r="W2562">
        <v>87.025662531255861</v>
      </c>
      <c r="AQ2562">
        <f>SMALL('Iter No Test'!$W$9:$W$5008,2560)</f>
        <v>211.39606023087629</v>
      </c>
      <c r="AR2562">
        <f>1/(COUNT('Iter No Test'!$W$9:$W$5008)-1)+$AR$2561</f>
        <v>0.51190238047611314</v>
      </c>
    </row>
    <row r="2563" spans="22:44">
      <c r="V2563">
        <v>2555</v>
      </c>
      <c r="W2563">
        <v>218.24990641444364</v>
      </c>
      <c r="AQ2563">
        <f>SMALL('Iter No Test'!$W$9:$W$5008,2561)</f>
        <v>211.49259918546991</v>
      </c>
      <c r="AR2563">
        <f>1/(COUNT('Iter No Test'!$W$9:$W$5008)-1)+$AR$2562</f>
        <v>0.5121024204841147</v>
      </c>
    </row>
    <row r="2564" spans="22:44">
      <c r="V2564">
        <v>2556</v>
      </c>
      <c r="W2564">
        <v>225.36659822365243</v>
      </c>
      <c r="AQ2564">
        <f>SMALL('Iter No Test'!$W$9:$W$5008,2562)</f>
        <v>211.523729802871</v>
      </c>
      <c r="AR2564">
        <f>1/(COUNT('Iter No Test'!$W$9:$W$5008)-1)+$AR$2563</f>
        <v>0.51230246049211625</v>
      </c>
    </row>
    <row r="2565" spans="22:44">
      <c r="V2565">
        <v>2557</v>
      </c>
      <c r="W2565">
        <v>303.63632736490058</v>
      </c>
      <c r="AQ2565">
        <f>SMALL('Iter No Test'!$W$9:$W$5008,2563)</f>
        <v>211.57530192787004</v>
      </c>
      <c r="AR2565">
        <f>1/(COUNT('Iter No Test'!$W$9:$W$5008)-1)+$AR$2564</f>
        <v>0.51250250050011781</v>
      </c>
    </row>
    <row r="2566" spans="22:44">
      <c r="V2566">
        <v>2558</v>
      </c>
      <c r="W2566">
        <v>212.55013916496785</v>
      </c>
      <c r="AQ2566">
        <f>SMALL('Iter No Test'!$W$9:$W$5008,2564)</f>
        <v>211.59156617405819</v>
      </c>
      <c r="AR2566">
        <f>1/(COUNT('Iter No Test'!$W$9:$W$5008)-1)+$AR$2565</f>
        <v>0.51270254050811936</v>
      </c>
    </row>
    <row r="2567" spans="22:44">
      <c r="V2567">
        <v>2559</v>
      </c>
      <c r="W2567">
        <v>86.667043193097626</v>
      </c>
      <c r="AQ2567">
        <f>SMALL('Iter No Test'!$W$9:$W$5008,2565)</f>
        <v>211.64211959887473</v>
      </c>
      <c r="AR2567">
        <f>1/(COUNT('Iter No Test'!$W$9:$W$5008)-1)+$AR$2566</f>
        <v>0.51290258051612092</v>
      </c>
    </row>
    <row r="2568" spans="22:44">
      <c r="V2568">
        <v>2560</v>
      </c>
      <c r="W2568">
        <v>223.31099404617066</v>
      </c>
      <c r="AQ2568">
        <f>SMALL('Iter No Test'!$W$9:$W$5008,2566)</f>
        <v>211.7248330811689</v>
      </c>
      <c r="AR2568">
        <f>1/(COUNT('Iter No Test'!$W$9:$W$5008)-1)+$AR$2567</f>
        <v>0.51310262052412248</v>
      </c>
    </row>
    <row r="2569" spans="22:44">
      <c r="V2569">
        <v>2561</v>
      </c>
      <c r="W2569">
        <v>197.45233022840836</v>
      </c>
      <c r="AQ2569">
        <f>SMALL('Iter No Test'!$W$9:$W$5008,2567)</f>
        <v>211.76956641846326</v>
      </c>
      <c r="AR2569">
        <f>1/(COUNT('Iter No Test'!$W$9:$W$5008)-1)+$AR$2568</f>
        <v>0.51330266053212403</v>
      </c>
    </row>
    <row r="2570" spans="22:44">
      <c r="V2570">
        <v>2562</v>
      </c>
      <c r="W2570">
        <v>54.751187443434347</v>
      </c>
      <c r="AQ2570">
        <f>SMALL('Iter No Test'!$W$9:$W$5008,2568)</f>
        <v>211.77253858827075</v>
      </c>
      <c r="AR2570">
        <f>1/(COUNT('Iter No Test'!$W$9:$W$5008)-1)+$AR$2569</f>
        <v>0.51350270054012559</v>
      </c>
    </row>
    <row r="2571" spans="22:44">
      <c r="V2571">
        <v>2563</v>
      </c>
      <c r="W2571">
        <v>247.1742932947659</v>
      </c>
      <c r="AQ2571">
        <f>SMALL('Iter No Test'!$W$9:$W$5008,2569)</f>
        <v>211.88832187116134</v>
      </c>
      <c r="AR2571">
        <f>1/(COUNT('Iter No Test'!$W$9:$W$5008)-1)+$AR$2570</f>
        <v>0.51370274054812715</v>
      </c>
    </row>
    <row r="2572" spans="22:44">
      <c r="V2572">
        <v>2564</v>
      </c>
      <c r="W2572">
        <v>194.82159543127747</v>
      </c>
      <c r="AQ2572">
        <f>SMALL('Iter No Test'!$W$9:$W$5008,2570)</f>
        <v>211.90480281663724</v>
      </c>
      <c r="AR2572">
        <f>1/(COUNT('Iter No Test'!$W$9:$W$5008)-1)+$AR$2571</f>
        <v>0.5139027805561287</v>
      </c>
    </row>
    <row r="2573" spans="22:44">
      <c r="V2573">
        <v>2565</v>
      </c>
      <c r="W2573">
        <v>170.3755427969204</v>
      </c>
      <c r="AQ2573">
        <f>SMALL('Iter No Test'!$W$9:$W$5008,2571)</f>
        <v>211.90796122643138</v>
      </c>
      <c r="AR2573">
        <f>1/(COUNT('Iter No Test'!$W$9:$W$5008)-1)+$AR$2572</f>
        <v>0.51410282056413026</v>
      </c>
    </row>
    <row r="2574" spans="22:44">
      <c r="V2574">
        <v>2566</v>
      </c>
      <c r="W2574">
        <v>18.700770844803472</v>
      </c>
      <c r="AQ2574">
        <f>SMALL('Iter No Test'!$W$9:$W$5008,2572)</f>
        <v>211.93096949108053</v>
      </c>
      <c r="AR2574">
        <f>1/(COUNT('Iter No Test'!$W$9:$W$5008)-1)+$AR$2573</f>
        <v>0.51430286057213181</v>
      </c>
    </row>
    <row r="2575" spans="22:44">
      <c r="V2575">
        <v>2567</v>
      </c>
      <c r="W2575">
        <v>311.34503286363292</v>
      </c>
      <c r="AQ2575">
        <f>SMALL('Iter No Test'!$W$9:$W$5008,2573)</f>
        <v>211.94390207193052</v>
      </c>
      <c r="AR2575">
        <f>1/(COUNT('Iter No Test'!$W$9:$W$5008)-1)+$AR$2574</f>
        <v>0.51450290058013337</v>
      </c>
    </row>
    <row r="2576" spans="22:44">
      <c r="V2576">
        <v>2568</v>
      </c>
      <c r="W2576">
        <v>211.23115142432303</v>
      </c>
      <c r="AQ2576">
        <f>SMALL('Iter No Test'!$W$9:$W$5008,2574)</f>
        <v>212.03293441777859</v>
      </c>
      <c r="AR2576">
        <f>1/(COUNT('Iter No Test'!$W$9:$W$5008)-1)+$AR$2575</f>
        <v>0.51470294058813493</v>
      </c>
    </row>
    <row r="2577" spans="22:44">
      <c r="V2577">
        <v>2569</v>
      </c>
      <c r="W2577">
        <v>294.859470330367</v>
      </c>
      <c r="AQ2577">
        <f>SMALL('Iter No Test'!$W$9:$W$5008,2575)</f>
        <v>212.03493423892868</v>
      </c>
      <c r="AR2577">
        <f>1/(COUNT('Iter No Test'!$W$9:$W$5008)-1)+$AR$2576</f>
        <v>0.51490298059613648</v>
      </c>
    </row>
    <row r="2578" spans="22:44">
      <c r="V2578">
        <v>2570</v>
      </c>
      <c r="W2578">
        <v>218.69176355937108</v>
      </c>
      <c r="AQ2578">
        <f>SMALL('Iter No Test'!$W$9:$W$5008,2576)</f>
        <v>212.03815471093716</v>
      </c>
      <c r="AR2578">
        <f>1/(COUNT('Iter No Test'!$W$9:$W$5008)-1)+$AR$2577</f>
        <v>0.51510302060413804</v>
      </c>
    </row>
    <row r="2579" spans="22:44">
      <c r="V2579">
        <v>2571</v>
      </c>
      <c r="W2579">
        <v>290.63821514267272</v>
      </c>
      <c r="AQ2579">
        <f>SMALL('Iter No Test'!$W$9:$W$5008,2577)</f>
        <v>212.13309012712503</v>
      </c>
      <c r="AR2579">
        <f>1/(COUNT('Iter No Test'!$W$9:$W$5008)-1)+$AR$2578</f>
        <v>0.5153030606121396</v>
      </c>
    </row>
    <row r="2580" spans="22:44">
      <c r="V2580">
        <v>2572</v>
      </c>
      <c r="W2580">
        <v>64.000256222790284</v>
      </c>
      <c r="AQ2580">
        <f>SMALL('Iter No Test'!$W$9:$W$5008,2578)</f>
        <v>212.27246125623782</v>
      </c>
      <c r="AR2580">
        <f>1/(COUNT('Iter No Test'!$W$9:$W$5008)-1)+$AR$2579</f>
        <v>0.51550310062014115</v>
      </c>
    </row>
    <row r="2581" spans="22:44">
      <c r="V2581">
        <v>2573</v>
      </c>
      <c r="W2581">
        <v>138.25535533669796</v>
      </c>
      <c r="AQ2581">
        <f>SMALL('Iter No Test'!$W$9:$W$5008,2579)</f>
        <v>212.30852414278743</v>
      </c>
      <c r="AR2581">
        <f>1/(COUNT('Iter No Test'!$W$9:$W$5008)-1)+$AR$2580</f>
        <v>0.51570314062814271</v>
      </c>
    </row>
    <row r="2582" spans="22:44">
      <c r="V2582">
        <v>2574</v>
      </c>
      <c r="W2582">
        <v>258.80719115975273</v>
      </c>
      <c r="AQ2582">
        <f>SMALL('Iter No Test'!$W$9:$W$5008,2580)</f>
        <v>212.31239179080151</v>
      </c>
      <c r="AR2582">
        <f>1/(COUNT('Iter No Test'!$W$9:$W$5008)-1)+$AR$2581</f>
        <v>0.51590318063614427</v>
      </c>
    </row>
    <row r="2583" spans="22:44">
      <c r="V2583">
        <v>2575</v>
      </c>
      <c r="W2583">
        <v>315.59725922823691</v>
      </c>
      <c r="AQ2583">
        <f>SMALL('Iter No Test'!$W$9:$W$5008,2581)</f>
        <v>212.36624678583394</v>
      </c>
      <c r="AR2583">
        <f>1/(COUNT('Iter No Test'!$W$9:$W$5008)-1)+$AR$2582</f>
        <v>0.51610322064414582</v>
      </c>
    </row>
    <row r="2584" spans="22:44">
      <c r="V2584">
        <v>2576</v>
      </c>
      <c r="W2584">
        <v>314.23269929110688</v>
      </c>
      <c r="AQ2584">
        <f>SMALL('Iter No Test'!$W$9:$W$5008,2582)</f>
        <v>212.43909201244142</v>
      </c>
      <c r="AR2584">
        <f>1/(COUNT('Iter No Test'!$W$9:$W$5008)-1)+$AR$2583</f>
        <v>0.51630326065214738</v>
      </c>
    </row>
    <row r="2585" spans="22:44">
      <c r="V2585">
        <v>2577</v>
      </c>
      <c r="W2585">
        <v>107.22017375447589</v>
      </c>
      <c r="AQ2585">
        <f>SMALL('Iter No Test'!$W$9:$W$5008,2583)</f>
        <v>212.44009197235076</v>
      </c>
      <c r="AR2585">
        <f>1/(COUNT('Iter No Test'!$W$9:$W$5008)-1)+$AR$2584</f>
        <v>0.51650330066014893</v>
      </c>
    </row>
    <row r="2586" spans="22:44">
      <c r="V2586">
        <v>2578</v>
      </c>
      <c r="W2586">
        <v>82.699506491461037</v>
      </c>
      <c r="AQ2586">
        <f>SMALL('Iter No Test'!$W$9:$W$5008,2584)</f>
        <v>212.49236141288017</v>
      </c>
      <c r="AR2586">
        <f>1/(COUNT('Iter No Test'!$W$9:$W$5008)-1)+$AR$2585</f>
        <v>0.51670334066815049</v>
      </c>
    </row>
    <row r="2587" spans="22:44">
      <c r="V2587">
        <v>2579</v>
      </c>
      <c r="W2587">
        <v>175.83006263013078</v>
      </c>
      <c r="AQ2587">
        <f>SMALL('Iter No Test'!$W$9:$W$5008,2585)</f>
        <v>212.49955407096647</v>
      </c>
      <c r="AR2587">
        <f>1/(COUNT('Iter No Test'!$W$9:$W$5008)-1)+$AR$2586</f>
        <v>0.51690338067615205</v>
      </c>
    </row>
    <row r="2588" spans="22:44">
      <c r="V2588">
        <v>2580</v>
      </c>
      <c r="W2588">
        <v>192.09954959762192</v>
      </c>
      <c r="AQ2588">
        <f>SMALL('Iter No Test'!$W$9:$W$5008,2586)</f>
        <v>212.5166361939977</v>
      </c>
      <c r="AR2588">
        <f>1/(COUNT('Iter No Test'!$W$9:$W$5008)-1)+$AR$2587</f>
        <v>0.5171034206841536</v>
      </c>
    </row>
    <row r="2589" spans="22:44">
      <c r="V2589">
        <v>2581</v>
      </c>
      <c r="W2589">
        <v>243.60135529335483</v>
      </c>
      <c r="AQ2589">
        <f>SMALL('Iter No Test'!$W$9:$W$5008,2587)</f>
        <v>212.55013916496785</v>
      </c>
      <c r="AR2589">
        <f>1/(COUNT('Iter No Test'!$W$9:$W$5008)-1)+$AR$2588</f>
        <v>0.51730346069215516</v>
      </c>
    </row>
    <row r="2590" spans="22:44">
      <c r="V2590">
        <v>2582</v>
      </c>
      <c r="W2590">
        <v>13.207991568773224</v>
      </c>
      <c r="AQ2590">
        <f>SMALL('Iter No Test'!$W$9:$W$5008,2588)</f>
        <v>212.55337384779651</v>
      </c>
      <c r="AR2590">
        <f>1/(COUNT('Iter No Test'!$W$9:$W$5008)-1)+$AR$2589</f>
        <v>0.51750350070015672</v>
      </c>
    </row>
    <row r="2591" spans="22:44">
      <c r="V2591">
        <v>2583</v>
      </c>
      <c r="W2591">
        <v>242.37969828113137</v>
      </c>
      <c r="AQ2591">
        <f>SMALL('Iter No Test'!$W$9:$W$5008,2589)</f>
        <v>212.69749820878832</v>
      </c>
      <c r="AR2591">
        <f>1/(COUNT('Iter No Test'!$W$9:$W$5008)-1)+$AR$2590</f>
        <v>0.51770354070815827</v>
      </c>
    </row>
    <row r="2592" spans="22:44">
      <c r="V2592">
        <v>2584</v>
      </c>
      <c r="W2592">
        <v>200.40089408838108</v>
      </c>
      <c r="AQ2592">
        <f>SMALL('Iter No Test'!$W$9:$W$5008,2590)</f>
        <v>212.72046670468492</v>
      </c>
      <c r="AR2592">
        <f>1/(COUNT('Iter No Test'!$W$9:$W$5008)-1)+$AR$2591</f>
        <v>0.51790358071615983</v>
      </c>
    </row>
    <row r="2593" spans="22:44">
      <c r="V2593">
        <v>2585</v>
      </c>
      <c r="W2593">
        <v>135.73516633566487</v>
      </c>
      <c r="AQ2593">
        <f>SMALL('Iter No Test'!$W$9:$W$5008,2591)</f>
        <v>212.72474917378267</v>
      </c>
      <c r="AR2593">
        <f>1/(COUNT('Iter No Test'!$W$9:$W$5008)-1)+$AR$2592</f>
        <v>0.51810362072416138</v>
      </c>
    </row>
    <row r="2594" spans="22:44">
      <c r="V2594">
        <v>2586</v>
      </c>
      <c r="W2594">
        <v>171.61924338815916</v>
      </c>
      <c r="AQ2594">
        <f>SMALL('Iter No Test'!$W$9:$W$5008,2592)</f>
        <v>212.73590640557018</v>
      </c>
      <c r="AR2594">
        <f>1/(COUNT('Iter No Test'!$W$9:$W$5008)-1)+$AR$2593</f>
        <v>0.51830366073216294</v>
      </c>
    </row>
    <row r="2595" spans="22:44">
      <c r="V2595">
        <v>2587</v>
      </c>
      <c r="W2595">
        <v>282.27067843686245</v>
      </c>
      <c r="AQ2595">
        <f>SMALL('Iter No Test'!$W$9:$W$5008,2593)</f>
        <v>212.7552447047899</v>
      </c>
      <c r="AR2595">
        <f>1/(COUNT('Iter No Test'!$W$9:$W$5008)-1)+$AR$2594</f>
        <v>0.5185037007401645</v>
      </c>
    </row>
    <row r="2596" spans="22:44">
      <c r="V2596">
        <v>2588</v>
      </c>
      <c r="W2596">
        <v>215.7369593278774</v>
      </c>
      <c r="AQ2596">
        <f>SMALL('Iter No Test'!$W$9:$W$5008,2594)</f>
        <v>212.77595985549164</v>
      </c>
      <c r="AR2596">
        <f>1/(COUNT('Iter No Test'!$W$9:$W$5008)-1)+$AR$2595</f>
        <v>0.51870374074816605</v>
      </c>
    </row>
    <row r="2597" spans="22:44">
      <c r="V2597">
        <v>2589</v>
      </c>
      <c r="W2597">
        <v>192.44859285028451</v>
      </c>
      <c r="AQ2597">
        <f>SMALL('Iter No Test'!$W$9:$W$5008,2595)</f>
        <v>212.80843902043878</v>
      </c>
      <c r="AR2597">
        <f>1/(COUNT('Iter No Test'!$W$9:$W$5008)-1)+$AR$2596</f>
        <v>0.51890378075616761</v>
      </c>
    </row>
    <row r="2598" spans="22:44">
      <c r="V2598">
        <v>2590</v>
      </c>
      <c r="W2598">
        <v>271.31233560626237</v>
      </c>
      <c r="AQ2598">
        <f>SMALL('Iter No Test'!$W$9:$W$5008,2596)</f>
        <v>212.84844142638693</v>
      </c>
      <c r="AR2598">
        <f>1/(COUNT('Iter No Test'!$W$9:$W$5008)-1)+$AR$2597</f>
        <v>0.51910382076416917</v>
      </c>
    </row>
    <row r="2599" spans="22:44">
      <c r="V2599">
        <v>2591</v>
      </c>
      <c r="W2599">
        <v>80.338887686972157</v>
      </c>
      <c r="AQ2599">
        <f>SMALL('Iter No Test'!$W$9:$W$5008,2597)</f>
        <v>212.8668463733548</v>
      </c>
      <c r="AR2599">
        <f>1/(COUNT('Iter No Test'!$W$9:$W$5008)-1)+$AR$2598</f>
        <v>0.51930386077217072</v>
      </c>
    </row>
    <row r="2600" spans="22:44">
      <c r="V2600">
        <v>2592</v>
      </c>
      <c r="W2600">
        <v>339.97857394929076</v>
      </c>
      <c r="AQ2600">
        <f>SMALL('Iter No Test'!$W$9:$W$5008,2598)</f>
        <v>212.90083242778016</v>
      </c>
      <c r="AR2600">
        <f>1/(COUNT('Iter No Test'!$W$9:$W$5008)-1)+$AR$2599</f>
        <v>0.51950390078017228</v>
      </c>
    </row>
    <row r="2601" spans="22:44">
      <c r="V2601">
        <v>2593</v>
      </c>
      <c r="W2601">
        <v>189.15502451718032</v>
      </c>
      <c r="AQ2601">
        <f>SMALL('Iter No Test'!$W$9:$W$5008,2599)</f>
        <v>212.90382588521038</v>
      </c>
      <c r="AR2601">
        <f>1/(COUNT('Iter No Test'!$W$9:$W$5008)-1)+$AR$2600</f>
        <v>0.51970394078817383</v>
      </c>
    </row>
    <row r="2602" spans="22:44">
      <c r="V2602">
        <v>2594</v>
      </c>
      <c r="W2602">
        <v>197.69081561589996</v>
      </c>
      <c r="AQ2602">
        <f>SMALL('Iter No Test'!$W$9:$W$5008,2600)</f>
        <v>212.9058304013794</v>
      </c>
      <c r="AR2602">
        <f>1/(COUNT('Iter No Test'!$W$9:$W$5008)-1)+$AR$2601</f>
        <v>0.51990398079617539</v>
      </c>
    </row>
    <row r="2603" spans="22:44">
      <c r="V2603">
        <v>2595</v>
      </c>
      <c r="W2603">
        <v>190.84501999209263</v>
      </c>
      <c r="AQ2603">
        <f>SMALL('Iter No Test'!$W$9:$W$5008,2601)</f>
        <v>212.91870685267924</v>
      </c>
      <c r="AR2603">
        <f>1/(COUNT('Iter No Test'!$W$9:$W$5008)-1)+$AR$2602</f>
        <v>0.52010402080417695</v>
      </c>
    </row>
    <row r="2604" spans="22:44">
      <c r="V2604">
        <v>2596</v>
      </c>
      <c r="W2604">
        <v>217.01311637311218</v>
      </c>
      <c r="AQ2604">
        <f>SMALL('Iter No Test'!$W$9:$W$5008,2602)</f>
        <v>212.92679845373544</v>
      </c>
      <c r="AR2604">
        <f>1/(COUNT('Iter No Test'!$W$9:$W$5008)-1)+$AR$2603</f>
        <v>0.5203040608121785</v>
      </c>
    </row>
    <row r="2605" spans="22:44">
      <c r="V2605">
        <v>2597</v>
      </c>
      <c r="W2605">
        <v>300.27538387921641</v>
      </c>
      <c r="AQ2605">
        <f>SMALL('Iter No Test'!$W$9:$W$5008,2603)</f>
        <v>212.94253216945793</v>
      </c>
      <c r="AR2605">
        <f>1/(COUNT('Iter No Test'!$W$9:$W$5008)-1)+$AR$2604</f>
        <v>0.52050410082018006</v>
      </c>
    </row>
    <row r="2606" spans="22:44">
      <c r="V2606">
        <v>2598</v>
      </c>
      <c r="W2606">
        <v>284.57725927761555</v>
      </c>
      <c r="AQ2606">
        <f>SMALL('Iter No Test'!$W$9:$W$5008,2604)</f>
        <v>212.98374711022433</v>
      </c>
      <c r="AR2606">
        <f>1/(COUNT('Iter No Test'!$W$9:$W$5008)-1)+$AR$2605</f>
        <v>0.52070414082818162</v>
      </c>
    </row>
    <row r="2607" spans="22:44">
      <c r="V2607">
        <v>2599</v>
      </c>
      <c r="W2607">
        <v>253.56542453724651</v>
      </c>
      <c r="AQ2607">
        <f>SMALL('Iter No Test'!$W$9:$W$5008,2605)</f>
        <v>213.14481598979427</v>
      </c>
      <c r="AR2607">
        <f>1/(COUNT('Iter No Test'!$W$9:$W$5008)-1)+$AR$2606</f>
        <v>0.52090418083618317</v>
      </c>
    </row>
    <row r="2608" spans="22:44">
      <c r="V2608">
        <v>2600</v>
      </c>
      <c r="W2608">
        <v>90.323934320133162</v>
      </c>
      <c r="AQ2608">
        <f>SMALL('Iter No Test'!$W$9:$W$5008,2606)</f>
        <v>213.23505301754329</v>
      </c>
      <c r="AR2608">
        <f>1/(COUNT('Iter No Test'!$W$9:$W$5008)-1)+$AR$2607</f>
        <v>0.52110422084418473</v>
      </c>
    </row>
    <row r="2609" spans="22:44">
      <c r="V2609">
        <v>2601</v>
      </c>
      <c r="W2609">
        <v>207.93010346835737</v>
      </c>
      <c r="AQ2609">
        <f>SMALL('Iter No Test'!$W$9:$W$5008,2607)</f>
        <v>213.26587699356398</v>
      </c>
      <c r="AR2609">
        <f>1/(COUNT('Iter No Test'!$W$9:$W$5008)-1)+$AR$2608</f>
        <v>0.52130426085218629</v>
      </c>
    </row>
    <row r="2610" spans="22:44">
      <c r="V2610">
        <v>2602</v>
      </c>
      <c r="W2610">
        <v>218.19671466856553</v>
      </c>
      <c r="AQ2610">
        <f>SMALL('Iter No Test'!$W$9:$W$5008,2608)</f>
        <v>213.30444135204351</v>
      </c>
      <c r="AR2610">
        <f>1/(COUNT('Iter No Test'!$W$9:$W$5008)-1)+$AR$2609</f>
        <v>0.52150430086018784</v>
      </c>
    </row>
    <row r="2611" spans="22:44">
      <c r="V2611">
        <v>2603</v>
      </c>
      <c r="W2611">
        <v>191.43711824203714</v>
      </c>
      <c r="AQ2611">
        <f>SMALL('Iter No Test'!$W$9:$W$5008,2609)</f>
        <v>213.30554493815791</v>
      </c>
      <c r="AR2611">
        <f>1/(COUNT('Iter No Test'!$W$9:$W$5008)-1)+$AR$2610</f>
        <v>0.5217043408681894</v>
      </c>
    </row>
    <row r="2612" spans="22:44">
      <c r="V2612">
        <v>2604</v>
      </c>
      <c r="W2612">
        <v>194.58171600630223</v>
      </c>
      <c r="AQ2612">
        <f>SMALL('Iter No Test'!$W$9:$W$5008,2610)</f>
        <v>213.3941825808889</v>
      </c>
      <c r="AR2612">
        <f>1/(COUNT('Iter No Test'!$W$9:$W$5008)-1)+$AR$2611</f>
        <v>0.52190438087619095</v>
      </c>
    </row>
    <row r="2613" spans="22:44">
      <c r="V2613">
        <v>2605</v>
      </c>
      <c r="W2613">
        <v>222.39263774057747</v>
      </c>
      <c r="AQ2613">
        <f>SMALL('Iter No Test'!$W$9:$W$5008,2611)</f>
        <v>213.39926405071787</v>
      </c>
      <c r="AR2613">
        <f>1/(COUNT('Iter No Test'!$W$9:$W$5008)-1)+$AR$2612</f>
        <v>0.52210442088419251</v>
      </c>
    </row>
    <row r="2614" spans="22:44">
      <c r="V2614">
        <v>2606</v>
      </c>
      <c r="W2614">
        <v>292.42786993714617</v>
      </c>
      <c r="AQ2614">
        <f>SMALL('Iter No Test'!$W$9:$W$5008,2612)</f>
        <v>213.40558353089475</v>
      </c>
      <c r="AR2614">
        <f>1/(COUNT('Iter No Test'!$W$9:$W$5008)-1)+$AR$2613</f>
        <v>0.52230446089219407</v>
      </c>
    </row>
    <row r="2615" spans="22:44">
      <c r="V2615">
        <v>2607</v>
      </c>
      <c r="W2615">
        <v>329.14296816694338</v>
      </c>
      <c r="AQ2615">
        <f>SMALL('Iter No Test'!$W$9:$W$5008,2613)</f>
        <v>213.44536915858004</v>
      </c>
      <c r="AR2615">
        <f>1/(COUNT('Iter No Test'!$W$9:$W$5008)-1)+$AR$2614</f>
        <v>0.52250450090019562</v>
      </c>
    </row>
    <row r="2616" spans="22:44">
      <c r="V2616">
        <v>2608</v>
      </c>
      <c r="W2616">
        <v>111.15494946317773</v>
      </c>
      <c r="AQ2616">
        <f>SMALL('Iter No Test'!$W$9:$W$5008,2614)</f>
        <v>213.45278519923991</v>
      </c>
      <c r="AR2616">
        <f>1/(COUNT('Iter No Test'!$W$9:$W$5008)-1)+$AR$2615</f>
        <v>0.52270454090819718</v>
      </c>
    </row>
    <row r="2617" spans="22:44">
      <c r="V2617">
        <v>2609</v>
      </c>
      <c r="W2617">
        <v>179.7912149513914</v>
      </c>
      <c r="AQ2617">
        <f>SMALL('Iter No Test'!$W$9:$W$5008,2615)</f>
        <v>213.46435704101106</v>
      </c>
      <c r="AR2617">
        <f>1/(COUNT('Iter No Test'!$W$9:$W$5008)-1)+$AR$2616</f>
        <v>0.52290458091619874</v>
      </c>
    </row>
    <row r="2618" spans="22:44">
      <c r="V2618">
        <v>2610</v>
      </c>
      <c r="W2618">
        <v>88.993956528862441</v>
      </c>
      <c r="AQ2618">
        <f>SMALL('Iter No Test'!$W$9:$W$5008,2616)</f>
        <v>213.46695061860811</v>
      </c>
      <c r="AR2618">
        <f>1/(COUNT('Iter No Test'!$W$9:$W$5008)-1)+$AR$2617</f>
        <v>0.52310462092420029</v>
      </c>
    </row>
    <row r="2619" spans="22:44">
      <c r="V2619">
        <v>2611</v>
      </c>
      <c r="W2619">
        <v>84.143840468786919</v>
      </c>
      <c r="AQ2619">
        <f>SMALL('Iter No Test'!$W$9:$W$5008,2617)</f>
        <v>213.48038691038417</v>
      </c>
      <c r="AR2619">
        <f>1/(COUNT('Iter No Test'!$W$9:$W$5008)-1)+$AR$2618</f>
        <v>0.52330466093220185</v>
      </c>
    </row>
    <row r="2620" spans="22:44">
      <c r="V2620">
        <v>2612</v>
      </c>
      <c r="W2620">
        <v>333.54550527725996</v>
      </c>
      <c r="AQ2620">
        <f>SMALL('Iter No Test'!$W$9:$W$5008,2618)</f>
        <v>213.49546317217673</v>
      </c>
      <c r="AR2620">
        <f>1/(COUNT('Iter No Test'!$W$9:$W$5008)-1)+$AR$2619</f>
        <v>0.5235047009402034</v>
      </c>
    </row>
    <row r="2621" spans="22:44">
      <c r="V2621">
        <v>2613</v>
      </c>
      <c r="W2621">
        <v>215.20176825569365</v>
      </c>
      <c r="AQ2621">
        <f>SMALL('Iter No Test'!$W$9:$W$5008,2619)</f>
        <v>213.50987624990796</v>
      </c>
      <c r="AR2621">
        <f>1/(COUNT('Iter No Test'!$W$9:$W$5008)-1)+$AR$2620</f>
        <v>0.52370474094820496</v>
      </c>
    </row>
    <row r="2622" spans="22:44">
      <c r="V2622">
        <v>2614</v>
      </c>
      <c r="W2622">
        <v>183.03476662671414</v>
      </c>
      <c r="AQ2622">
        <f>SMALL('Iter No Test'!$W$9:$W$5008,2620)</f>
        <v>213.51427631712198</v>
      </c>
      <c r="AR2622">
        <f>1/(COUNT('Iter No Test'!$W$9:$W$5008)-1)+$AR$2621</f>
        <v>0.52390478095620652</v>
      </c>
    </row>
    <row r="2623" spans="22:44">
      <c r="V2623">
        <v>2615</v>
      </c>
      <c r="W2623">
        <v>171.60674427519234</v>
      </c>
      <c r="AQ2623">
        <f>SMALL('Iter No Test'!$W$9:$W$5008,2621)</f>
        <v>213.5178650037852</v>
      </c>
      <c r="AR2623">
        <f>1/(COUNT('Iter No Test'!$W$9:$W$5008)-1)+$AR$2622</f>
        <v>0.52410482096420807</v>
      </c>
    </row>
    <row r="2624" spans="22:44">
      <c r="V2624">
        <v>2616</v>
      </c>
      <c r="W2624">
        <v>163.68370052703483</v>
      </c>
      <c r="AQ2624">
        <f>SMALL('Iter No Test'!$W$9:$W$5008,2622)</f>
        <v>213.56914616814962</v>
      </c>
      <c r="AR2624">
        <f>1/(COUNT('Iter No Test'!$W$9:$W$5008)-1)+$AR$2623</f>
        <v>0.52430486097220963</v>
      </c>
    </row>
    <row r="2625" spans="22:44">
      <c r="V2625">
        <v>2617</v>
      </c>
      <c r="W2625">
        <v>247.99653210677425</v>
      </c>
      <c r="AQ2625">
        <f>SMALL('Iter No Test'!$W$9:$W$5008,2623)</f>
        <v>213.57805555871272</v>
      </c>
      <c r="AR2625">
        <f>1/(COUNT('Iter No Test'!$W$9:$W$5008)-1)+$AR$2624</f>
        <v>0.52450490098021119</v>
      </c>
    </row>
    <row r="2626" spans="22:44">
      <c r="V2626">
        <v>2618</v>
      </c>
      <c r="W2626">
        <v>343.88441956035774</v>
      </c>
      <c r="AQ2626">
        <f>SMALL('Iter No Test'!$W$9:$W$5008,2624)</f>
        <v>213.65994743346835</v>
      </c>
      <c r="AR2626">
        <f>1/(COUNT('Iter No Test'!$W$9:$W$5008)-1)+$AR$2625</f>
        <v>0.52470494098821274</v>
      </c>
    </row>
    <row r="2627" spans="22:44">
      <c r="V2627">
        <v>2619</v>
      </c>
      <c r="W2627">
        <v>240.95610856114914</v>
      </c>
      <c r="AQ2627">
        <f>SMALL('Iter No Test'!$W$9:$W$5008,2625)</f>
        <v>213.70493825217946</v>
      </c>
      <c r="AR2627">
        <f>1/(COUNT('Iter No Test'!$W$9:$W$5008)-1)+$AR$2626</f>
        <v>0.5249049809962143</v>
      </c>
    </row>
    <row r="2628" spans="22:44">
      <c r="V2628">
        <v>2620</v>
      </c>
      <c r="W2628">
        <v>306.59888502834087</v>
      </c>
      <c r="AQ2628">
        <f>SMALL('Iter No Test'!$W$9:$W$5008,2626)</f>
        <v>213.74802900071757</v>
      </c>
      <c r="AR2628">
        <f>1/(COUNT('Iter No Test'!$W$9:$W$5008)-1)+$AR$2627</f>
        <v>0.52510502100421586</v>
      </c>
    </row>
    <row r="2629" spans="22:44">
      <c r="V2629">
        <v>2621</v>
      </c>
      <c r="W2629">
        <v>173.72744338641331</v>
      </c>
      <c r="AQ2629">
        <f>SMALL('Iter No Test'!$W$9:$W$5008,2627)</f>
        <v>213.82189232579344</v>
      </c>
      <c r="AR2629">
        <f>1/(COUNT('Iter No Test'!$W$9:$W$5008)-1)+$AR$2628</f>
        <v>0.52530506101221741</v>
      </c>
    </row>
    <row r="2630" spans="22:44">
      <c r="V2630">
        <v>2622</v>
      </c>
      <c r="W2630">
        <v>135.93501401324957</v>
      </c>
      <c r="AQ2630">
        <f>SMALL('Iter No Test'!$W$9:$W$5008,2628)</f>
        <v>213.84000157453437</v>
      </c>
      <c r="AR2630">
        <f>1/(COUNT('Iter No Test'!$W$9:$W$5008)-1)+$AR$2629</f>
        <v>0.52550510102021897</v>
      </c>
    </row>
    <row r="2631" spans="22:44">
      <c r="V2631">
        <v>2623</v>
      </c>
      <c r="W2631">
        <v>125.09076803566732</v>
      </c>
      <c r="AQ2631">
        <f>SMALL('Iter No Test'!$W$9:$W$5008,2629)</f>
        <v>213.85366674349626</v>
      </c>
      <c r="AR2631">
        <f>1/(COUNT('Iter No Test'!$W$9:$W$5008)-1)+$AR$2630</f>
        <v>0.52570514102822052</v>
      </c>
    </row>
    <row r="2632" spans="22:44">
      <c r="V2632">
        <v>2624</v>
      </c>
      <c r="W2632">
        <v>432.03830145727852</v>
      </c>
      <c r="AQ2632">
        <f>SMALL('Iter No Test'!$W$9:$W$5008,2630)</f>
        <v>213.89227608002432</v>
      </c>
      <c r="AR2632">
        <f>1/(COUNT('Iter No Test'!$W$9:$W$5008)-1)+$AR$2631</f>
        <v>0.52590518103622208</v>
      </c>
    </row>
    <row r="2633" spans="22:44">
      <c r="V2633">
        <v>2625</v>
      </c>
      <c r="W2633">
        <v>159.71995136097445</v>
      </c>
      <c r="AQ2633">
        <f>SMALL('Iter No Test'!$W$9:$W$5008,2631)</f>
        <v>213.96851367063218</v>
      </c>
      <c r="AR2633">
        <f>1/(COUNT('Iter No Test'!$W$9:$W$5008)-1)+$AR$2632</f>
        <v>0.52610522104422364</v>
      </c>
    </row>
    <row r="2634" spans="22:44">
      <c r="V2634">
        <v>2626</v>
      </c>
      <c r="W2634">
        <v>220.12849119171747</v>
      </c>
      <c r="AQ2634">
        <f>SMALL('Iter No Test'!$W$9:$W$5008,2632)</f>
        <v>214.12505169579777</v>
      </c>
      <c r="AR2634">
        <f>1/(COUNT('Iter No Test'!$W$9:$W$5008)-1)+$AR$2633</f>
        <v>0.52630526105222519</v>
      </c>
    </row>
    <row r="2635" spans="22:44">
      <c r="V2635">
        <v>2627</v>
      </c>
      <c r="W2635">
        <v>177.80048502319755</v>
      </c>
      <c r="AQ2635">
        <f>SMALL('Iter No Test'!$W$9:$W$5008,2633)</f>
        <v>214.13411811911101</v>
      </c>
      <c r="AR2635">
        <f>1/(COUNT('Iter No Test'!$W$9:$W$5008)-1)+$AR$2634</f>
        <v>0.52650530106022675</v>
      </c>
    </row>
    <row r="2636" spans="22:44">
      <c r="V2636">
        <v>2628</v>
      </c>
      <c r="W2636">
        <v>223.78444421105621</v>
      </c>
      <c r="AQ2636">
        <f>SMALL('Iter No Test'!$W$9:$W$5008,2634)</f>
        <v>214.13920090329594</v>
      </c>
      <c r="AR2636">
        <f>1/(COUNT('Iter No Test'!$W$9:$W$5008)-1)+$AR$2635</f>
        <v>0.52670534106822831</v>
      </c>
    </row>
    <row r="2637" spans="22:44">
      <c r="V2637">
        <v>2629</v>
      </c>
      <c r="W2637">
        <v>210.36063660065687</v>
      </c>
      <c r="AQ2637">
        <f>SMALL('Iter No Test'!$W$9:$W$5008,2635)</f>
        <v>214.16237407650181</v>
      </c>
      <c r="AR2637">
        <f>1/(COUNT('Iter No Test'!$W$9:$W$5008)-1)+$AR$2636</f>
        <v>0.52690538107622986</v>
      </c>
    </row>
    <row r="2638" spans="22:44">
      <c r="V2638">
        <v>2630</v>
      </c>
      <c r="W2638">
        <v>115.76039541673227</v>
      </c>
      <c r="AQ2638">
        <f>SMALL('Iter No Test'!$W$9:$W$5008,2636)</f>
        <v>214.17370191596393</v>
      </c>
      <c r="AR2638">
        <f>1/(COUNT('Iter No Test'!$W$9:$W$5008)-1)+$AR$2637</f>
        <v>0.52710542108423142</v>
      </c>
    </row>
    <row r="2639" spans="22:44">
      <c r="V2639">
        <v>2631</v>
      </c>
      <c r="W2639">
        <v>174.01294977746187</v>
      </c>
      <c r="AQ2639">
        <f>SMALL('Iter No Test'!$W$9:$W$5008,2637)</f>
        <v>214.22249946310711</v>
      </c>
      <c r="AR2639">
        <f>1/(COUNT('Iter No Test'!$W$9:$W$5008)-1)+$AR$2638</f>
        <v>0.52730546109223297</v>
      </c>
    </row>
    <row r="2640" spans="22:44">
      <c r="V2640">
        <v>2632</v>
      </c>
      <c r="W2640">
        <v>134.6662901951984</v>
      </c>
      <c r="AQ2640">
        <f>SMALL('Iter No Test'!$W$9:$W$5008,2638)</f>
        <v>214.25228470236141</v>
      </c>
      <c r="AR2640">
        <f>1/(COUNT('Iter No Test'!$W$9:$W$5008)-1)+$AR$2639</f>
        <v>0.52750550110023453</v>
      </c>
    </row>
    <row r="2641" spans="22:44">
      <c r="V2641">
        <v>2633</v>
      </c>
      <c r="W2641">
        <v>202.7435454856786</v>
      </c>
      <c r="AQ2641">
        <f>SMALL('Iter No Test'!$W$9:$W$5008,2639)</f>
        <v>214.30657467685919</v>
      </c>
      <c r="AR2641">
        <f>1/(COUNT('Iter No Test'!$W$9:$W$5008)-1)+$AR$2640</f>
        <v>0.52770554110823609</v>
      </c>
    </row>
    <row r="2642" spans="22:44">
      <c r="V2642">
        <v>2634</v>
      </c>
      <c r="W2642">
        <v>279.46427421129829</v>
      </c>
      <c r="AQ2642">
        <f>SMALL('Iter No Test'!$W$9:$W$5008,2640)</f>
        <v>214.31371592134306</v>
      </c>
      <c r="AR2642">
        <f>1/(COUNT('Iter No Test'!$W$9:$W$5008)-1)+$AR$2641</f>
        <v>0.52790558111623764</v>
      </c>
    </row>
    <row r="2643" spans="22:44">
      <c r="V2643">
        <v>2635</v>
      </c>
      <c r="W2643">
        <v>241.30209790680473</v>
      </c>
      <c r="AQ2643">
        <f>SMALL('Iter No Test'!$W$9:$W$5008,2641)</f>
        <v>214.46109537963986</v>
      </c>
      <c r="AR2643">
        <f>1/(COUNT('Iter No Test'!$W$9:$W$5008)-1)+$AR$2642</f>
        <v>0.5281056211242392</v>
      </c>
    </row>
    <row r="2644" spans="22:44">
      <c r="V2644">
        <v>2636</v>
      </c>
      <c r="W2644">
        <v>110.13114853221873</v>
      </c>
      <c r="AQ2644">
        <f>SMALL('Iter No Test'!$W$9:$W$5008,2642)</f>
        <v>214.46174828029407</v>
      </c>
      <c r="AR2644">
        <f>1/(COUNT('Iter No Test'!$W$9:$W$5008)-1)+$AR$2643</f>
        <v>0.52830566113224076</v>
      </c>
    </row>
    <row r="2645" spans="22:44">
      <c r="V2645">
        <v>2637</v>
      </c>
      <c r="W2645">
        <v>200.25655409708989</v>
      </c>
      <c r="AQ2645">
        <f>SMALL('Iter No Test'!$W$9:$W$5008,2643)</f>
        <v>214.47559338750409</v>
      </c>
      <c r="AR2645">
        <f>1/(COUNT('Iter No Test'!$W$9:$W$5008)-1)+$AR$2644</f>
        <v>0.52850570114024231</v>
      </c>
    </row>
    <row r="2646" spans="22:44">
      <c r="V2646">
        <v>2638</v>
      </c>
      <c r="W2646">
        <v>265.70645390748774</v>
      </c>
      <c r="AQ2646">
        <f>SMALL('Iter No Test'!$W$9:$W$5008,2644)</f>
        <v>214.58599756752611</v>
      </c>
      <c r="AR2646">
        <f>1/(COUNT('Iter No Test'!$W$9:$W$5008)-1)+$AR$2645</f>
        <v>0.52870574114824387</v>
      </c>
    </row>
    <row r="2647" spans="22:44">
      <c r="V2647">
        <v>2639</v>
      </c>
      <c r="W2647">
        <v>224.92485797685578</v>
      </c>
      <c r="AQ2647">
        <f>SMALL('Iter No Test'!$W$9:$W$5008,2645)</f>
        <v>214.72492663661021</v>
      </c>
      <c r="AR2647">
        <f>1/(COUNT('Iter No Test'!$W$9:$W$5008)-1)+$AR$2646</f>
        <v>0.52890578115624542</v>
      </c>
    </row>
    <row r="2648" spans="22:44">
      <c r="V2648">
        <v>2640</v>
      </c>
      <c r="W2648">
        <v>127.63640137654886</v>
      </c>
      <c r="AQ2648">
        <f>SMALL('Iter No Test'!$W$9:$W$5008,2646)</f>
        <v>214.76498208481155</v>
      </c>
      <c r="AR2648">
        <f>1/(COUNT('Iter No Test'!$W$9:$W$5008)-1)+$AR$2647</f>
        <v>0.52910582116424698</v>
      </c>
    </row>
    <row r="2649" spans="22:44">
      <c r="V2649">
        <v>2641</v>
      </c>
      <c r="W2649">
        <v>228.67091701312796</v>
      </c>
      <c r="AQ2649">
        <f>SMALL('Iter No Test'!$W$9:$W$5008,2647)</f>
        <v>214.76525872592768</v>
      </c>
      <c r="AR2649">
        <f>1/(COUNT('Iter No Test'!$W$9:$W$5008)-1)+$AR$2648</f>
        <v>0.52930586117224854</v>
      </c>
    </row>
    <row r="2650" spans="22:44">
      <c r="V2650">
        <v>2642</v>
      </c>
      <c r="W2650">
        <v>211.23602858136218</v>
      </c>
      <c r="AQ2650">
        <f>SMALL('Iter No Test'!$W$9:$W$5008,2648)</f>
        <v>214.88245696751551</v>
      </c>
      <c r="AR2650">
        <f>1/(COUNT('Iter No Test'!$W$9:$W$5008)-1)+$AR$2649</f>
        <v>0.52950590118025009</v>
      </c>
    </row>
    <row r="2651" spans="22:44">
      <c r="V2651">
        <v>2643</v>
      </c>
      <c r="W2651">
        <v>280.68857607965532</v>
      </c>
      <c r="AQ2651">
        <f>SMALL('Iter No Test'!$W$9:$W$5008,2649)</f>
        <v>214.89684025682868</v>
      </c>
      <c r="AR2651">
        <f>1/(COUNT('Iter No Test'!$W$9:$W$5008)-1)+$AR$2650</f>
        <v>0.52970594118825165</v>
      </c>
    </row>
    <row r="2652" spans="22:44">
      <c r="V2652">
        <v>2644</v>
      </c>
      <c r="W2652">
        <v>134.08679725831493</v>
      </c>
      <c r="AQ2652">
        <f>SMALL('Iter No Test'!$W$9:$W$5008,2650)</f>
        <v>214.955850144012</v>
      </c>
      <c r="AR2652">
        <f>1/(COUNT('Iter No Test'!$W$9:$W$5008)-1)+$AR$2651</f>
        <v>0.52990598119625321</v>
      </c>
    </row>
    <row r="2653" spans="22:44">
      <c r="V2653">
        <v>2645</v>
      </c>
      <c r="W2653">
        <v>284.35162324743646</v>
      </c>
      <c r="AQ2653">
        <f>SMALL('Iter No Test'!$W$9:$W$5008,2651)</f>
        <v>214.97411257893606</v>
      </c>
      <c r="AR2653">
        <f>1/(COUNT('Iter No Test'!$W$9:$W$5008)-1)+$AR$2652</f>
        <v>0.53010602120425476</v>
      </c>
    </row>
    <row r="2654" spans="22:44">
      <c r="V2654">
        <v>2646</v>
      </c>
      <c r="W2654">
        <v>424.97154483657141</v>
      </c>
      <c r="AQ2654">
        <f>SMALL('Iter No Test'!$W$9:$W$5008,2652)</f>
        <v>215.05078022417882</v>
      </c>
      <c r="AR2654">
        <f>1/(COUNT('Iter No Test'!$W$9:$W$5008)-1)+$AR$2653</f>
        <v>0.53030606121225632</v>
      </c>
    </row>
    <row r="2655" spans="22:44">
      <c r="V2655">
        <v>2647</v>
      </c>
      <c r="W2655">
        <v>336.78041477840145</v>
      </c>
      <c r="AQ2655">
        <f>SMALL('Iter No Test'!$W$9:$W$5008,2653)</f>
        <v>215.07171764863878</v>
      </c>
      <c r="AR2655">
        <f>1/(COUNT('Iter No Test'!$W$9:$W$5008)-1)+$AR$2654</f>
        <v>0.53050610122025788</v>
      </c>
    </row>
    <row r="2656" spans="22:44">
      <c r="V2656">
        <v>2648</v>
      </c>
      <c r="W2656">
        <v>279.98803731994508</v>
      </c>
      <c r="AQ2656">
        <f>SMALL('Iter No Test'!$W$9:$W$5008,2654)</f>
        <v>215.08975298207889</v>
      </c>
      <c r="AR2656">
        <f>1/(COUNT('Iter No Test'!$W$9:$W$5008)-1)+$AR$2655</f>
        <v>0.53070614122825943</v>
      </c>
    </row>
    <row r="2657" spans="22:44">
      <c r="V2657">
        <v>2649</v>
      </c>
      <c r="W2657">
        <v>184.41188778766843</v>
      </c>
      <c r="AQ2657">
        <f>SMALL('Iter No Test'!$W$9:$W$5008,2655)</f>
        <v>215.17973202143466</v>
      </c>
      <c r="AR2657">
        <f>1/(COUNT('Iter No Test'!$W$9:$W$5008)-1)+$AR$2656</f>
        <v>0.53090618123626099</v>
      </c>
    </row>
    <row r="2658" spans="22:44">
      <c r="V2658">
        <v>2650</v>
      </c>
      <c r="W2658">
        <v>374.21454693832396</v>
      </c>
      <c r="AQ2658">
        <f>SMALL('Iter No Test'!$W$9:$W$5008,2656)</f>
        <v>215.20176825569365</v>
      </c>
      <c r="AR2658">
        <f>1/(COUNT('Iter No Test'!$W$9:$W$5008)-1)+$AR$2657</f>
        <v>0.53110622124426254</v>
      </c>
    </row>
    <row r="2659" spans="22:44">
      <c r="V2659">
        <v>2651</v>
      </c>
      <c r="W2659">
        <v>252.60587018480874</v>
      </c>
      <c r="AQ2659">
        <f>SMALL('Iter No Test'!$W$9:$W$5008,2657)</f>
        <v>215.23007063481614</v>
      </c>
      <c r="AR2659">
        <f>1/(COUNT('Iter No Test'!$W$9:$W$5008)-1)+$AR$2658</f>
        <v>0.5313062612522641</v>
      </c>
    </row>
    <row r="2660" spans="22:44">
      <c r="V2660">
        <v>2652</v>
      </c>
      <c r="W2660">
        <v>361.61960942042992</v>
      </c>
      <c r="AQ2660">
        <f>SMALL('Iter No Test'!$W$9:$W$5008,2658)</f>
        <v>215.32672037660436</v>
      </c>
      <c r="AR2660">
        <f>1/(COUNT('Iter No Test'!$W$9:$W$5008)-1)+$AR$2659</f>
        <v>0.53150630126026566</v>
      </c>
    </row>
    <row r="2661" spans="22:44">
      <c r="V2661">
        <v>2653</v>
      </c>
      <c r="W2661">
        <v>226.66563509908025</v>
      </c>
      <c r="AQ2661">
        <f>SMALL('Iter No Test'!$W$9:$W$5008,2659)</f>
        <v>215.38955426412207</v>
      </c>
      <c r="AR2661">
        <f>1/(COUNT('Iter No Test'!$W$9:$W$5008)-1)+$AR$2660</f>
        <v>0.53170634126826721</v>
      </c>
    </row>
    <row r="2662" spans="22:44">
      <c r="V2662">
        <v>2654</v>
      </c>
      <c r="W2662">
        <v>236.4006626836277</v>
      </c>
      <c r="AQ2662">
        <f>SMALL('Iter No Test'!$W$9:$W$5008,2660)</f>
        <v>215.46540556534421</v>
      </c>
      <c r="AR2662">
        <f>1/(COUNT('Iter No Test'!$W$9:$W$5008)-1)+$AR$2661</f>
        <v>0.53190638127626877</v>
      </c>
    </row>
    <row r="2663" spans="22:44">
      <c r="V2663">
        <v>2655</v>
      </c>
      <c r="W2663">
        <v>217.39679297759801</v>
      </c>
      <c r="AQ2663">
        <f>SMALL('Iter No Test'!$W$9:$W$5008,2661)</f>
        <v>215.49392884805792</v>
      </c>
      <c r="AR2663">
        <f>1/(COUNT('Iter No Test'!$W$9:$W$5008)-1)+$AR$2662</f>
        <v>0.53210642128427033</v>
      </c>
    </row>
    <row r="2664" spans="22:44">
      <c r="V2664">
        <v>2656</v>
      </c>
      <c r="W2664">
        <v>105.65390571205987</v>
      </c>
      <c r="AQ2664">
        <f>SMALL('Iter No Test'!$W$9:$W$5008,2662)</f>
        <v>215.64877418711765</v>
      </c>
      <c r="AR2664">
        <f>1/(COUNT('Iter No Test'!$W$9:$W$5008)-1)+$AR$2663</f>
        <v>0.53230646129227188</v>
      </c>
    </row>
    <row r="2665" spans="22:44">
      <c r="V2665">
        <v>2657</v>
      </c>
      <c r="W2665">
        <v>316.82524842526743</v>
      </c>
      <c r="AQ2665">
        <f>SMALL('Iter No Test'!$W$9:$W$5008,2663)</f>
        <v>215.69465415480079</v>
      </c>
      <c r="AR2665">
        <f>1/(COUNT('Iter No Test'!$W$9:$W$5008)-1)+$AR$2664</f>
        <v>0.53250650130027344</v>
      </c>
    </row>
    <row r="2666" spans="22:44">
      <c r="V2666">
        <v>2658</v>
      </c>
      <c r="W2666">
        <v>372.05178791673274</v>
      </c>
      <c r="AQ2666">
        <f>SMALL('Iter No Test'!$W$9:$W$5008,2664)</f>
        <v>215.7286261487634</v>
      </c>
      <c r="AR2666">
        <f>1/(COUNT('Iter No Test'!$W$9:$W$5008)-1)+$AR$2665</f>
        <v>0.53270654130827499</v>
      </c>
    </row>
    <row r="2667" spans="22:44">
      <c r="V2667">
        <v>2659</v>
      </c>
      <c r="W2667">
        <v>157.00024147527742</v>
      </c>
      <c r="AQ2667">
        <f>SMALL('Iter No Test'!$W$9:$W$5008,2665)</f>
        <v>215.7369593278774</v>
      </c>
      <c r="AR2667">
        <f>1/(COUNT('Iter No Test'!$W$9:$W$5008)-1)+$AR$2666</f>
        <v>0.53290658131627655</v>
      </c>
    </row>
    <row r="2668" spans="22:44">
      <c r="V2668">
        <v>2660</v>
      </c>
      <c r="W2668">
        <v>89.396370216853398</v>
      </c>
      <c r="AQ2668">
        <f>SMALL('Iter No Test'!$W$9:$W$5008,2666)</f>
        <v>215.75680323479546</v>
      </c>
      <c r="AR2668">
        <f>1/(COUNT('Iter No Test'!$W$9:$W$5008)-1)+$AR$2667</f>
        <v>0.53310662132427811</v>
      </c>
    </row>
    <row r="2669" spans="22:44">
      <c r="V2669">
        <v>2661</v>
      </c>
      <c r="W2669">
        <v>187.96987941863989</v>
      </c>
      <c r="AQ2669">
        <f>SMALL('Iter No Test'!$W$9:$W$5008,2667)</f>
        <v>215.78549757052198</v>
      </c>
      <c r="AR2669">
        <f>1/(COUNT('Iter No Test'!$W$9:$W$5008)-1)+$AR$2668</f>
        <v>0.53330666133227966</v>
      </c>
    </row>
    <row r="2670" spans="22:44">
      <c r="V2670">
        <v>2662</v>
      </c>
      <c r="W2670">
        <v>103.91605781243769</v>
      </c>
      <c r="AQ2670">
        <f>SMALL('Iter No Test'!$W$9:$W$5008,2668)</f>
        <v>215.91532189126795</v>
      </c>
      <c r="AR2670">
        <f>1/(COUNT('Iter No Test'!$W$9:$W$5008)-1)+$AR$2669</f>
        <v>0.53350670134028122</v>
      </c>
    </row>
    <row r="2671" spans="22:44">
      <c r="V2671">
        <v>2663</v>
      </c>
      <c r="W2671">
        <v>280.34070758581998</v>
      </c>
      <c r="AQ2671">
        <f>SMALL('Iter No Test'!$W$9:$W$5008,2669)</f>
        <v>216.04822310861587</v>
      </c>
      <c r="AR2671">
        <f>1/(COUNT('Iter No Test'!$W$9:$W$5008)-1)+$AR$2670</f>
        <v>0.53370674134828278</v>
      </c>
    </row>
    <row r="2672" spans="22:44">
      <c r="V2672">
        <v>2664</v>
      </c>
      <c r="W2672">
        <v>48.52589729935697</v>
      </c>
      <c r="AQ2672">
        <f>SMALL('Iter No Test'!$W$9:$W$5008,2670)</f>
        <v>216.06574146615421</v>
      </c>
      <c r="AR2672">
        <f>1/(COUNT('Iter No Test'!$W$9:$W$5008)-1)+$AR$2671</f>
        <v>0.53390678135628433</v>
      </c>
    </row>
    <row r="2673" spans="22:44">
      <c r="V2673">
        <v>2665</v>
      </c>
      <c r="W2673">
        <v>185.07433936652427</v>
      </c>
      <c r="AQ2673">
        <f>SMALL('Iter No Test'!$W$9:$W$5008,2671)</f>
        <v>216.11486150701552</v>
      </c>
      <c r="AR2673">
        <f>1/(COUNT('Iter No Test'!$W$9:$W$5008)-1)+$AR$2672</f>
        <v>0.53410682136428589</v>
      </c>
    </row>
    <row r="2674" spans="22:44">
      <c r="V2674">
        <v>2666</v>
      </c>
      <c r="W2674">
        <v>379.59742981081786</v>
      </c>
      <c r="AQ2674">
        <f>SMALL('Iter No Test'!$W$9:$W$5008,2672)</f>
        <v>216.11865364621028</v>
      </c>
      <c r="AR2674">
        <f>1/(COUNT('Iter No Test'!$W$9:$W$5008)-1)+$AR$2673</f>
        <v>0.53430686137228744</v>
      </c>
    </row>
    <row r="2675" spans="22:44">
      <c r="V2675">
        <v>2667</v>
      </c>
      <c r="W2675">
        <v>207.978561982152</v>
      </c>
      <c r="AQ2675">
        <f>SMALL('Iter No Test'!$W$9:$W$5008,2673)</f>
        <v>216.14764626069692</v>
      </c>
      <c r="AR2675">
        <f>1/(COUNT('Iter No Test'!$W$9:$W$5008)-1)+$AR$2674</f>
        <v>0.534506901380289</v>
      </c>
    </row>
    <row r="2676" spans="22:44">
      <c r="V2676">
        <v>2668</v>
      </c>
      <c r="W2676">
        <v>184.48747876531573</v>
      </c>
      <c r="AQ2676">
        <f>SMALL('Iter No Test'!$W$9:$W$5008,2674)</f>
        <v>216.18908048021592</v>
      </c>
      <c r="AR2676">
        <f>1/(COUNT('Iter No Test'!$W$9:$W$5008)-1)+$AR$2675</f>
        <v>0.53470694138829056</v>
      </c>
    </row>
    <row r="2677" spans="22:44">
      <c r="V2677">
        <v>2669</v>
      </c>
      <c r="W2677">
        <v>97.357803639086313</v>
      </c>
      <c r="AQ2677">
        <f>SMALL('Iter No Test'!$W$9:$W$5008,2675)</f>
        <v>216.20127472115095</v>
      </c>
      <c r="AR2677">
        <f>1/(COUNT('Iter No Test'!$W$9:$W$5008)-1)+$AR$2676</f>
        <v>0.53490698139629211</v>
      </c>
    </row>
    <row r="2678" spans="22:44">
      <c r="V2678">
        <v>2670</v>
      </c>
      <c r="W2678">
        <v>260.23829853370285</v>
      </c>
      <c r="AQ2678">
        <f>SMALL('Iter No Test'!$W$9:$W$5008,2676)</f>
        <v>216.21101425083265</v>
      </c>
      <c r="AR2678">
        <f>1/(COUNT('Iter No Test'!$W$9:$W$5008)-1)+$AR$2677</f>
        <v>0.53510702140429367</v>
      </c>
    </row>
    <row r="2679" spans="22:44">
      <c r="V2679">
        <v>2671</v>
      </c>
      <c r="W2679">
        <v>304.81468837055371</v>
      </c>
      <c r="AQ2679">
        <f>SMALL('Iter No Test'!$W$9:$W$5008,2677)</f>
        <v>216.33121598828797</v>
      </c>
      <c r="AR2679">
        <f>1/(COUNT('Iter No Test'!$W$9:$W$5008)-1)+$AR$2678</f>
        <v>0.53530706141229523</v>
      </c>
    </row>
    <row r="2680" spans="22:44">
      <c r="V2680">
        <v>2672</v>
      </c>
      <c r="W2680">
        <v>291.19539490823234</v>
      </c>
      <c r="AQ2680">
        <f>SMALL('Iter No Test'!$W$9:$W$5008,2678)</f>
        <v>216.35987239598489</v>
      </c>
      <c r="AR2680">
        <f>1/(COUNT('Iter No Test'!$W$9:$W$5008)-1)+$AR$2679</f>
        <v>0.53550710142029678</v>
      </c>
    </row>
    <row r="2681" spans="22:44">
      <c r="V2681">
        <v>2673</v>
      </c>
      <c r="W2681">
        <v>277.65871904768619</v>
      </c>
      <c r="AQ2681">
        <f>SMALL('Iter No Test'!$W$9:$W$5008,2679)</f>
        <v>216.40078885662129</v>
      </c>
      <c r="AR2681">
        <f>1/(COUNT('Iter No Test'!$W$9:$W$5008)-1)+$AR$2680</f>
        <v>0.53570714142829834</v>
      </c>
    </row>
    <row r="2682" spans="22:44">
      <c r="V2682">
        <v>2674</v>
      </c>
      <c r="W2682">
        <v>181.96561859321449</v>
      </c>
      <c r="AQ2682">
        <f>SMALL('Iter No Test'!$W$9:$W$5008,2680)</f>
        <v>216.40374024300411</v>
      </c>
      <c r="AR2682">
        <f>1/(COUNT('Iter No Test'!$W$9:$W$5008)-1)+$AR$2681</f>
        <v>0.5359071814362999</v>
      </c>
    </row>
    <row r="2683" spans="22:44">
      <c r="V2683">
        <v>2675</v>
      </c>
      <c r="W2683">
        <v>180.32212740411893</v>
      </c>
      <c r="AQ2683">
        <f>SMALL('Iter No Test'!$W$9:$W$5008,2681)</f>
        <v>216.46296672789424</v>
      </c>
      <c r="AR2683">
        <f>1/(COUNT('Iter No Test'!$W$9:$W$5008)-1)+$AR$2682</f>
        <v>0.53610722144430145</v>
      </c>
    </row>
    <row r="2684" spans="22:44">
      <c r="V2684">
        <v>2676</v>
      </c>
      <c r="W2684">
        <v>52.158737634299484</v>
      </c>
      <c r="AQ2684">
        <f>SMALL('Iter No Test'!$W$9:$W$5008,2682)</f>
        <v>216.48535640735724</v>
      </c>
      <c r="AR2684">
        <f>1/(COUNT('Iter No Test'!$W$9:$W$5008)-1)+$AR$2683</f>
        <v>0.53630726145230301</v>
      </c>
    </row>
    <row r="2685" spans="22:44">
      <c r="V2685">
        <v>2677</v>
      </c>
      <c r="W2685">
        <v>204.59478536880118</v>
      </c>
      <c r="AQ2685">
        <f>SMALL('Iter No Test'!$W$9:$W$5008,2683)</f>
        <v>216.51167259519923</v>
      </c>
      <c r="AR2685">
        <f>1/(COUNT('Iter No Test'!$W$9:$W$5008)-1)+$AR$2684</f>
        <v>0.53650730146030456</v>
      </c>
    </row>
    <row r="2686" spans="22:44">
      <c r="V2686">
        <v>2678</v>
      </c>
      <c r="W2686">
        <v>314.86143662359723</v>
      </c>
      <c r="AQ2686">
        <f>SMALL('Iter No Test'!$W$9:$W$5008,2684)</f>
        <v>216.58593072926959</v>
      </c>
      <c r="AR2686">
        <f>1/(COUNT('Iter No Test'!$W$9:$W$5008)-1)+$AR$2685</f>
        <v>0.53670734146830612</v>
      </c>
    </row>
    <row r="2687" spans="22:44">
      <c r="V2687">
        <v>2679</v>
      </c>
      <c r="W2687">
        <v>135.92901479687788</v>
      </c>
      <c r="AQ2687">
        <f>SMALL('Iter No Test'!$W$9:$W$5008,2685)</f>
        <v>216.60115317912181</v>
      </c>
      <c r="AR2687">
        <f>1/(COUNT('Iter No Test'!$W$9:$W$5008)-1)+$AR$2686</f>
        <v>0.53690738147630768</v>
      </c>
    </row>
    <row r="2688" spans="22:44">
      <c r="V2688">
        <v>2680</v>
      </c>
      <c r="W2688">
        <v>253.91291619968229</v>
      </c>
      <c r="AQ2688">
        <f>SMALL('Iter No Test'!$W$9:$W$5008,2686)</f>
        <v>216.70357731639035</v>
      </c>
      <c r="AR2688">
        <f>1/(COUNT('Iter No Test'!$W$9:$W$5008)-1)+$AR$2687</f>
        <v>0.53710742148430923</v>
      </c>
    </row>
    <row r="2689" spans="22:44">
      <c r="V2689">
        <v>2681</v>
      </c>
      <c r="W2689">
        <v>196.38510939640136</v>
      </c>
      <c r="AQ2689">
        <f>SMALL('Iter No Test'!$W$9:$W$5008,2687)</f>
        <v>216.70644036065096</v>
      </c>
      <c r="AR2689">
        <f>1/(COUNT('Iter No Test'!$W$9:$W$5008)-1)+$AR$2688</f>
        <v>0.53730746149231079</v>
      </c>
    </row>
    <row r="2690" spans="22:44">
      <c r="V2690">
        <v>2682</v>
      </c>
      <c r="W2690">
        <v>118.25107440785324</v>
      </c>
      <c r="AQ2690">
        <f>SMALL('Iter No Test'!$W$9:$W$5008,2688)</f>
        <v>216.71392273064666</v>
      </c>
      <c r="AR2690">
        <f>1/(COUNT('Iter No Test'!$W$9:$W$5008)-1)+$AR$2689</f>
        <v>0.53750750150031235</v>
      </c>
    </row>
    <row r="2691" spans="22:44">
      <c r="V2691">
        <v>2683</v>
      </c>
      <c r="W2691">
        <v>119.42139190883614</v>
      </c>
      <c r="AQ2691">
        <f>SMALL('Iter No Test'!$W$9:$W$5008,2689)</f>
        <v>216.72935209751114</v>
      </c>
      <c r="AR2691">
        <f>1/(COUNT('Iter No Test'!$W$9:$W$5008)-1)+$AR$2690</f>
        <v>0.5377075415083139</v>
      </c>
    </row>
    <row r="2692" spans="22:44">
      <c r="V2692">
        <v>2684</v>
      </c>
      <c r="W2692">
        <v>91.33307594260728</v>
      </c>
      <c r="AQ2692">
        <f>SMALL('Iter No Test'!$W$9:$W$5008,2690)</f>
        <v>216.74269208026416</v>
      </c>
      <c r="AR2692">
        <f>1/(COUNT('Iter No Test'!$W$9:$W$5008)-1)+$AR$2691</f>
        <v>0.53790758151631546</v>
      </c>
    </row>
    <row r="2693" spans="22:44">
      <c r="V2693">
        <v>2685</v>
      </c>
      <c r="W2693">
        <v>284.94555312322791</v>
      </c>
      <c r="AQ2693">
        <f>SMALL('Iter No Test'!$W$9:$W$5008,2691)</f>
        <v>216.74485022634821</v>
      </c>
      <c r="AR2693">
        <f>1/(COUNT('Iter No Test'!$W$9:$W$5008)-1)+$AR$2692</f>
        <v>0.53810762152431701</v>
      </c>
    </row>
    <row r="2694" spans="22:44">
      <c r="V2694">
        <v>2686</v>
      </c>
      <c r="W2694">
        <v>60.869579854266746</v>
      </c>
      <c r="AQ2694">
        <f>SMALL('Iter No Test'!$W$9:$W$5008,2692)</f>
        <v>216.80395094636373</v>
      </c>
      <c r="AR2694">
        <f>1/(COUNT('Iter No Test'!$W$9:$W$5008)-1)+$AR$2693</f>
        <v>0.53830766153231857</v>
      </c>
    </row>
    <row r="2695" spans="22:44">
      <c r="V2695">
        <v>2687</v>
      </c>
      <c r="W2695">
        <v>93.288613942658714</v>
      </c>
      <c r="AQ2695">
        <f>SMALL('Iter No Test'!$W$9:$W$5008,2693)</f>
        <v>216.91900664495424</v>
      </c>
      <c r="AR2695">
        <f>1/(COUNT('Iter No Test'!$W$9:$W$5008)-1)+$AR$2694</f>
        <v>0.53850770154032013</v>
      </c>
    </row>
    <row r="2696" spans="22:44">
      <c r="V2696">
        <v>2688</v>
      </c>
      <c r="W2696">
        <v>321.1022896962059</v>
      </c>
      <c r="AQ2696">
        <f>SMALL('Iter No Test'!$W$9:$W$5008,2694)</f>
        <v>217.01311637311218</v>
      </c>
      <c r="AR2696">
        <f>1/(COUNT('Iter No Test'!$W$9:$W$5008)-1)+$AR$2695</f>
        <v>0.53870774154832168</v>
      </c>
    </row>
    <row r="2697" spans="22:44">
      <c r="V2697">
        <v>2689</v>
      </c>
      <c r="W2697">
        <v>220.66131014528935</v>
      </c>
      <c r="AQ2697">
        <f>SMALL('Iter No Test'!$W$9:$W$5008,2695)</f>
        <v>217.03151604522418</v>
      </c>
      <c r="AR2697">
        <f>1/(COUNT('Iter No Test'!$W$9:$W$5008)-1)+$AR$2696</f>
        <v>0.53890778155632324</v>
      </c>
    </row>
    <row r="2698" spans="22:44">
      <c r="V2698">
        <v>2690</v>
      </c>
      <c r="W2698">
        <v>210.10503976645691</v>
      </c>
      <c r="AQ2698">
        <f>SMALL('Iter No Test'!$W$9:$W$5008,2696)</f>
        <v>217.0677672798318</v>
      </c>
      <c r="AR2698">
        <f>1/(COUNT('Iter No Test'!$W$9:$W$5008)-1)+$AR$2697</f>
        <v>0.5391078215643248</v>
      </c>
    </row>
    <row r="2699" spans="22:44">
      <c r="V2699">
        <v>2691</v>
      </c>
      <c r="W2699">
        <v>90.387466202963651</v>
      </c>
      <c r="AQ2699">
        <f>SMALL('Iter No Test'!$W$9:$W$5008,2697)</f>
        <v>217.08862711941552</v>
      </c>
      <c r="AR2699">
        <f>1/(COUNT('Iter No Test'!$W$9:$W$5008)-1)+$AR$2698</f>
        <v>0.53930786157232635</v>
      </c>
    </row>
    <row r="2700" spans="22:44">
      <c r="V2700">
        <v>2692</v>
      </c>
      <c r="W2700">
        <v>211.34892328511546</v>
      </c>
      <c r="AQ2700">
        <f>SMALL('Iter No Test'!$W$9:$W$5008,2698)</f>
        <v>217.11858852090222</v>
      </c>
      <c r="AR2700">
        <f>1/(COUNT('Iter No Test'!$W$9:$W$5008)-1)+$AR$2699</f>
        <v>0.53950790158032791</v>
      </c>
    </row>
    <row r="2701" spans="22:44">
      <c r="V2701">
        <v>2693</v>
      </c>
      <c r="W2701">
        <v>229.32943441278437</v>
      </c>
      <c r="AQ2701">
        <f>SMALL('Iter No Test'!$W$9:$W$5008,2699)</f>
        <v>217.2004279090846</v>
      </c>
      <c r="AR2701">
        <f>1/(COUNT('Iter No Test'!$W$9:$W$5008)-1)+$AR$2700</f>
        <v>0.53970794158832947</v>
      </c>
    </row>
    <row r="2702" spans="22:44">
      <c r="V2702">
        <v>2694</v>
      </c>
      <c r="W2702">
        <v>177.62532142092346</v>
      </c>
      <c r="AQ2702">
        <f>SMALL('Iter No Test'!$W$9:$W$5008,2700)</f>
        <v>217.32566523432652</v>
      </c>
      <c r="AR2702">
        <f>1/(COUNT('Iter No Test'!$W$9:$W$5008)-1)+$AR$2701</f>
        <v>0.53990798159633102</v>
      </c>
    </row>
    <row r="2703" spans="22:44">
      <c r="V2703">
        <v>2695</v>
      </c>
      <c r="W2703">
        <v>278.69080595454272</v>
      </c>
      <c r="AQ2703">
        <f>SMALL('Iter No Test'!$W$9:$W$5008,2701)</f>
        <v>217.39679297759801</v>
      </c>
      <c r="AR2703">
        <f>1/(COUNT('Iter No Test'!$W$9:$W$5008)-1)+$AR$2702</f>
        <v>0.54010802160433258</v>
      </c>
    </row>
    <row r="2704" spans="22:44">
      <c r="V2704">
        <v>2696</v>
      </c>
      <c r="W2704">
        <v>92.261253375142999</v>
      </c>
      <c r="AQ2704">
        <f>SMALL('Iter No Test'!$W$9:$W$5008,2702)</f>
        <v>217.43632924452663</v>
      </c>
      <c r="AR2704">
        <f>1/(COUNT('Iter No Test'!$W$9:$W$5008)-1)+$AR$2703</f>
        <v>0.54030806161233413</v>
      </c>
    </row>
    <row r="2705" spans="22:44">
      <c r="V2705">
        <v>2697</v>
      </c>
      <c r="W2705">
        <v>215.91532189126795</v>
      </c>
      <c r="AQ2705">
        <f>SMALL('Iter No Test'!$W$9:$W$5008,2703)</f>
        <v>217.48192013619752</v>
      </c>
      <c r="AR2705">
        <f>1/(COUNT('Iter No Test'!$W$9:$W$5008)-1)+$AR$2704</f>
        <v>0.54050810162033569</v>
      </c>
    </row>
    <row r="2706" spans="22:44">
      <c r="V2706">
        <v>2698</v>
      </c>
      <c r="W2706">
        <v>151.86632877435352</v>
      </c>
      <c r="AQ2706">
        <f>SMALL('Iter No Test'!$W$9:$W$5008,2704)</f>
        <v>217.53676200044583</v>
      </c>
      <c r="AR2706">
        <f>1/(COUNT('Iter No Test'!$W$9:$W$5008)-1)+$AR$2705</f>
        <v>0.54070814162833725</v>
      </c>
    </row>
    <row r="2707" spans="22:44">
      <c r="V2707">
        <v>2699</v>
      </c>
      <c r="W2707">
        <v>164.6379390334593</v>
      </c>
      <c r="AQ2707">
        <f>SMALL('Iter No Test'!$W$9:$W$5008,2705)</f>
        <v>217.60714143876325</v>
      </c>
      <c r="AR2707">
        <f>1/(COUNT('Iter No Test'!$W$9:$W$5008)-1)+$AR$2706</f>
        <v>0.5409081816363388</v>
      </c>
    </row>
    <row r="2708" spans="22:44">
      <c r="V2708">
        <v>2700</v>
      </c>
      <c r="W2708">
        <v>190.64549781771549</v>
      </c>
      <c r="AQ2708">
        <f>SMALL('Iter No Test'!$W$9:$W$5008,2706)</f>
        <v>217.63733420547621</v>
      </c>
      <c r="AR2708">
        <f>1/(COUNT('Iter No Test'!$W$9:$W$5008)-1)+$AR$2707</f>
        <v>0.54110822164434036</v>
      </c>
    </row>
    <row r="2709" spans="22:44">
      <c r="V2709">
        <v>2701</v>
      </c>
      <c r="W2709">
        <v>230.97925711966982</v>
      </c>
      <c r="AQ2709">
        <f>SMALL('Iter No Test'!$W$9:$W$5008,2707)</f>
        <v>217.65393446727239</v>
      </c>
      <c r="AR2709">
        <f>1/(COUNT('Iter No Test'!$W$9:$W$5008)-1)+$AR$2708</f>
        <v>0.54130826165234192</v>
      </c>
    </row>
    <row r="2710" spans="22:44">
      <c r="V2710">
        <v>2702</v>
      </c>
      <c r="W2710">
        <v>209.84531119743812</v>
      </c>
      <c r="AQ2710">
        <f>SMALL('Iter No Test'!$W$9:$W$5008,2708)</f>
        <v>217.69655406315732</v>
      </c>
      <c r="AR2710">
        <f>1/(COUNT('Iter No Test'!$W$9:$W$5008)-1)+$AR$2709</f>
        <v>0.54150830166034347</v>
      </c>
    </row>
    <row r="2711" spans="22:44">
      <c r="V2711">
        <v>2703</v>
      </c>
      <c r="W2711">
        <v>193.38719180176054</v>
      </c>
      <c r="AQ2711">
        <f>SMALL('Iter No Test'!$W$9:$W$5008,2709)</f>
        <v>217.74744286349397</v>
      </c>
      <c r="AR2711">
        <f>1/(COUNT('Iter No Test'!$W$9:$W$5008)-1)+$AR$2710</f>
        <v>0.54170834166834503</v>
      </c>
    </row>
    <row r="2712" spans="22:44">
      <c r="V2712">
        <v>2704</v>
      </c>
      <c r="W2712">
        <v>367.89856595352086</v>
      </c>
      <c r="AQ2712">
        <f>SMALL('Iter No Test'!$W$9:$W$5008,2710)</f>
        <v>217.77129994582924</v>
      </c>
      <c r="AR2712">
        <f>1/(COUNT('Iter No Test'!$W$9:$W$5008)-1)+$AR$2711</f>
        <v>0.54190838167634658</v>
      </c>
    </row>
    <row r="2713" spans="22:44">
      <c r="V2713">
        <v>2705</v>
      </c>
      <c r="W2713">
        <v>256.06513601035897</v>
      </c>
      <c r="AQ2713">
        <f>SMALL('Iter No Test'!$W$9:$W$5008,2711)</f>
        <v>217.80501328899877</v>
      </c>
      <c r="AR2713">
        <f>1/(COUNT('Iter No Test'!$W$9:$W$5008)-1)+$AR$2712</f>
        <v>0.54210842168434814</v>
      </c>
    </row>
    <row r="2714" spans="22:44">
      <c r="V2714">
        <v>2706</v>
      </c>
      <c r="W2714">
        <v>272.62011678962529</v>
      </c>
      <c r="AQ2714">
        <f>SMALL('Iter No Test'!$W$9:$W$5008,2712)</f>
        <v>217.84219485558728</v>
      </c>
      <c r="AR2714">
        <f>1/(COUNT('Iter No Test'!$W$9:$W$5008)-1)+$AR$2713</f>
        <v>0.5423084616923497</v>
      </c>
    </row>
    <row r="2715" spans="22:44">
      <c r="V2715">
        <v>2707</v>
      </c>
      <c r="W2715">
        <v>323.8733586561433</v>
      </c>
      <c r="AQ2715">
        <f>SMALL('Iter No Test'!$W$9:$W$5008,2713)</f>
        <v>217.8590810708661</v>
      </c>
      <c r="AR2715">
        <f>1/(COUNT('Iter No Test'!$W$9:$W$5008)-1)+$AR$2714</f>
        <v>0.54250850170035125</v>
      </c>
    </row>
    <row r="2716" spans="22:44">
      <c r="V2716">
        <v>2708</v>
      </c>
      <c r="W2716">
        <v>360.03301115185536</v>
      </c>
      <c r="AQ2716">
        <f>SMALL('Iter No Test'!$W$9:$W$5008,2714)</f>
        <v>217.89164526798672</v>
      </c>
      <c r="AR2716">
        <f>1/(COUNT('Iter No Test'!$W$9:$W$5008)-1)+$AR$2715</f>
        <v>0.54270854170835281</v>
      </c>
    </row>
    <row r="2717" spans="22:44">
      <c r="V2717">
        <v>2709</v>
      </c>
      <c r="W2717">
        <v>361.57423811431738</v>
      </c>
      <c r="AQ2717">
        <f>SMALL('Iter No Test'!$W$9:$W$5008,2715)</f>
        <v>217.89537845061469</v>
      </c>
      <c r="AR2717">
        <f>1/(COUNT('Iter No Test'!$W$9:$W$5008)-1)+$AR$2716</f>
        <v>0.54290858171635437</v>
      </c>
    </row>
    <row r="2718" spans="22:44">
      <c r="V2718">
        <v>2710</v>
      </c>
      <c r="W2718">
        <v>251.25989375695119</v>
      </c>
      <c r="AQ2718">
        <f>SMALL('Iter No Test'!$W$9:$W$5008,2716)</f>
        <v>217.93067867772464</v>
      </c>
      <c r="AR2718">
        <f>1/(COUNT('Iter No Test'!$W$9:$W$5008)-1)+$AR$2717</f>
        <v>0.54310862172435592</v>
      </c>
    </row>
    <row r="2719" spans="22:44">
      <c r="V2719">
        <v>2711</v>
      </c>
      <c r="W2719">
        <v>134.81992406223065</v>
      </c>
      <c r="AQ2719">
        <f>SMALL('Iter No Test'!$W$9:$W$5008,2717)</f>
        <v>217.93815703976708</v>
      </c>
      <c r="AR2719">
        <f>1/(COUNT('Iter No Test'!$W$9:$W$5008)-1)+$AR$2718</f>
        <v>0.54330866173235748</v>
      </c>
    </row>
    <row r="2720" spans="22:44">
      <c r="V2720">
        <v>2712</v>
      </c>
      <c r="W2720">
        <v>274.37750501224258</v>
      </c>
      <c r="AQ2720">
        <f>SMALL('Iter No Test'!$W$9:$W$5008,2718)</f>
        <v>217.9754788638071</v>
      </c>
      <c r="AR2720">
        <f>1/(COUNT('Iter No Test'!$W$9:$W$5008)-1)+$AR$2719</f>
        <v>0.54350870174035903</v>
      </c>
    </row>
    <row r="2721" spans="22:44">
      <c r="V2721">
        <v>2713</v>
      </c>
      <c r="W2721">
        <v>377.9439728591351</v>
      </c>
      <c r="AQ2721">
        <f>SMALL('Iter No Test'!$W$9:$W$5008,2719)</f>
        <v>218.01388439475392</v>
      </c>
      <c r="AR2721">
        <f>1/(COUNT('Iter No Test'!$W$9:$W$5008)-1)+$AR$2720</f>
        <v>0.54370874174836059</v>
      </c>
    </row>
    <row r="2722" spans="22:44">
      <c r="V2722">
        <v>2714</v>
      </c>
      <c r="W2722">
        <v>218.84700580077651</v>
      </c>
      <c r="AQ2722">
        <f>SMALL('Iter No Test'!$W$9:$W$5008,2720)</f>
        <v>218.10429974255479</v>
      </c>
      <c r="AR2722">
        <f>1/(COUNT('Iter No Test'!$W$9:$W$5008)-1)+$AR$2721</f>
        <v>0.54390878175636215</v>
      </c>
    </row>
    <row r="2723" spans="22:44">
      <c r="V2723">
        <v>2715</v>
      </c>
      <c r="W2723">
        <v>173.09237980975405</v>
      </c>
      <c r="AQ2723">
        <f>SMALL('Iter No Test'!$W$9:$W$5008,2721)</f>
        <v>218.19671466856553</v>
      </c>
      <c r="AR2723">
        <f>1/(COUNT('Iter No Test'!$W$9:$W$5008)-1)+$AR$2722</f>
        <v>0.5441088217643637</v>
      </c>
    </row>
    <row r="2724" spans="22:44">
      <c r="V2724">
        <v>2716</v>
      </c>
      <c r="W2724">
        <v>342.46085677265046</v>
      </c>
      <c r="AQ2724">
        <f>SMALL('Iter No Test'!$W$9:$W$5008,2722)</f>
        <v>218.24990641444364</v>
      </c>
      <c r="AR2724">
        <f>1/(COUNT('Iter No Test'!$W$9:$W$5008)-1)+$AR$2723</f>
        <v>0.54430886177236526</v>
      </c>
    </row>
    <row r="2725" spans="22:44">
      <c r="V2725">
        <v>2717</v>
      </c>
      <c r="W2725">
        <v>160.34427210351765</v>
      </c>
      <c r="AQ2725">
        <f>SMALL('Iter No Test'!$W$9:$W$5008,2723)</f>
        <v>218.27503245519046</v>
      </c>
      <c r="AR2725">
        <f>1/(COUNT('Iter No Test'!$W$9:$W$5008)-1)+$AR$2724</f>
        <v>0.54450890178036682</v>
      </c>
    </row>
    <row r="2726" spans="22:44">
      <c r="V2726">
        <v>2718</v>
      </c>
      <c r="W2726">
        <v>156.57114057954249</v>
      </c>
      <c r="AQ2726">
        <f>SMALL('Iter No Test'!$W$9:$W$5008,2724)</f>
        <v>218.27538075688975</v>
      </c>
      <c r="AR2726">
        <f>1/(COUNT('Iter No Test'!$W$9:$W$5008)-1)+$AR$2725</f>
        <v>0.54470894178836837</v>
      </c>
    </row>
    <row r="2727" spans="22:44">
      <c r="V2727">
        <v>2719</v>
      </c>
      <c r="W2727">
        <v>150.71225271622694</v>
      </c>
      <c r="AQ2727">
        <f>SMALL('Iter No Test'!$W$9:$W$5008,2725)</f>
        <v>218.31596806782403</v>
      </c>
      <c r="AR2727">
        <f>1/(COUNT('Iter No Test'!$W$9:$W$5008)-1)+$AR$2726</f>
        <v>0.54490898179636993</v>
      </c>
    </row>
    <row r="2728" spans="22:44">
      <c r="V2728">
        <v>2720</v>
      </c>
      <c r="W2728">
        <v>255.73614929177387</v>
      </c>
      <c r="AQ2728">
        <f>SMALL('Iter No Test'!$W$9:$W$5008,2726)</f>
        <v>218.35388553914606</v>
      </c>
      <c r="AR2728">
        <f>1/(COUNT('Iter No Test'!$W$9:$W$5008)-1)+$AR$2727</f>
        <v>0.54510902180437149</v>
      </c>
    </row>
    <row r="2729" spans="22:44">
      <c r="V2729">
        <v>2721</v>
      </c>
      <c r="W2729">
        <v>168.15079976245852</v>
      </c>
      <c r="AQ2729">
        <f>SMALL('Iter No Test'!$W$9:$W$5008,2727)</f>
        <v>218.40656759712263</v>
      </c>
      <c r="AR2729">
        <f>1/(COUNT('Iter No Test'!$W$9:$W$5008)-1)+$AR$2728</f>
        <v>0.54530906181237304</v>
      </c>
    </row>
    <row r="2730" spans="22:44">
      <c r="V2730">
        <v>2722</v>
      </c>
      <c r="W2730">
        <v>253.70085873772405</v>
      </c>
      <c r="AQ2730">
        <f>SMALL('Iter No Test'!$W$9:$W$5008,2728)</f>
        <v>218.50526993995348</v>
      </c>
      <c r="AR2730">
        <f>1/(COUNT('Iter No Test'!$W$9:$W$5008)-1)+$AR$2729</f>
        <v>0.5455091018203746</v>
      </c>
    </row>
    <row r="2731" spans="22:44">
      <c r="V2731">
        <v>2723</v>
      </c>
      <c r="W2731">
        <v>133.2350692524987</v>
      </c>
      <c r="AQ2731">
        <f>SMALL('Iter No Test'!$W$9:$W$5008,2729)</f>
        <v>218.60435031326884</v>
      </c>
      <c r="AR2731">
        <f>1/(COUNT('Iter No Test'!$W$9:$W$5008)-1)+$AR$2730</f>
        <v>0.54570914182837615</v>
      </c>
    </row>
    <row r="2732" spans="22:44">
      <c r="V2732">
        <v>2724</v>
      </c>
      <c r="W2732">
        <v>309.82314733122189</v>
      </c>
      <c r="AQ2732">
        <f>SMALL('Iter No Test'!$W$9:$W$5008,2730)</f>
        <v>218.64082202037045</v>
      </c>
      <c r="AR2732">
        <f>1/(COUNT('Iter No Test'!$W$9:$W$5008)-1)+$AR$2731</f>
        <v>0.54590918183637771</v>
      </c>
    </row>
    <row r="2733" spans="22:44">
      <c r="V2733">
        <v>2725</v>
      </c>
      <c r="W2733">
        <v>231.05671266811515</v>
      </c>
      <c r="AQ2733">
        <f>SMALL('Iter No Test'!$W$9:$W$5008,2731)</f>
        <v>218.65714446017091</v>
      </c>
      <c r="AR2733">
        <f>1/(COUNT('Iter No Test'!$W$9:$W$5008)-1)+$AR$2732</f>
        <v>0.54610922184437927</v>
      </c>
    </row>
    <row r="2734" spans="22:44">
      <c r="V2734">
        <v>2726</v>
      </c>
      <c r="W2734">
        <v>195.72501031418503</v>
      </c>
      <c r="AQ2734">
        <f>SMALL('Iter No Test'!$W$9:$W$5008,2732)</f>
        <v>218.69176355937108</v>
      </c>
      <c r="AR2734">
        <f>1/(COUNT('Iter No Test'!$W$9:$W$5008)-1)+$AR$2733</f>
        <v>0.54630926185238082</v>
      </c>
    </row>
    <row r="2735" spans="22:44">
      <c r="V2735">
        <v>2727</v>
      </c>
      <c r="W2735">
        <v>178.4858808901341</v>
      </c>
      <c r="AQ2735">
        <f>SMALL('Iter No Test'!$W$9:$W$5008,2733)</f>
        <v>218.74167688833683</v>
      </c>
      <c r="AR2735">
        <f>1/(COUNT('Iter No Test'!$W$9:$W$5008)-1)+$AR$2734</f>
        <v>0.54650930186038238</v>
      </c>
    </row>
    <row r="2736" spans="22:44">
      <c r="V2736">
        <v>2728</v>
      </c>
      <c r="W2736">
        <v>295.85723229797077</v>
      </c>
      <c r="AQ2736">
        <f>SMALL('Iter No Test'!$W$9:$W$5008,2734)</f>
        <v>218.82473038832197</v>
      </c>
      <c r="AR2736">
        <f>1/(COUNT('Iter No Test'!$W$9:$W$5008)-1)+$AR$2735</f>
        <v>0.54670934186838394</v>
      </c>
    </row>
    <row r="2737" spans="22:44">
      <c r="V2737">
        <v>2729</v>
      </c>
      <c r="W2737">
        <v>235.54777519992621</v>
      </c>
      <c r="AQ2737">
        <f>SMALL('Iter No Test'!$W$9:$W$5008,2735)</f>
        <v>218.84700580077651</v>
      </c>
      <c r="AR2737">
        <f>1/(COUNT('Iter No Test'!$W$9:$W$5008)-1)+$AR$2736</f>
        <v>0.54690938187638549</v>
      </c>
    </row>
    <row r="2738" spans="22:44">
      <c r="V2738">
        <v>2730</v>
      </c>
      <c r="W2738">
        <v>158.28816952210286</v>
      </c>
      <c r="AQ2738">
        <f>SMALL('Iter No Test'!$W$9:$W$5008,2736)</f>
        <v>218.89612458581968</v>
      </c>
      <c r="AR2738">
        <f>1/(COUNT('Iter No Test'!$W$9:$W$5008)-1)+$AR$2737</f>
        <v>0.54710942188438705</v>
      </c>
    </row>
    <row r="2739" spans="22:44">
      <c r="V2739">
        <v>2731</v>
      </c>
      <c r="W2739">
        <v>184.44898207665779</v>
      </c>
      <c r="AQ2739">
        <f>SMALL('Iter No Test'!$W$9:$W$5008,2737)</f>
        <v>218.93446020009122</v>
      </c>
      <c r="AR2739">
        <f>1/(COUNT('Iter No Test'!$W$9:$W$5008)-1)+$AR$2738</f>
        <v>0.5473094618923886</v>
      </c>
    </row>
    <row r="2740" spans="22:44">
      <c r="V2740">
        <v>2732</v>
      </c>
      <c r="W2740">
        <v>183.26408176950005</v>
      </c>
      <c r="AQ2740">
        <f>SMALL('Iter No Test'!$W$9:$W$5008,2738)</f>
        <v>218.95990569364631</v>
      </c>
      <c r="AR2740">
        <f>1/(COUNT('Iter No Test'!$W$9:$W$5008)-1)+$AR$2739</f>
        <v>0.54750950190039016</v>
      </c>
    </row>
    <row r="2741" spans="22:44">
      <c r="V2741">
        <v>2733</v>
      </c>
      <c r="W2741">
        <v>216.11865364621028</v>
      </c>
      <c r="AQ2741">
        <f>SMALL('Iter No Test'!$W$9:$W$5008,2739)</f>
        <v>218.96632199243348</v>
      </c>
      <c r="AR2741">
        <f>1/(COUNT('Iter No Test'!$W$9:$W$5008)-1)+$AR$2740</f>
        <v>0.54770954190839172</v>
      </c>
    </row>
    <row r="2742" spans="22:44">
      <c r="V2742">
        <v>2734</v>
      </c>
      <c r="W2742">
        <v>351.07471309320317</v>
      </c>
      <c r="AQ2742">
        <f>SMALL('Iter No Test'!$W$9:$W$5008,2740)</f>
        <v>219.05609271675195</v>
      </c>
      <c r="AR2742">
        <f>1/(COUNT('Iter No Test'!$W$9:$W$5008)-1)+$AR$2741</f>
        <v>0.54790958191639327</v>
      </c>
    </row>
    <row r="2743" spans="22:44">
      <c r="V2743">
        <v>2735</v>
      </c>
      <c r="W2743">
        <v>212.03493423892868</v>
      </c>
      <c r="AQ2743">
        <f>SMALL('Iter No Test'!$W$9:$W$5008,2741)</f>
        <v>219.13269510709881</v>
      </c>
      <c r="AR2743">
        <f>1/(COUNT('Iter No Test'!$W$9:$W$5008)-1)+$AR$2742</f>
        <v>0.54810962192439483</v>
      </c>
    </row>
    <row r="2744" spans="22:44">
      <c r="V2744">
        <v>2736</v>
      </c>
      <c r="W2744">
        <v>304.36941324428153</v>
      </c>
      <c r="AQ2744">
        <f>SMALL('Iter No Test'!$W$9:$W$5008,2742)</f>
        <v>219.3371132467131</v>
      </c>
      <c r="AR2744">
        <f>1/(COUNT('Iter No Test'!$W$9:$W$5008)-1)+$AR$2743</f>
        <v>0.54830966193239639</v>
      </c>
    </row>
    <row r="2745" spans="22:44">
      <c r="V2745">
        <v>2737</v>
      </c>
      <c r="W2745">
        <v>145.57474646185449</v>
      </c>
      <c r="AQ2745">
        <f>SMALL('Iter No Test'!$W$9:$W$5008,2743)</f>
        <v>219.34826149704142</v>
      </c>
      <c r="AR2745">
        <f>1/(COUNT('Iter No Test'!$W$9:$W$5008)-1)+$AR$2744</f>
        <v>0.54850970194039794</v>
      </c>
    </row>
    <row r="2746" spans="22:44">
      <c r="V2746">
        <v>2738</v>
      </c>
      <c r="W2746">
        <v>148.16799325922494</v>
      </c>
      <c r="AQ2746">
        <f>SMALL('Iter No Test'!$W$9:$W$5008,2744)</f>
        <v>219.36156408133121</v>
      </c>
      <c r="AR2746">
        <f>1/(COUNT('Iter No Test'!$W$9:$W$5008)-1)+$AR$2745</f>
        <v>0.5487097419483995</v>
      </c>
    </row>
    <row r="2747" spans="22:44">
      <c r="V2747">
        <v>2739</v>
      </c>
      <c r="W2747">
        <v>229.5656604040916</v>
      </c>
      <c r="AQ2747">
        <f>SMALL('Iter No Test'!$W$9:$W$5008,2745)</f>
        <v>219.37941387317619</v>
      </c>
      <c r="AR2747">
        <f>1/(COUNT('Iter No Test'!$W$9:$W$5008)-1)+$AR$2746</f>
        <v>0.54890978195640105</v>
      </c>
    </row>
    <row r="2748" spans="22:44">
      <c r="V2748">
        <v>2740</v>
      </c>
      <c r="W2748">
        <v>319.12084577999883</v>
      </c>
      <c r="AQ2748">
        <f>SMALL('Iter No Test'!$W$9:$W$5008,2746)</f>
        <v>219.391388045246</v>
      </c>
      <c r="AR2748">
        <f>1/(COUNT('Iter No Test'!$W$9:$W$5008)-1)+$AR$2747</f>
        <v>0.54910982196440261</v>
      </c>
    </row>
    <row r="2749" spans="22:44">
      <c r="V2749">
        <v>2741</v>
      </c>
      <c r="W2749">
        <v>185.47458849674862</v>
      </c>
      <c r="AQ2749">
        <f>SMALL('Iter No Test'!$W$9:$W$5008,2747)</f>
        <v>219.5398587449063</v>
      </c>
      <c r="AR2749">
        <f>1/(COUNT('Iter No Test'!$W$9:$W$5008)-1)+$AR$2748</f>
        <v>0.54930986197240417</v>
      </c>
    </row>
    <row r="2750" spans="22:44">
      <c r="V2750">
        <v>2742</v>
      </c>
      <c r="W2750">
        <v>243.97613347424337</v>
      </c>
      <c r="AQ2750">
        <f>SMALL('Iter No Test'!$W$9:$W$5008,2748)</f>
        <v>219.55445982338762</v>
      </c>
      <c r="AR2750">
        <f>1/(COUNT('Iter No Test'!$W$9:$W$5008)-1)+$AR$2749</f>
        <v>0.54950990198040572</v>
      </c>
    </row>
    <row r="2751" spans="22:44">
      <c r="V2751">
        <v>2743</v>
      </c>
      <c r="W2751">
        <v>267.070375674145</v>
      </c>
      <c r="AQ2751">
        <f>SMALL('Iter No Test'!$W$9:$W$5008,2749)</f>
        <v>219.56003796834892</v>
      </c>
      <c r="AR2751">
        <f>1/(COUNT('Iter No Test'!$W$9:$W$5008)-1)+$AR$2750</f>
        <v>0.54970994198840728</v>
      </c>
    </row>
    <row r="2752" spans="22:44">
      <c r="V2752">
        <v>2744</v>
      </c>
      <c r="W2752">
        <v>243.41755016939931</v>
      </c>
      <c r="AQ2752">
        <f>SMALL('Iter No Test'!$W$9:$W$5008,2750)</f>
        <v>219.5757800830296</v>
      </c>
      <c r="AR2752">
        <f>1/(COUNT('Iter No Test'!$W$9:$W$5008)-1)+$AR$2751</f>
        <v>0.54990998199640884</v>
      </c>
    </row>
    <row r="2753" spans="22:44">
      <c r="V2753">
        <v>2745</v>
      </c>
      <c r="W2753">
        <v>177.57542448277241</v>
      </c>
      <c r="AQ2753">
        <f>SMALL('Iter No Test'!$W$9:$W$5008,2751)</f>
        <v>219.66084761530016</v>
      </c>
      <c r="AR2753">
        <f>1/(COUNT('Iter No Test'!$W$9:$W$5008)-1)+$AR$2752</f>
        <v>0.55011002200441039</v>
      </c>
    </row>
    <row r="2754" spans="22:44">
      <c r="V2754">
        <v>2746</v>
      </c>
      <c r="W2754">
        <v>390.7337749824411</v>
      </c>
      <c r="AQ2754">
        <f>SMALL('Iter No Test'!$W$9:$W$5008,2752)</f>
        <v>219.66485783441965</v>
      </c>
      <c r="AR2754">
        <f>1/(COUNT('Iter No Test'!$W$9:$W$5008)-1)+$AR$2753</f>
        <v>0.55031006201241195</v>
      </c>
    </row>
    <row r="2755" spans="22:44">
      <c r="V2755">
        <v>2747</v>
      </c>
      <c r="W2755">
        <v>219.68667018502944</v>
      </c>
      <c r="AQ2755">
        <f>SMALL('Iter No Test'!$W$9:$W$5008,2753)</f>
        <v>219.68667018502944</v>
      </c>
      <c r="AR2755">
        <f>1/(COUNT('Iter No Test'!$W$9:$W$5008)-1)+$AR$2754</f>
        <v>0.55051010202041351</v>
      </c>
    </row>
    <row r="2756" spans="22:44">
      <c r="V2756">
        <v>2748</v>
      </c>
      <c r="W2756">
        <v>146.9576077080244</v>
      </c>
      <c r="AQ2756">
        <f>SMALL('Iter No Test'!$W$9:$W$5008,2754)</f>
        <v>219.72952032414099</v>
      </c>
      <c r="AR2756">
        <f>1/(COUNT('Iter No Test'!$W$9:$W$5008)-1)+$AR$2755</f>
        <v>0.55071014202841506</v>
      </c>
    </row>
    <row r="2757" spans="22:44">
      <c r="V2757">
        <v>2749</v>
      </c>
      <c r="W2757">
        <v>199.46855828935702</v>
      </c>
      <c r="AQ2757">
        <f>SMALL('Iter No Test'!$W$9:$W$5008,2755)</f>
        <v>219.80650189464586</v>
      </c>
      <c r="AR2757">
        <f>1/(COUNT('Iter No Test'!$W$9:$W$5008)-1)+$AR$2756</f>
        <v>0.55091018203641662</v>
      </c>
    </row>
    <row r="2758" spans="22:44">
      <c r="V2758">
        <v>2750</v>
      </c>
      <c r="W2758">
        <v>443.60375250429792</v>
      </c>
      <c r="AQ2758">
        <f>SMALL('Iter No Test'!$W$9:$W$5008,2756)</f>
        <v>219.85258689035757</v>
      </c>
      <c r="AR2758">
        <f>1/(COUNT('Iter No Test'!$W$9:$W$5008)-1)+$AR$2757</f>
        <v>0.55111022204441817</v>
      </c>
    </row>
    <row r="2759" spans="22:44">
      <c r="V2759">
        <v>2751</v>
      </c>
      <c r="W2759">
        <v>304.07205889812064</v>
      </c>
      <c r="AQ2759">
        <f>SMALL('Iter No Test'!$W$9:$W$5008,2757)</f>
        <v>219.86141951708217</v>
      </c>
      <c r="AR2759">
        <f>1/(COUNT('Iter No Test'!$W$9:$W$5008)-1)+$AR$2758</f>
        <v>0.55131026205241973</v>
      </c>
    </row>
    <row r="2760" spans="22:44">
      <c r="V2760">
        <v>2752</v>
      </c>
      <c r="W2760">
        <v>214.12505169579777</v>
      </c>
      <c r="AQ2760">
        <f>SMALL('Iter No Test'!$W$9:$W$5008,2758)</f>
        <v>219.95178232959648</v>
      </c>
      <c r="AR2760">
        <f>1/(COUNT('Iter No Test'!$W$9:$W$5008)-1)+$AR$2759</f>
        <v>0.55151030206042129</v>
      </c>
    </row>
    <row r="2761" spans="22:44">
      <c r="V2761">
        <v>2753</v>
      </c>
      <c r="W2761">
        <v>187.64704758535001</v>
      </c>
      <c r="AQ2761">
        <f>SMALL('Iter No Test'!$W$9:$W$5008,2759)</f>
        <v>219.97827146483493</v>
      </c>
      <c r="AR2761">
        <f>1/(COUNT('Iter No Test'!$W$9:$W$5008)-1)+$AR$2760</f>
        <v>0.55171034206842284</v>
      </c>
    </row>
    <row r="2762" spans="22:44">
      <c r="V2762">
        <v>2754</v>
      </c>
      <c r="W2762">
        <v>74.184912184576575</v>
      </c>
      <c r="AQ2762">
        <f>SMALL('Iter No Test'!$W$9:$W$5008,2760)</f>
        <v>220.02619951802723</v>
      </c>
      <c r="AR2762">
        <f>1/(COUNT('Iter No Test'!$W$9:$W$5008)-1)+$AR$2761</f>
        <v>0.5519103820764244</v>
      </c>
    </row>
    <row r="2763" spans="22:44">
      <c r="V2763">
        <v>2755</v>
      </c>
      <c r="W2763">
        <v>233.78015616350581</v>
      </c>
      <c r="AQ2763">
        <f>SMALL('Iter No Test'!$W$9:$W$5008,2761)</f>
        <v>220.05919621051805</v>
      </c>
      <c r="AR2763">
        <f>1/(COUNT('Iter No Test'!$W$9:$W$5008)-1)+$AR$2762</f>
        <v>0.55211042208442596</v>
      </c>
    </row>
    <row r="2764" spans="22:44">
      <c r="V2764">
        <v>2756</v>
      </c>
      <c r="W2764">
        <v>191.31945998167754</v>
      </c>
      <c r="AQ2764">
        <f>SMALL('Iter No Test'!$W$9:$W$5008,2762)</f>
        <v>220.07627931671263</v>
      </c>
      <c r="AR2764">
        <f>1/(COUNT('Iter No Test'!$W$9:$W$5008)-1)+$AR$2763</f>
        <v>0.55231046209242751</v>
      </c>
    </row>
    <row r="2765" spans="22:44">
      <c r="V2765">
        <v>2757</v>
      </c>
      <c r="W2765">
        <v>206.38995398618044</v>
      </c>
      <c r="AQ2765">
        <f>SMALL('Iter No Test'!$W$9:$W$5008,2763)</f>
        <v>220.12849119171747</v>
      </c>
      <c r="AR2765">
        <f>1/(COUNT('Iter No Test'!$W$9:$W$5008)-1)+$AR$2764</f>
        <v>0.55251050210042907</v>
      </c>
    </row>
    <row r="2766" spans="22:44">
      <c r="V2766">
        <v>2758</v>
      </c>
      <c r="W2766">
        <v>259.18830144589595</v>
      </c>
      <c r="AQ2766">
        <f>SMALL('Iter No Test'!$W$9:$W$5008,2764)</f>
        <v>220.22000998734899</v>
      </c>
      <c r="AR2766">
        <f>1/(COUNT('Iter No Test'!$W$9:$W$5008)-1)+$AR$2765</f>
        <v>0.55271054210843062</v>
      </c>
    </row>
    <row r="2767" spans="22:44">
      <c r="V2767">
        <v>2759</v>
      </c>
      <c r="W2767">
        <v>271.56706105009641</v>
      </c>
      <c r="AQ2767">
        <f>SMALL('Iter No Test'!$W$9:$W$5008,2765)</f>
        <v>220.22796263631608</v>
      </c>
      <c r="AR2767">
        <f>1/(COUNT('Iter No Test'!$W$9:$W$5008)-1)+$AR$2766</f>
        <v>0.55291058211643218</v>
      </c>
    </row>
    <row r="2768" spans="22:44">
      <c r="V2768">
        <v>2760</v>
      </c>
      <c r="W2768">
        <v>181.46536915371433</v>
      </c>
      <c r="AQ2768">
        <f>SMALL('Iter No Test'!$W$9:$W$5008,2766)</f>
        <v>220.37262276872792</v>
      </c>
      <c r="AR2768">
        <f>1/(COUNT('Iter No Test'!$W$9:$W$5008)-1)+$AR$2767</f>
        <v>0.55311062212443374</v>
      </c>
    </row>
    <row r="2769" spans="22:44">
      <c r="V2769">
        <v>2761</v>
      </c>
      <c r="W2769">
        <v>167.69096081739144</v>
      </c>
      <c r="AQ2769">
        <f>SMALL('Iter No Test'!$W$9:$W$5008,2767)</f>
        <v>220.42913395113655</v>
      </c>
      <c r="AR2769">
        <f>1/(COUNT('Iter No Test'!$W$9:$W$5008)-1)+$AR$2768</f>
        <v>0.55331066213243529</v>
      </c>
    </row>
    <row r="2770" spans="22:44">
      <c r="V2770">
        <v>2762</v>
      </c>
      <c r="W2770">
        <v>145.9505571677289</v>
      </c>
      <c r="AQ2770">
        <f>SMALL('Iter No Test'!$W$9:$W$5008,2768)</f>
        <v>220.46717553804731</v>
      </c>
      <c r="AR2770">
        <f>1/(COUNT('Iter No Test'!$W$9:$W$5008)-1)+$AR$2769</f>
        <v>0.55351070214043685</v>
      </c>
    </row>
    <row r="2771" spans="22:44">
      <c r="V2771">
        <v>2763</v>
      </c>
      <c r="W2771">
        <v>304.02224605340177</v>
      </c>
      <c r="AQ2771">
        <f>SMALL('Iter No Test'!$W$9:$W$5008,2769)</f>
        <v>220.48183988400643</v>
      </c>
      <c r="AR2771">
        <f>1/(COUNT('Iter No Test'!$W$9:$W$5008)-1)+$AR$2770</f>
        <v>0.55371074214843841</v>
      </c>
    </row>
    <row r="2772" spans="22:44">
      <c r="V2772">
        <v>2764</v>
      </c>
      <c r="W2772">
        <v>483.90358532824143</v>
      </c>
      <c r="AQ2772">
        <f>SMALL('Iter No Test'!$W$9:$W$5008,2770)</f>
        <v>220.4980241242788</v>
      </c>
      <c r="AR2772">
        <f>1/(COUNT('Iter No Test'!$W$9:$W$5008)-1)+$AR$2771</f>
        <v>0.55391078215643996</v>
      </c>
    </row>
    <row r="2773" spans="22:44">
      <c r="V2773">
        <v>2765</v>
      </c>
      <c r="W2773">
        <v>123.24595898525973</v>
      </c>
      <c r="AQ2773">
        <f>SMALL('Iter No Test'!$W$9:$W$5008,2771)</f>
        <v>220.58925601683353</v>
      </c>
      <c r="AR2773">
        <f>1/(COUNT('Iter No Test'!$W$9:$W$5008)-1)+$AR$2772</f>
        <v>0.55411082216444152</v>
      </c>
    </row>
    <row r="2774" spans="22:44">
      <c r="V2774">
        <v>2766</v>
      </c>
      <c r="W2774">
        <v>372.14573051805149</v>
      </c>
      <c r="AQ2774">
        <f>SMALL('Iter No Test'!$W$9:$W$5008,2772)</f>
        <v>220.66029900630531</v>
      </c>
      <c r="AR2774">
        <f>1/(COUNT('Iter No Test'!$W$9:$W$5008)-1)+$AR$2773</f>
        <v>0.55431086217244308</v>
      </c>
    </row>
    <row r="2775" spans="22:44">
      <c r="V2775">
        <v>2767</v>
      </c>
      <c r="W2775">
        <v>55.259325935735561</v>
      </c>
      <c r="AQ2775">
        <f>SMALL('Iter No Test'!$W$9:$W$5008,2773)</f>
        <v>220.66131014528935</v>
      </c>
      <c r="AR2775">
        <f>1/(COUNT('Iter No Test'!$W$9:$W$5008)-1)+$AR$2774</f>
        <v>0.55451090218044463</v>
      </c>
    </row>
    <row r="2776" spans="22:44">
      <c r="V2776">
        <v>2768</v>
      </c>
      <c r="W2776">
        <v>315.72531815317234</v>
      </c>
      <c r="AQ2776">
        <f>SMALL('Iter No Test'!$W$9:$W$5008,2774)</f>
        <v>220.69988933949458</v>
      </c>
      <c r="AR2776">
        <f>1/(COUNT('Iter No Test'!$W$9:$W$5008)-1)+$AR$2775</f>
        <v>0.55471094218844619</v>
      </c>
    </row>
    <row r="2777" spans="22:44">
      <c r="V2777">
        <v>2769</v>
      </c>
      <c r="W2777">
        <v>243.48079244353764</v>
      </c>
      <c r="AQ2777">
        <f>SMALL('Iter No Test'!$W$9:$W$5008,2775)</f>
        <v>220.77717408620805</v>
      </c>
      <c r="AR2777">
        <f>1/(COUNT('Iter No Test'!$W$9:$W$5008)-1)+$AR$2776</f>
        <v>0.55491098219644774</v>
      </c>
    </row>
    <row r="2778" spans="22:44">
      <c r="V2778">
        <v>2770</v>
      </c>
      <c r="W2778">
        <v>226.74556851809839</v>
      </c>
      <c r="AQ2778">
        <f>SMALL('Iter No Test'!$W$9:$W$5008,2776)</f>
        <v>220.79720025407801</v>
      </c>
      <c r="AR2778">
        <f>1/(COUNT('Iter No Test'!$W$9:$W$5008)-1)+$AR$2777</f>
        <v>0.5551110222044493</v>
      </c>
    </row>
    <row r="2779" spans="22:44">
      <c r="V2779">
        <v>2771</v>
      </c>
      <c r="W2779">
        <v>201.81861546724232</v>
      </c>
      <c r="AQ2779">
        <f>SMALL('Iter No Test'!$W$9:$W$5008,2777)</f>
        <v>220.8297536717846</v>
      </c>
      <c r="AR2779">
        <f>1/(COUNT('Iter No Test'!$W$9:$W$5008)-1)+$AR$2778</f>
        <v>0.55531106221245086</v>
      </c>
    </row>
    <row r="2780" spans="22:44">
      <c r="V2780">
        <v>2772</v>
      </c>
      <c r="W2780">
        <v>103.50383730250203</v>
      </c>
      <c r="AQ2780">
        <f>SMALL('Iter No Test'!$W$9:$W$5008,2778)</f>
        <v>220.88998441776374</v>
      </c>
      <c r="AR2780">
        <f>1/(COUNT('Iter No Test'!$W$9:$W$5008)-1)+$AR$2779</f>
        <v>0.55551110222045241</v>
      </c>
    </row>
    <row r="2781" spans="22:44">
      <c r="V2781">
        <v>2773</v>
      </c>
      <c r="W2781">
        <v>170.64986843925504</v>
      </c>
      <c r="AQ2781">
        <f>SMALL('Iter No Test'!$W$9:$W$5008,2779)</f>
        <v>220.8954959880671</v>
      </c>
      <c r="AR2781">
        <f>1/(COUNT('Iter No Test'!$W$9:$W$5008)-1)+$AR$2780</f>
        <v>0.55571114222845397</v>
      </c>
    </row>
    <row r="2782" spans="22:44">
      <c r="V2782">
        <v>2774</v>
      </c>
      <c r="W2782">
        <v>155.00711357357778</v>
      </c>
      <c r="AQ2782">
        <f>SMALL('Iter No Test'!$W$9:$W$5008,2780)</f>
        <v>220.91683917921205</v>
      </c>
      <c r="AR2782">
        <f>1/(COUNT('Iter No Test'!$W$9:$W$5008)-1)+$AR$2781</f>
        <v>0.55591118223645553</v>
      </c>
    </row>
    <row r="2783" spans="22:44">
      <c r="V2783">
        <v>2775</v>
      </c>
      <c r="W2783">
        <v>178.09840282543269</v>
      </c>
      <c r="AQ2783">
        <f>SMALL('Iter No Test'!$W$9:$W$5008,2781)</f>
        <v>220.9172922598091</v>
      </c>
      <c r="AR2783">
        <f>1/(COUNT('Iter No Test'!$W$9:$W$5008)-1)+$AR$2782</f>
        <v>0.55611122224445708</v>
      </c>
    </row>
    <row r="2784" spans="22:44">
      <c r="V2784">
        <v>2776</v>
      </c>
      <c r="W2784">
        <v>141.09815525860535</v>
      </c>
      <c r="AQ2784">
        <f>SMALL('Iter No Test'!$W$9:$W$5008,2782)</f>
        <v>220.97306956549852</v>
      </c>
      <c r="AR2784">
        <f>1/(COUNT('Iter No Test'!$W$9:$W$5008)-1)+$AR$2783</f>
        <v>0.55631126225245864</v>
      </c>
    </row>
    <row r="2785" spans="22:44">
      <c r="V2785">
        <v>2777</v>
      </c>
      <c r="W2785">
        <v>129.82736583252259</v>
      </c>
      <c r="AQ2785">
        <f>SMALL('Iter No Test'!$W$9:$W$5008,2783)</f>
        <v>220.98962264521583</v>
      </c>
      <c r="AR2785">
        <f>1/(COUNT('Iter No Test'!$W$9:$W$5008)-1)+$AR$2784</f>
        <v>0.55651130226046019</v>
      </c>
    </row>
    <row r="2786" spans="22:44">
      <c r="V2786">
        <v>2778</v>
      </c>
      <c r="W2786">
        <v>200.952724064969</v>
      </c>
      <c r="AQ2786">
        <f>SMALL('Iter No Test'!$W$9:$W$5008,2784)</f>
        <v>220.99267025168939</v>
      </c>
      <c r="AR2786">
        <f>1/(COUNT('Iter No Test'!$W$9:$W$5008)-1)+$AR$2785</f>
        <v>0.55671134226846175</v>
      </c>
    </row>
    <row r="2787" spans="22:44">
      <c r="V2787">
        <v>2779</v>
      </c>
      <c r="W2787">
        <v>201.44812486428111</v>
      </c>
      <c r="AQ2787">
        <f>SMALL('Iter No Test'!$W$9:$W$5008,2785)</f>
        <v>221.06131790343676</v>
      </c>
      <c r="AR2787">
        <f>1/(COUNT('Iter No Test'!$W$9:$W$5008)-1)+$AR$2786</f>
        <v>0.55691138227646331</v>
      </c>
    </row>
    <row r="2788" spans="22:44">
      <c r="V2788">
        <v>2780</v>
      </c>
      <c r="W2788">
        <v>441.14230964020055</v>
      </c>
      <c r="AQ2788">
        <f>SMALL('Iter No Test'!$W$9:$W$5008,2786)</f>
        <v>221.11026051888652</v>
      </c>
      <c r="AR2788">
        <f>1/(COUNT('Iter No Test'!$W$9:$W$5008)-1)+$AR$2787</f>
        <v>0.55711142228446486</v>
      </c>
    </row>
    <row r="2789" spans="22:44">
      <c r="V2789">
        <v>2781</v>
      </c>
      <c r="W2789">
        <v>166.70834412553126</v>
      </c>
      <c r="AQ2789">
        <f>SMALL('Iter No Test'!$W$9:$W$5008,2787)</f>
        <v>221.13960706705731</v>
      </c>
      <c r="AR2789">
        <f>1/(COUNT('Iter No Test'!$W$9:$W$5008)-1)+$AR$2788</f>
        <v>0.55731146229246642</v>
      </c>
    </row>
    <row r="2790" spans="22:44">
      <c r="V2790">
        <v>2782</v>
      </c>
      <c r="W2790">
        <v>258.18409917326107</v>
      </c>
      <c r="AQ2790">
        <f>SMALL('Iter No Test'!$W$9:$W$5008,2788)</f>
        <v>221.25331643926179</v>
      </c>
      <c r="AR2790">
        <f>1/(COUNT('Iter No Test'!$W$9:$W$5008)-1)+$AR$2789</f>
        <v>0.55751150230046798</v>
      </c>
    </row>
    <row r="2791" spans="22:44">
      <c r="V2791">
        <v>2783</v>
      </c>
      <c r="W2791">
        <v>194.9953015994667</v>
      </c>
      <c r="AQ2791">
        <f>SMALL('Iter No Test'!$W$9:$W$5008,2789)</f>
        <v>221.40224929318362</v>
      </c>
      <c r="AR2791">
        <f>1/(COUNT('Iter No Test'!$W$9:$W$5008)-1)+$AR$2790</f>
        <v>0.55771154230846953</v>
      </c>
    </row>
    <row r="2792" spans="22:44">
      <c r="V2792">
        <v>2784</v>
      </c>
      <c r="W2792">
        <v>302.00440238154624</v>
      </c>
      <c r="AQ2792">
        <f>SMALL('Iter No Test'!$W$9:$W$5008,2790)</f>
        <v>221.43022849094024</v>
      </c>
      <c r="AR2792">
        <f>1/(COUNT('Iter No Test'!$W$9:$W$5008)-1)+$AR$2791</f>
        <v>0.55791158231647109</v>
      </c>
    </row>
    <row r="2793" spans="22:44">
      <c r="V2793">
        <v>2785</v>
      </c>
      <c r="W2793">
        <v>192.5730992799142</v>
      </c>
      <c r="AQ2793">
        <f>SMALL('Iter No Test'!$W$9:$W$5008,2791)</f>
        <v>221.49406465555069</v>
      </c>
      <c r="AR2793">
        <f>1/(COUNT('Iter No Test'!$W$9:$W$5008)-1)+$AR$2792</f>
        <v>0.55811162232447264</v>
      </c>
    </row>
    <row r="2794" spans="22:44">
      <c r="V2794">
        <v>2786</v>
      </c>
      <c r="W2794">
        <v>386.81280348695901</v>
      </c>
      <c r="AQ2794">
        <f>SMALL('Iter No Test'!$W$9:$W$5008,2792)</f>
        <v>221.57838296501109</v>
      </c>
      <c r="AR2794">
        <f>1/(COUNT('Iter No Test'!$W$9:$W$5008)-1)+$AR$2793</f>
        <v>0.5583116623324742</v>
      </c>
    </row>
    <row r="2795" spans="22:44">
      <c r="V2795">
        <v>2787</v>
      </c>
      <c r="W2795">
        <v>176.47039633218381</v>
      </c>
      <c r="AQ2795">
        <f>SMALL('Iter No Test'!$W$9:$W$5008,2793)</f>
        <v>221.64237602378316</v>
      </c>
      <c r="AR2795">
        <f>1/(COUNT('Iter No Test'!$W$9:$W$5008)-1)+$AR$2794</f>
        <v>0.55851170234047576</v>
      </c>
    </row>
    <row r="2796" spans="22:44">
      <c r="V2796">
        <v>2788</v>
      </c>
      <c r="W2796">
        <v>115.43806447248764</v>
      </c>
      <c r="AQ2796">
        <f>SMALL('Iter No Test'!$W$9:$W$5008,2794)</f>
        <v>221.65498312747027</v>
      </c>
      <c r="AR2796">
        <f>1/(COUNT('Iter No Test'!$W$9:$W$5008)-1)+$AR$2795</f>
        <v>0.55871174234847731</v>
      </c>
    </row>
    <row r="2797" spans="22:44">
      <c r="V2797">
        <v>2789</v>
      </c>
      <c r="W2797">
        <v>411.3799144872678</v>
      </c>
      <c r="AQ2797">
        <f>SMALL('Iter No Test'!$W$9:$W$5008,2795)</f>
        <v>221.67223971457014</v>
      </c>
      <c r="AR2797">
        <f>1/(COUNT('Iter No Test'!$W$9:$W$5008)-1)+$AR$2796</f>
        <v>0.55891178235647887</v>
      </c>
    </row>
    <row r="2798" spans="22:44">
      <c r="V2798">
        <v>2790</v>
      </c>
      <c r="W2798">
        <v>244.19752000672753</v>
      </c>
      <c r="AQ2798">
        <f>SMALL('Iter No Test'!$W$9:$W$5008,2796)</f>
        <v>221.68981946654233</v>
      </c>
      <c r="AR2798">
        <f>1/(COUNT('Iter No Test'!$W$9:$W$5008)-1)+$AR$2797</f>
        <v>0.55911182236448043</v>
      </c>
    </row>
    <row r="2799" spans="22:44">
      <c r="V2799">
        <v>2791</v>
      </c>
      <c r="W2799">
        <v>108.27020224035383</v>
      </c>
      <c r="AQ2799">
        <f>SMALL('Iter No Test'!$W$9:$W$5008,2797)</f>
        <v>221.71211193839878</v>
      </c>
      <c r="AR2799">
        <f>1/(COUNT('Iter No Test'!$W$9:$W$5008)-1)+$AR$2798</f>
        <v>0.55931186237248198</v>
      </c>
    </row>
    <row r="2800" spans="22:44">
      <c r="V2800">
        <v>2792</v>
      </c>
      <c r="W2800">
        <v>126.29506237656467</v>
      </c>
      <c r="AQ2800">
        <f>SMALL('Iter No Test'!$W$9:$W$5008,2798)</f>
        <v>221.71686659188583</v>
      </c>
      <c r="AR2800">
        <f>1/(COUNT('Iter No Test'!$W$9:$W$5008)-1)+$AR$2799</f>
        <v>0.55951190238048354</v>
      </c>
    </row>
    <row r="2801" spans="22:44">
      <c r="V2801">
        <v>2793</v>
      </c>
      <c r="W2801">
        <v>225.5714775517194</v>
      </c>
      <c r="AQ2801">
        <f>SMALL('Iter No Test'!$W$9:$W$5008,2799)</f>
        <v>221.73345296668694</v>
      </c>
      <c r="AR2801">
        <f>1/(COUNT('Iter No Test'!$W$9:$W$5008)-1)+$AR$2800</f>
        <v>0.5597119423884851</v>
      </c>
    </row>
    <row r="2802" spans="22:44">
      <c r="V2802">
        <v>2794</v>
      </c>
      <c r="W2802">
        <v>140.29845499089572</v>
      </c>
      <c r="AQ2802">
        <f>SMALL('Iter No Test'!$W$9:$W$5008,2800)</f>
        <v>221.77936223939031</v>
      </c>
      <c r="AR2802">
        <f>1/(COUNT('Iter No Test'!$W$9:$W$5008)-1)+$AR$2801</f>
        <v>0.55991198239648665</v>
      </c>
    </row>
    <row r="2803" spans="22:44">
      <c r="V2803">
        <v>2795</v>
      </c>
      <c r="W2803">
        <v>119.54955887418721</v>
      </c>
      <c r="AQ2803">
        <f>SMALL('Iter No Test'!$W$9:$W$5008,2801)</f>
        <v>221.79862723512161</v>
      </c>
      <c r="AR2803">
        <f>1/(COUNT('Iter No Test'!$W$9:$W$5008)-1)+$AR$2802</f>
        <v>0.56011202240448821</v>
      </c>
    </row>
    <row r="2804" spans="22:44">
      <c r="V2804">
        <v>2796</v>
      </c>
      <c r="W2804">
        <v>219.86141951708217</v>
      </c>
      <c r="AQ2804">
        <f>SMALL('Iter No Test'!$W$9:$W$5008,2802)</f>
        <v>221.89872222822348</v>
      </c>
      <c r="AR2804">
        <f>1/(COUNT('Iter No Test'!$W$9:$W$5008)-1)+$AR$2803</f>
        <v>0.56031206241248976</v>
      </c>
    </row>
    <row r="2805" spans="22:44">
      <c r="V2805">
        <v>2797</v>
      </c>
      <c r="W2805">
        <v>222.28224871094162</v>
      </c>
      <c r="AQ2805">
        <f>SMALL('Iter No Test'!$W$9:$W$5008,2803)</f>
        <v>221.9667414431151</v>
      </c>
      <c r="AR2805">
        <f>1/(COUNT('Iter No Test'!$W$9:$W$5008)-1)+$AR$2804</f>
        <v>0.56051210242049132</v>
      </c>
    </row>
    <row r="2806" spans="22:44">
      <c r="V2806">
        <v>2798</v>
      </c>
      <c r="W2806">
        <v>256.23588844420533</v>
      </c>
      <c r="AQ2806">
        <f>SMALL('Iter No Test'!$W$9:$W$5008,2804)</f>
        <v>221.97712262261808</v>
      </c>
      <c r="AR2806">
        <f>1/(COUNT('Iter No Test'!$W$9:$W$5008)-1)+$AR$2805</f>
        <v>0.56071214242849288</v>
      </c>
    </row>
    <row r="2807" spans="22:44">
      <c r="V2807">
        <v>2799</v>
      </c>
      <c r="W2807">
        <v>167.05642699743578</v>
      </c>
      <c r="AQ2807">
        <f>SMALL('Iter No Test'!$W$9:$W$5008,2805)</f>
        <v>221.98824891306867</v>
      </c>
      <c r="AR2807">
        <f>1/(COUNT('Iter No Test'!$W$9:$W$5008)-1)+$AR$2806</f>
        <v>0.56091218243649443</v>
      </c>
    </row>
    <row r="2808" spans="22:44">
      <c r="V2808">
        <v>2800</v>
      </c>
      <c r="W2808">
        <v>122.58875599573258</v>
      </c>
      <c r="AQ2808">
        <f>SMALL('Iter No Test'!$W$9:$W$5008,2806)</f>
        <v>222.02803289413822</v>
      </c>
      <c r="AR2808">
        <f>1/(COUNT('Iter No Test'!$W$9:$W$5008)-1)+$AR$2807</f>
        <v>0.56111222244449599</v>
      </c>
    </row>
    <row r="2809" spans="22:44">
      <c r="V2809">
        <v>2801</v>
      </c>
      <c r="W2809">
        <v>317.17890179714561</v>
      </c>
      <c r="AQ2809">
        <f>SMALL('Iter No Test'!$W$9:$W$5008,2807)</f>
        <v>222.04773022120571</v>
      </c>
      <c r="AR2809">
        <f>1/(COUNT('Iter No Test'!$W$9:$W$5008)-1)+$AR$2808</f>
        <v>0.56131226245249755</v>
      </c>
    </row>
    <row r="2810" spans="22:44">
      <c r="V2810">
        <v>2802</v>
      </c>
      <c r="W2810">
        <v>208.27502903601183</v>
      </c>
      <c r="AQ2810">
        <f>SMALL('Iter No Test'!$W$9:$W$5008,2808)</f>
        <v>222.07795504916078</v>
      </c>
      <c r="AR2810">
        <f>1/(COUNT('Iter No Test'!$W$9:$W$5008)-1)+$AR$2809</f>
        <v>0.5615123024604991</v>
      </c>
    </row>
    <row r="2811" spans="22:44">
      <c r="V2811">
        <v>2803</v>
      </c>
      <c r="W2811">
        <v>205.64413029460295</v>
      </c>
      <c r="AQ2811">
        <f>SMALL('Iter No Test'!$W$9:$W$5008,2809)</f>
        <v>222.11595460897786</v>
      </c>
      <c r="AR2811">
        <f>1/(COUNT('Iter No Test'!$W$9:$W$5008)-1)+$AR$2810</f>
        <v>0.56171234246850066</v>
      </c>
    </row>
    <row r="2812" spans="22:44">
      <c r="V2812">
        <v>2804</v>
      </c>
      <c r="W2812">
        <v>279.4458849441321</v>
      </c>
      <c r="AQ2812">
        <f>SMALL('Iter No Test'!$W$9:$W$5008,2810)</f>
        <v>222.12589874768855</v>
      </c>
      <c r="AR2812">
        <f>1/(COUNT('Iter No Test'!$W$9:$W$5008)-1)+$AR$2811</f>
        <v>0.56191238247650221</v>
      </c>
    </row>
    <row r="2813" spans="22:44">
      <c r="V2813">
        <v>2805</v>
      </c>
      <c r="W2813">
        <v>106.21316689258168</v>
      </c>
      <c r="AQ2813">
        <f>SMALL('Iter No Test'!$W$9:$W$5008,2811)</f>
        <v>222.1371831417583</v>
      </c>
      <c r="AR2813">
        <f>1/(COUNT('Iter No Test'!$W$9:$W$5008)-1)+$AR$2812</f>
        <v>0.56211242248450377</v>
      </c>
    </row>
    <row r="2814" spans="22:44">
      <c r="V2814">
        <v>2806</v>
      </c>
      <c r="W2814">
        <v>236.22662978930208</v>
      </c>
      <c r="AQ2814">
        <f>SMALL('Iter No Test'!$W$9:$W$5008,2812)</f>
        <v>222.13945911528947</v>
      </c>
      <c r="AR2814">
        <f>1/(COUNT('Iter No Test'!$W$9:$W$5008)-1)+$AR$2813</f>
        <v>0.56231246249250533</v>
      </c>
    </row>
    <row r="2815" spans="22:44">
      <c r="V2815">
        <v>2807</v>
      </c>
      <c r="W2815">
        <v>413.24695400649119</v>
      </c>
      <c r="AQ2815">
        <f>SMALL('Iter No Test'!$W$9:$W$5008,2813)</f>
        <v>222.1426350882887</v>
      </c>
      <c r="AR2815">
        <f>1/(COUNT('Iter No Test'!$W$9:$W$5008)-1)+$AR$2814</f>
        <v>0.56251250250050688</v>
      </c>
    </row>
    <row r="2816" spans="22:44">
      <c r="V2816">
        <v>2808</v>
      </c>
      <c r="W2816">
        <v>179.23322133708379</v>
      </c>
      <c r="AQ2816">
        <f>SMALL('Iter No Test'!$W$9:$W$5008,2814)</f>
        <v>222.15566905155373</v>
      </c>
      <c r="AR2816">
        <f>1/(COUNT('Iter No Test'!$W$9:$W$5008)-1)+$AR$2815</f>
        <v>0.56271254250850844</v>
      </c>
    </row>
    <row r="2817" spans="22:44">
      <c r="V2817">
        <v>2809</v>
      </c>
      <c r="W2817">
        <v>217.8590810708661</v>
      </c>
      <c r="AQ2817">
        <f>SMALL('Iter No Test'!$W$9:$W$5008,2815)</f>
        <v>222.17160662149536</v>
      </c>
      <c r="AR2817">
        <f>1/(COUNT('Iter No Test'!$W$9:$W$5008)-1)+$AR$2816</f>
        <v>0.56291258251651</v>
      </c>
    </row>
    <row r="2818" spans="22:44">
      <c r="V2818">
        <v>2810</v>
      </c>
      <c r="W2818">
        <v>262.28257516034182</v>
      </c>
      <c r="AQ2818">
        <f>SMALL('Iter No Test'!$W$9:$W$5008,2816)</f>
        <v>222.28224871094162</v>
      </c>
      <c r="AR2818">
        <f>1/(COUNT('Iter No Test'!$W$9:$W$5008)-1)+$AR$2817</f>
        <v>0.56311262252451155</v>
      </c>
    </row>
    <row r="2819" spans="22:44">
      <c r="V2819">
        <v>2811</v>
      </c>
      <c r="W2819">
        <v>244.57468766138732</v>
      </c>
      <c r="AQ2819">
        <f>SMALL('Iter No Test'!$W$9:$W$5008,2817)</f>
        <v>222.2853804824282</v>
      </c>
      <c r="AR2819">
        <f>1/(COUNT('Iter No Test'!$W$9:$W$5008)-1)+$AR$2818</f>
        <v>0.56331266253251311</v>
      </c>
    </row>
    <row r="2820" spans="22:44">
      <c r="V2820">
        <v>2812</v>
      </c>
      <c r="W2820">
        <v>294.88770127103385</v>
      </c>
      <c r="AQ2820">
        <f>SMALL('Iter No Test'!$W$9:$W$5008,2818)</f>
        <v>222.39263774057747</v>
      </c>
      <c r="AR2820">
        <f>1/(COUNT('Iter No Test'!$W$9:$W$5008)-1)+$AR$2819</f>
        <v>0.56351270254051467</v>
      </c>
    </row>
    <row r="2821" spans="22:44">
      <c r="V2821">
        <v>2813</v>
      </c>
      <c r="W2821">
        <v>15.492316482467515</v>
      </c>
      <c r="AQ2821">
        <f>SMALL('Iter No Test'!$W$9:$W$5008,2819)</f>
        <v>222.52980535212208</v>
      </c>
      <c r="AR2821">
        <f>1/(COUNT('Iter No Test'!$W$9:$W$5008)-1)+$AR$2820</f>
        <v>0.56371274254851622</v>
      </c>
    </row>
    <row r="2822" spans="22:44">
      <c r="V2822">
        <v>2814</v>
      </c>
      <c r="W2822">
        <v>147.40705554901575</v>
      </c>
      <c r="AQ2822">
        <f>SMALL('Iter No Test'!$W$9:$W$5008,2820)</f>
        <v>222.89263339783804</v>
      </c>
      <c r="AR2822">
        <f>1/(COUNT('Iter No Test'!$W$9:$W$5008)-1)+$AR$2821</f>
        <v>0.56391278255651778</v>
      </c>
    </row>
    <row r="2823" spans="22:44">
      <c r="V2823">
        <v>2815</v>
      </c>
      <c r="W2823">
        <v>143.33820811882461</v>
      </c>
      <c r="AQ2823">
        <f>SMALL('Iter No Test'!$W$9:$W$5008,2821)</f>
        <v>222.92781447371755</v>
      </c>
      <c r="AR2823">
        <f>1/(COUNT('Iter No Test'!$W$9:$W$5008)-1)+$AR$2822</f>
        <v>0.56411282256451933</v>
      </c>
    </row>
    <row r="2824" spans="22:44">
      <c r="V2824">
        <v>2816</v>
      </c>
      <c r="W2824">
        <v>260.24553513966077</v>
      </c>
      <c r="AQ2824">
        <f>SMALL('Iter No Test'!$W$9:$W$5008,2822)</f>
        <v>222.93801622521178</v>
      </c>
      <c r="AR2824">
        <f>1/(COUNT('Iter No Test'!$W$9:$W$5008)-1)+$AR$2823</f>
        <v>0.56431286257252089</v>
      </c>
    </row>
    <row r="2825" spans="22:44">
      <c r="V2825">
        <v>2817</v>
      </c>
      <c r="W2825">
        <v>133.36773775542883</v>
      </c>
      <c r="AQ2825">
        <f>SMALL('Iter No Test'!$W$9:$W$5008,2823)</f>
        <v>222.98111202672879</v>
      </c>
      <c r="AR2825">
        <f>1/(COUNT('Iter No Test'!$W$9:$W$5008)-1)+$AR$2824</f>
        <v>0.56451290258052245</v>
      </c>
    </row>
    <row r="2826" spans="22:44">
      <c r="V2826">
        <v>2818</v>
      </c>
      <c r="W2826">
        <v>294.08476632891262</v>
      </c>
      <c r="AQ2826">
        <f>SMALL('Iter No Test'!$W$9:$W$5008,2824)</f>
        <v>223.01751312025178</v>
      </c>
      <c r="AR2826">
        <f>1/(COUNT('Iter No Test'!$W$9:$W$5008)-1)+$AR$2825</f>
        <v>0.564712942588524</v>
      </c>
    </row>
    <row r="2827" spans="22:44">
      <c r="V2827">
        <v>2819</v>
      </c>
      <c r="W2827">
        <v>173.51703050446196</v>
      </c>
      <c r="AQ2827">
        <f>SMALL('Iter No Test'!$W$9:$W$5008,2825)</f>
        <v>223.08774445988857</v>
      </c>
      <c r="AR2827">
        <f>1/(COUNT('Iter No Test'!$W$9:$W$5008)-1)+$AR$2826</f>
        <v>0.56491298259652556</v>
      </c>
    </row>
    <row r="2828" spans="22:44">
      <c r="V2828">
        <v>2820</v>
      </c>
      <c r="W2828">
        <v>157.3631187788809</v>
      </c>
      <c r="AQ2828">
        <f>SMALL('Iter No Test'!$W$9:$W$5008,2826)</f>
        <v>223.24947571014897</v>
      </c>
      <c r="AR2828">
        <f>1/(COUNT('Iter No Test'!$W$9:$W$5008)-1)+$AR$2827</f>
        <v>0.56511302260452712</v>
      </c>
    </row>
    <row r="2829" spans="22:44">
      <c r="V2829">
        <v>2821</v>
      </c>
      <c r="W2829">
        <v>268.83955973734771</v>
      </c>
      <c r="AQ2829">
        <f>SMALL('Iter No Test'!$W$9:$W$5008,2827)</f>
        <v>223.29315735210642</v>
      </c>
      <c r="AR2829">
        <f>1/(COUNT('Iter No Test'!$W$9:$W$5008)-1)+$AR$2828</f>
        <v>0.56531306261252867</v>
      </c>
    </row>
    <row r="2830" spans="22:44">
      <c r="V2830">
        <v>2822</v>
      </c>
      <c r="W2830">
        <v>226.83163649789566</v>
      </c>
      <c r="AQ2830">
        <f>SMALL('Iter No Test'!$W$9:$W$5008,2828)</f>
        <v>223.30923915587155</v>
      </c>
      <c r="AR2830">
        <f>1/(COUNT('Iter No Test'!$W$9:$W$5008)-1)+$AR$2829</f>
        <v>0.56551310262053023</v>
      </c>
    </row>
    <row r="2831" spans="22:44">
      <c r="V2831">
        <v>2823</v>
      </c>
      <c r="W2831">
        <v>132.81249227029218</v>
      </c>
      <c r="AQ2831">
        <f>SMALL('Iter No Test'!$W$9:$W$5008,2829)</f>
        <v>223.31099404617066</v>
      </c>
      <c r="AR2831">
        <f>1/(COUNT('Iter No Test'!$W$9:$W$5008)-1)+$AR$2830</f>
        <v>0.56571314262853178</v>
      </c>
    </row>
    <row r="2832" spans="22:44">
      <c r="V2832">
        <v>2824</v>
      </c>
      <c r="W2832">
        <v>126.17922572637386</v>
      </c>
      <c r="AQ2832">
        <f>SMALL('Iter No Test'!$W$9:$W$5008,2830)</f>
        <v>223.38053527646645</v>
      </c>
      <c r="AR2832">
        <f>1/(COUNT('Iter No Test'!$W$9:$W$5008)-1)+$AR$2831</f>
        <v>0.56591318263653334</v>
      </c>
    </row>
    <row r="2833" spans="22:44">
      <c r="V2833">
        <v>2825</v>
      </c>
      <c r="W2833">
        <v>269.03776478407241</v>
      </c>
      <c r="AQ2833">
        <f>SMALL('Iter No Test'!$W$9:$W$5008,2831)</f>
        <v>223.38742865963789</v>
      </c>
      <c r="AR2833">
        <f>1/(COUNT('Iter No Test'!$W$9:$W$5008)-1)+$AR$2832</f>
        <v>0.5661132226445349</v>
      </c>
    </row>
    <row r="2834" spans="22:44">
      <c r="V2834">
        <v>2826</v>
      </c>
      <c r="W2834">
        <v>150.29208918178264</v>
      </c>
      <c r="AQ2834">
        <f>SMALL('Iter No Test'!$W$9:$W$5008,2832)</f>
        <v>223.40836209911387</v>
      </c>
      <c r="AR2834">
        <f>1/(COUNT('Iter No Test'!$W$9:$W$5008)-1)+$AR$2833</f>
        <v>0.56631326265253645</v>
      </c>
    </row>
    <row r="2835" spans="22:44">
      <c r="V2835">
        <v>2827</v>
      </c>
      <c r="W2835">
        <v>107.6261061470495</v>
      </c>
      <c r="AQ2835">
        <f>SMALL('Iter No Test'!$W$9:$W$5008,2833)</f>
        <v>223.40897946180789</v>
      </c>
      <c r="AR2835">
        <f>1/(COUNT('Iter No Test'!$W$9:$W$5008)-1)+$AR$2834</f>
        <v>0.56651330266053801</v>
      </c>
    </row>
    <row r="2836" spans="22:44">
      <c r="V2836">
        <v>2828</v>
      </c>
      <c r="W2836">
        <v>331.25705981250076</v>
      </c>
      <c r="AQ2836">
        <f>SMALL('Iter No Test'!$W$9:$W$5008,2834)</f>
        <v>223.46463362268759</v>
      </c>
      <c r="AR2836">
        <f>1/(COUNT('Iter No Test'!$W$9:$W$5008)-1)+$AR$2835</f>
        <v>0.56671334266853957</v>
      </c>
    </row>
    <row r="2837" spans="22:44">
      <c r="V2837">
        <v>2829</v>
      </c>
      <c r="W2837">
        <v>349.05524054978292</v>
      </c>
      <c r="AQ2837">
        <f>SMALL('Iter No Test'!$W$9:$W$5008,2835)</f>
        <v>223.47799658424506</v>
      </c>
      <c r="AR2837">
        <f>1/(COUNT('Iter No Test'!$W$9:$W$5008)-1)+$AR$2836</f>
        <v>0.56691338267654112</v>
      </c>
    </row>
    <row r="2838" spans="22:44">
      <c r="V2838">
        <v>2830</v>
      </c>
      <c r="W2838">
        <v>362.56627213405102</v>
      </c>
      <c r="AQ2838">
        <f>SMALL('Iter No Test'!$W$9:$W$5008,2836)</f>
        <v>223.49642174153647</v>
      </c>
      <c r="AR2838">
        <f>1/(COUNT('Iter No Test'!$W$9:$W$5008)-1)+$AR$2837</f>
        <v>0.56711342268454268</v>
      </c>
    </row>
    <row r="2839" spans="22:44">
      <c r="V2839">
        <v>2831</v>
      </c>
      <c r="W2839">
        <v>156.9803577763453</v>
      </c>
      <c r="AQ2839">
        <f>SMALL('Iter No Test'!$W$9:$W$5008,2837)</f>
        <v>223.53073402920813</v>
      </c>
      <c r="AR2839">
        <f>1/(COUNT('Iter No Test'!$W$9:$W$5008)-1)+$AR$2838</f>
        <v>0.56731346269254423</v>
      </c>
    </row>
    <row r="2840" spans="22:44">
      <c r="V2840">
        <v>2832</v>
      </c>
      <c r="W2840">
        <v>192.28943578794804</v>
      </c>
      <c r="AQ2840">
        <f>SMALL('Iter No Test'!$W$9:$W$5008,2838)</f>
        <v>223.5557805788597</v>
      </c>
      <c r="AR2840">
        <f>1/(COUNT('Iter No Test'!$W$9:$W$5008)-1)+$AR$2839</f>
        <v>0.56751350270054579</v>
      </c>
    </row>
    <row r="2841" spans="22:44">
      <c r="V2841">
        <v>2833</v>
      </c>
      <c r="W2841">
        <v>173.08564868045994</v>
      </c>
      <c r="AQ2841">
        <f>SMALL('Iter No Test'!$W$9:$W$5008,2839)</f>
        <v>223.55841019844397</v>
      </c>
      <c r="AR2841">
        <f>1/(COUNT('Iter No Test'!$W$9:$W$5008)-1)+$AR$2840</f>
        <v>0.56771354270854735</v>
      </c>
    </row>
    <row r="2842" spans="22:44">
      <c r="V2842">
        <v>2834</v>
      </c>
      <c r="W2842">
        <v>73.813894598305993</v>
      </c>
      <c r="AQ2842">
        <f>SMALL('Iter No Test'!$W$9:$W$5008,2840)</f>
        <v>223.55908272173744</v>
      </c>
      <c r="AR2842">
        <f>1/(COUNT('Iter No Test'!$W$9:$W$5008)-1)+$AR$2841</f>
        <v>0.5679135827165489</v>
      </c>
    </row>
    <row r="2843" spans="22:44">
      <c r="V2843">
        <v>2835</v>
      </c>
      <c r="W2843">
        <v>249.84335551751226</v>
      </c>
      <c r="AQ2843">
        <f>SMALL('Iter No Test'!$W$9:$W$5008,2841)</f>
        <v>223.58023776144387</v>
      </c>
      <c r="AR2843">
        <f>1/(COUNT('Iter No Test'!$W$9:$W$5008)-1)+$AR$2842</f>
        <v>0.56811362272455046</v>
      </c>
    </row>
    <row r="2844" spans="22:44">
      <c r="V2844">
        <v>2836</v>
      </c>
      <c r="W2844">
        <v>151.0422410808859</v>
      </c>
      <c r="AQ2844">
        <f>SMALL('Iter No Test'!$W$9:$W$5008,2842)</f>
        <v>223.63964361076569</v>
      </c>
      <c r="AR2844">
        <f>1/(COUNT('Iter No Test'!$W$9:$W$5008)-1)+$AR$2843</f>
        <v>0.56831366273255202</v>
      </c>
    </row>
    <row r="2845" spans="22:44">
      <c r="V2845">
        <v>2837</v>
      </c>
      <c r="W2845">
        <v>113.7961180782152</v>
      </c>
      <c r="AQ2845">
        <f>SMALL('Iter No Test'!$W$9:$W$5008,2843)</f>
        <v>223.67273125647486</v>
      </c>
      <c r="AR2845">
        <f>1/(COUNT('Iter No Test'!$W$9:$W$5008)-1)+$AR$2844</f>
        <v>0.56851370274055357</v>
      </c>
    </row>
    <row r="2846" spans="22:44">
      <c r="V2846">
        <v>2838</v>
      </c>
      <c r="W2846">
        <v>171.44556371298654</v>
      </c>
      <c r="AQ2846">
        <f>SMALL('Iter No Test'!$W$9:$W$5008,2844)</f>
        <v>223.67628302207797</v>
      </c>
      <c r="AR2846">
        <f>1/(COUNT('Iter No Test'!$W$9:$W$5008)-1)+$AR$2845</f>
        <v>0.56871374274855513</v>
      </c>
    </row>
    <row r="2847" spans="22:44">
      <c r="V2847">
        <v>2839</v>
      </c>
      <c r="W2847">
        <v>73.050449213680466</v>
      </c>
      <c r="AQ2847">
        <f>SMALL('Iter No Test'!$W$9:$W$5008,2845)</f>
        <v>223.74011622289137</v>
      </c>
      <c r="AR2847">
        <f>1/(COUNT('Iter No Test'!$W$9:$W$5008)-1)+$AR$2846</f>
        <v>0.56891378275655669</v>
      </c>
    </row>
    <row r="2848" spans="22:44">
      <c r="V2848">
        <v>2840</v>
      </c>
      <c r="W2848">
        <v>197.12394374276215</v>
      </c>
      <c r="AQ2848">
        <f>SMALL('Iter No Test'!$W$9:$W$5008,2846)</f>
        <v>223.76992535538301</v>
      </c>
      <c r="AR2848">
        <f>1/(COUNT('Iter No Test'!$W$9:$W$5008)-1)+$AR$2847</f>
        <v>0.56911382276455824</v>
      </c>
    </row>
    <row r="2849" spans="22:44">
      <c r="V2849">
        <v>2841</v>
      </c>
      <c r="W2849">
        <v>134.41341331049733</v>
      </c>
      <c r="AQ2849">
        <f>SMALL('Iter No Test'!$W$9:$W$5008,2847)</f>
        <v>223.78291192739599</v>
      </c>
      <c r="AR2849">
        <f>1/(COUNT('Iter No Test'!$W$9:$W$5008)-1)+$AR$2848</f>
        <v>0.5693138627725598</v>
      </c>
    </row>
    <row r="2850" spans="22:44">
      <c r="V2850">
        <v>2842</v>
      </c>
      <c r="W2850">
        <v>245.23295405883673</v>
      </c>
      <c r="AQ2850">
        <f>SMALL('Iter No Test'!$W$9:$W$5008,2848)</f>
        <v>223.78444421105621</v>
      </c>
      <c r="AR2850">
        <f>1/(COUNT('Iter No Test'!$W$9:$W$5008)-1)+$AR$2849</f>
        <v>0.56951390278056135</v>
      </c>
    </row>
    <row r="2851" spans="22:44">
      <c r="V2851">
        <v>2843</v>
      </c>
      <c r="W2851">
        <v>342.15586254687759</v>
      </c>
      <c r="AQ2851">
        <f>SMALL('Iter No Test'!$W$9:$W$5008,2849)</f>
        <v>223.8426871510635</v>
      </c>
      <c r="AR2851">
        <f>1/(COUNT('Iter No Test'!$W$9:$W$5008)-1)+$AR$2850</f>
        <v>0.56971394278856291</v>
      </c>
    </row>
    <row r="2852" spans="22:44">
      <c r="V2852">
        <v>2844</v>
      </c>
      <c r="W2852">
        <v>318.14029432727955</v>
      </c>
      <c r="AQ2852">
        <f>SMALL('Iter No Test'!$W$9:$W$5008,2850)</f>
        <v>223.86699309968316</v>
      </c>
      <c r="AR2852">
        <f>1/(COUNT('Iter No Test'!$W$9:$W$5008)-1)+$AR$2851</f>
        <v>0.56991398279656447</v>
      </c>
    </row>
    <row r="2853" spans="22:44">
      <c r="V2853">
        <v>2845</v>
      </c>
      <c r="W2853">
        <v>240.70102360966422</v>
      </c>
      <c r="AQ2853">
        <f>SMALL('Iter No Test'!$W$9:$W$5008,2851)</f>
        <v>223.97908538369916</v>
      </c>
      <c r="AR2853">
        <f>1/(COUNT('Iter No Test'!$W$9:$W$5008)-1)+$AR$2852</f>
        <v>0.57011402280456602</v>
      </c>
    </row>
    <row r="2854" spans="22:44">
      <c r="V2854">
        <v>2846</v>
      </c>
      <c r="W2854">
        <v>382.8898218755354</v>
      </c>
      <c r="AQ2854">
        <f>SMALL('Iter No Test'!$W$9:$W$5008,2852)</f>
        <v>224.02093025826912</v>
      </c>
      <c r="AR2854">
        <f>1/(COUNT('Iter No Test'!$W$9:$W$5008)-1)+$AR$2853</f>
        <v>0.57031406281256758</v>
      </c>
    </row>
    <row r="2855" spans="22:44">
      <c r="V2855">
        <v>2847</v>
      </c>
      <c r="W2855">
        <v>295.01140089667177</v>
      </c>
      <c r="AQ2855">
        <f>SMALL('Iter No Test'!$W$9:$W$5008,2853)</f>
        <v>224.0260771472542</v>
      </c>
      <c r="AR2855">
        <f>1/(COUNT('Iter No Test'!$W$9:$W$5008)-1)+$AR$2854</f>
        <v>0.57051410282056914</v>
      </c>
    </row>
    <row r="2856" spans="22:44">
      <c r="V2856">
        <v>2848</v>
      </c>
      <c r="W2856">
        <v>46.850035083494745</v>
      </c>
      <c r="AQ2856">
        <f>SMALL('Iter No Test'!$W$9:$W$5008,2854)</f>
        <v>224.08857690157393</v>
      </c>
      <c r="AR2856">
        <f>1/(COUNT('Iter No Test'!$W$9:$W$5008)-1)+$AR$2855</f>
        <v>0.57071414282857069</v>
      </c>
    </row>
    <row r="2857" spans="22:44">
      <c r="V2857">
        <v>2849</v>
      </c>
      <c r="W2857">
        <v>150.38911150214705</v>
      </c>
      <c r="AQ2857">
        <f>SMALL('Iter No Test'!$W$9:$W$5008,2855)</f>
        <v>224.13595225771058</v>
      </c>
      <c r="AR2857">
        <f>1/(COUNT('Iter No Test'!$W$9:$W$5008)-1)+$AR$2856</f>
        <v>0.57091418283657225</v>
      </c>
    </row>
    <row r="2858" spans="22:44">
      <c r="V2858">
        <v>2850</v>
      </c>
      <c r="W2858">
        <v>196.60958426342862</v>
      </c>
      <c r="AQ2858">
        <f>SMALL('Iter No Test'!$W$9:$W$5008,2856)</f>
        <v>224.17567498094502</v>
      </c>
      <c r="AR2858">
        <f>1/(COUNT('Iter No Test'!$W$9:$W$5008)-1)+$AR$2857</f>
        <v>0.5711142228445738</v>
      </c>
    </row>
    <row r="2859" spans="22:44">
      <c r="V2859">
        <v>2851</v>
      </c>
      <c r="W2859">
        <v>192.69568763096555</v>
      </c>
      <c r="AQ2859">
        <f>SMALL('Iter No Test'!$W$9:$W$5008,2857)</f>
        <v>224.18001838216708</v>
      </c>
      <c r="AR2859">
        <f>1/(COUNT('Iter No Test'!$W$9:$W$5008)-1)+$AR$2858</f>
        <v>0.57131426285257536</v>
      </c>
    </row>
    <row r="2860" spans="22:44">
      <c r="V2860">
        <v>2852</v>
      </c>
      <c r="W2860">
        <v>157.32478134506184</v>
      </c>
      <c r="AQ2860">
        <f>SMALL('Iter No Test'!$W$9:$W$5008,2858)</f>
        <v>224.18574570770522</v>
      </c>
      <c r="AR2860">
        <f>1/(COUNT('Iter No Test'!$W$9:$W$5008)-1)+$AR$2859</f>
        <v>0.57151430286057692</v>
      </c>
    </row>
    <row r="2861" spans="22:44">
      <c r="V2861">
        <v>2853</v>
      </c>
      <c r="W2861">
        <v>175.91807632083325</v>
      </c>
      <c r="AQ2861">
        <f>SMALL('Iter No Test'!$W$9:$W$5008,2859)</f>
        <v>224.2422898972149</v>
      </c>
      <c r="AR2861">
        <f>1/(COUNT('Iter No Test'!$W$9:$W$5008)-1)+$AR$2860</f>
        <v>0.57171434286857847</v>
      </c>
    </row>
    <row r="2862" spans="22:44">
      <c r="V2862">
        <v>2854</v>
      </c>
      <c r="W2862">
        <v>291.18327590510955</v>
      </c>
      <c r="AQ2862">
        <f>SMALL('Iter No Test'!$W$9:$W$5008,2860)</f>
        <v>224.26661430548569</v>
      </c>
      <c r="AR2862">
        <f>1/(COUNT('Iter No Test'!$W$9:$W$5008)-1)+$AR$2861</f>
        <v>0.57191438287658003</v>
      </c>
    </row>
    <row r="2863" spans="22:44">
      <c r="V2863">
        <v>2855</v>
      </c>
      <c r="W2863">
        <v>199.57997034941167</v>
      </c>
      <c r="AQ2863">
        <f>SMALL('Iter No Test'!$W$9:$W$5008,2861)</f>
        <v>224.29517267416838</v>
      </c>
      <c r="AR2863">
        <f>1/(COUNT('Iter No Test'!$W$9:$W$5008)-1)+$AR$2862</f>
        <v>0.57211442288458159</v>
      </c>
    </row>
    <row r="2864" spans="22:44">
      <c r="V2864">
        <v>2856</v>
      </c>
      <c r="W2864">
        <v>197.24808062547078</v>
      </c>
      <c r="AQ2864">
        <f>SMALL('Iter No Test'!$W$9:$W$5008,2862)</f>
        <v>224.39560812757475</v>
      </c>
      <c r="AR2864">
        <f>1/(COUNT('Iter No Test'!$W$9:$W$5008)-1)+$AR$2863</f>
        <v>0.57231446289258314</v>
      </c>
    </row>
    <row r="2865" spans="22:44">
      <c r="V2865">
        <v>2857</v>
      </c>
      <c r="W2865">
        <v>161.26813421079029</v>
      </c>
      <c r="AQ2865">
        <f>SMALL('Iter No Test'!$W$9:$W$5008,2863)</f>
        <v>224.55756411070826</v>
      </c>
      <c r="AR2865">
        <f>1/(COUNT('Iter No Test'!$W$9:$W$5008)-1)+$AR$2864</f>
        <v>0.5725145029005847</v>
      </c>
    </row>
    <row r="2866" spans="22:44">
      <c r="V2866">
        <v>2858</v>
      </c>
      <c r="W2866">
        <v>134.9274760770675</v>
      </c>
      <c r="AQ2866">
        <f>SMALL('Iter No Test'!$W$9:$W$5008,2864)</f>
        <v>224.62687770402016</v>
      </c>
      <c r="AR2866">
        <f>1/(COUNT('Iter No Test'!$W$9:$W$5008)-1)+$AR$2865</f>
        <v>0.57271454290858625</v>
      </c>
    </row>
    <row r="2867" spans="22:44">
      <c r="V2867">
        <v>2859</v>
      </c>
      <c r="W2867">
        <v>239.42465812427943</v>
      </c>
      <c r="AQ2867">
        <f>SMALL('Iter No Test'!$W$9:$W$5008,2865)</f>
        <v>224.65763210167802</v>
      </c>
      <c r="AR2867">
        <f>1/(COUNT('Iter No Test'!$W$9:$W$5008)-1)+$AR$2866</f>
        <v>0.57291458291658781</v>
      </c>
    </row>
    <row r="2868" spans="22:44">
      <c r="V2868">
        <v>2860</v>
      </c>
      <c r="W2868">
        <v>378.70123851001722</v>
      </c>
      <c r="AQ2868">
        <f>SMALL('Iter No Test'!$W$9:$W$5008,2866)</f>
        <v>224.82574830666164</v>
      </c>
      <c r="AR2868">
        <f>1/(COUNT('Iter No Test'!$W$9:$W$5008)-1)+$AR$2867</f>
        <v>0.57311462292458937</v>
      </c>
    </row>
    <row r="2869" spans="22:44">
      <c r="V2869">
        <v>2861</v>
      </c>
      <c r="W2869">
        <v>231.33172653918857</v>
      </c>
      <c r="AQ2869">
        <f>SMALL('Iter No Test'!$W$9:$W$5008,2867)</f>
        <v>224.85156086845035</v>
      </c>
      <c r="AR2869">
        <f>1/(COUNT('Iter No Test'!$W$9:$W$5008)-1)+$AR$2868</f>
        <v>0.57331466293259092</v>
      </c>
    </row>
    <row r="2870" spans="22:44">
      <c r="V2870">
        <v>2862</v>
      </c>
      <c r="W2870">
        <v>311.08048200013877</v>
      </c>
      <c r="AQ2870">
        <f>SMALL('Iter No Test'!$W$9:$W$5008,2868)</f>
        <v>224.92485797685578</v>
      </c>
      <c r="AR2870">
        <f>1/(COUNT('Iter No Test'!$W$9:$W$5008)-1)+$AR$2869</f>
        <v>0.57351470294059248</v>
      </c>
    </row>
    <row r="2871" spans="22:44">
      <c r="V2871">
        <v>2863</v>
      </c>
      <c r="W2871">
        <v>323.50392283548473</v>
      </c>
      <c r="AQ2871">
        <f>SMALL('Iter No Test'!$W$9:$W$5008,2869)</f>
        <v>224.98347997912589</v>
      </c>
      <c r="AR2871">
        <f>1/(COUNT('Iter No Test'!$W$9:$W$5008)-1)+$AR$2870</f>
        <v>0.57371474294859404</v>
      </c>
    </row>
    <row r="2872" spans="22:44">
      <c r="V2872">
        <v>2864</v>
      </c>
      <c r="W2872">
        <v>253.14186812903969</v>
      </c>
      <c r="AQ2872">
        <f>SMALL('Iter No Test'!$W$9:$W$5008,2870)</f>
        <v>225.04725566936983</v>
      </c>
      <c r="AR2872">
        <f>1/(COUNT('Iter No Test'!$W$9:$W$5008)-1)+$AR$2871</f>
        <v>0.57391478295659559</v>
      </c>
    </row>
    <row r="2873" spans="22:44">
      <c r="V2873">
        <v>2865</v>
      </c>
      <c r="W2873">
        <v>245.18483208975749</v>
      </c>
      <c r="AQ2873">
        <f>SMALL('Iter No Test'!$W$9:$W$5008,2871)</f>
        <v>225.13417793332067</v>
      </c>
      <c r="AR2873">
        <f>1/(COUNT('Iter No Test'!$W$9:$W$5008)-1)+$AR$2872</f>
        <v>0.57411482296459715</v>
      </c>
    </row>
    <row r="2874" spans="22:44">
      <c r="V2874">
        <v>2866</v>
      </c>
      <c r="W2874">
        <v>235.64041541917436</v>
      </c>
      <c r="AQ2874">
        <f>SMALL('Iter No Test'!$W$9:$W$5008,2872)</f>
        <v>225.14600384530115</v>
      </c>
      <c r="AR2874">
        <f>1/(COUNT('Iter No Test'!$W$9:$W$5008)-1)+$AR$2873</f>
        <v>0.57431486297259871</v>
      </c>
    </row>
    <row r="2875" spans="22:44">
      <c r="V2875">
        <v>2867</v>
      </c>
      <c r="W2875">
        <v>399.19810990565594</v>
      </c>
      <c r="AQ2875">
        <f>SMALL('Iter No Test'!$W$9:$W$5008,2873)</f>
        <v>225.15548409784591</v>
      </c>
      <c r="AR2875">
        <f>1/(COUNT('Iter No Test'!$W$9:$W$5008)-1)+$AR$2874</f>
        <v>0.57451490298060026</v>
      </c>
    </row>
    <row r="2876" spans="22:44">
      <c r="V2876">
        <v>2868</v>
      </c>
      <c r="W2876">
        <v>254.98778516860932</v>
      </c>
      <c r="AQ2876">
        <f>SMALL('Iter No Test'!$W$9:$W$5008,2874)</f>
        <v>225.15783854780264</v>
      </c>
      <c r="AR2876">
        <f>1/(COUNT('Iter No Test'!$W$9:$W$5008)-1)+$AR$2875</f>
        <v>0.57471494298860182</v>
      </c>
    </row>
    <row r="2877" spans="22:44">
      <c r="V2877">
        <v>2869</v>
      </c>
      <c r="W2877">
        <v>269.04144562647718</v>
      </c>
      <c r="AQ2877">
        <f>SMALL('Iter No Test'!$W$9:$W$5008,2875)</f>
        <v>225.21637658837213</v>
      </c>
      <c r="AR2877">
        <f>1/(COUNT('Iter No Test'!$W$9:$W$5008)-1)+$AR$2876</f>
        <v>0.57491498299660337</v>
      </c>
    </row>
    <row r="2878" spans="22:44">
      <c r="V2878">
        <v>2870</v>
      </c>
      <c r="W2878">
        <v>95.672262075357963</v>
      </c>
      <c r="AQ2878">
        <f>SMALL('Iter No Test'!$W$9:$W$5008,2876)</f>
        <v>225.24286537214428</v>
      </c>
      <c r="AR2878">
        <f>1/(COUNT('Iter No Test'!$W$9:$W$5008)-1)+$AR$2877</f>
        <v>0.57511502300460493</v>
      </c>
    </row>
    <row r="2879" spans="22:44">
      <c r="V2879">
        <v>2871</v>
      </c>
      <c r="W2879">
        <v>357.59121905797201</v>
      </c>
      <c r="AQ2879">
        <f>SMALL('Iter No Test'!$W$9:$W$5008,2877)</f>
        <v>225.32640864719298</v>
      </c>
      <c r="AR2879">
        <f>1/(COUNT('Iter No Test'!$W$9:$W$5008)-1)+$AR$2878</f>
        <v>0.57531506301260649</v>
      </c>
    </row>
    <row r="2880" spans="22:44">
      <c r="V2880">
        <v>2872</v>
      </c>
      <c r="W2880">
        <v>180.69840397577735</v>
      </c>
      <c r="AQ2880">
        <f>SMALL('Iter No Test'!$W$9:$W$5008,2878)</f>
        <v>225.33189738777531</v>
      </c>
      <c r="AR2880">
        <f>1/(COUNT('Iter No Test'!$W$9:$W$5008)-1)+$AR$2879</f>
        <v>0.57551510302060804</v>
      </c>
    </row>
    <row r="2881" spans="22:44">
      <c r="V2881">
        <v>2873</v>
      </c>
      <c r="W2881">
        <v>224.82574830666164</v>
      </c>
      <c r="AQ2881">
        <f>SMALL('Iter No Test'!$W$9:$W$5008,2879)</f>
        <v>225.33531745183626</v>
      </c>
      <c r="AR2881">
        <f>1/(COUNT('Iter No Test'!$W$9:$W$5008)-1)+$AR$2880</f>
        <v>0.5757151430286096</v>
      </c>
    </row>
    <row r="2882" spans="22:44">
      <c r="V2882">
        <v>2874</v>
      </c>
      <c r="W2882">
        <v>100.74268721543429</v>
      </c>
      <c r="AQ2882">
        <f>SMALL('Iter No Test'!$W$9:$W$5008,2880)</f>
        <v>225.36659822365243</v>
      </c>
      <c r="AR2882">
        <f>1/(COUNT('Iter No Test'!$W$9:$W$5008)-1)+$AR$2881</f>
        <v>0.57591518303661116</v>
      </c>
    </row>
    <row r="2883" spans="22:44">
      <c r="V2883">
        <v>2875</v>
      </c>
      <c r="W2883">
        <v>157.05516678192953</v>
      </c>
      <c r="AQ2883">
        <f>SMALL('Iter No Test'!$W$9:$W$5008,2881)</f>
        <v>225.39724041038633</v>
      </c>
      <c r="AR2883">
        <f>1/(COUNT('Iter No Test'!$W$9:$W$5008)-1)+$AR$2882</f>
        <v>0.57611522304461271</v>
      </c>
    </row>
    <row r="2884" spans="22:44">
      <c r="V2884">
        <v>2876</v>
      </c>
      <c r="W2884">
        <v>241.25904261488895</v>
      </c>
      <c r="AQ2884">
        <f>SMALL('Iter No Test'!$W$9:$W$5008,2882)</f>
        <v>225.47865816012239</v>
      </c>
      <c r="AR2884">
        <f>1/(COUNT('Iter No Test'!$W$9:$W$5008)-1)+$AR$2883</f>
        <v>0.57631526305261427</v>
      </c>
    </row>
    <row r="2885" spans="22:44">
      <c r="V2885">
        <v>2877</v>
      </c>
      <c r="W2885">
        <v>257.61048669745696</v>
      </c>
      <c r="AQ2885">
        <f>SMALL('Iter No Test'!$W$9:$W$5008,2883)</f>
        <v>225.48342114950484</v>
      </c>
      <c r="AR2885">
        <f>1/(COUNT('Iter No Test'!$W$9:$W$5008)-1)+$AR$2884</f>
        <v>0.57651530306061582</v>
      </c>
    </row>
    <row r="2886" spans="22:44">
      <c r="V2886">
        <v>2878</v>
      </c>
      <c r="W2886">
        <v>166.75314650749854</v>
      </c>
      <c r="AQ2886">
        <f>SMALL('Iter No Test'!$W$9:$W$5008,2884)</f>
        <v>225.50210827072848</v>
      </c>
      <c r="AR2886">
        <f>1/(COUNT('Iter No Test'!$W$9:$W$5008)-1)+$AR$2885</f>
        <v>0.57671534306861738</v>
      </c>
    </row>
    <row r="2887" spans="22:44">
      <c r="V2887">
        <v>2879</v>
      </c>
      <c r="W2887">
        <v>172.86752302026213</v>
      </c>
      <c r="AQ2887">
        <f>SMALL('Iter No Test'!$W$9:$W$5008,2885)</f>
        <v>225.52430357666339</v>
      </c>
      <c r="AR2887">
        <f>1/(COUNT('Iter No Test'!$W$9:$W$5008)-1)+$AR$2886</f>
        <v>0.57691538307661894</v>
      </c>
    </row>
    <row r="2888" spans="22:44">
      <c r="V2888">
        <v>2880</v>
      </c>
      <c r="W2888">
        <v>165.175506814041</v>
      </c>
      <c r="AQ2888">
        <f>SMALL('Iter No Test'!$W$9:$W$5008,2886)</f>
        <v>225.5714775517194</v>
      </c>
      <c r="AR2888">
        <f>1/(COUNT('Iter No Test'!$W$9:$W$5008)-1)+$AR$2887</f>
        <v>0.57711542308462049</v>
      </c>
    </row>
    <row r="2889" spans="22:44">
      <c r="V2889">
        <v>2881</v>
      </c>
      <c r="W2889">
        <v>200.5888005052619</v>
      </c>
      <c r="AQ2889">
        <f>SMALL('Iter No Test'!$W$9:$W$5008,2887)</f>
        <v>225.59860861129664</v>
      </c>
      <c r="AR2889">
        <f>1/(COUNT('Iter No Test'!$W$9:$W$5008)-1)+$AR$2888</f>
        <v>0.57731546309262205</v>
      </c>
    </row>
    <row r="2890" spans="22:44">
      <c r="V2890">
        <v>2882</v>
      </c>
      <c r="W2890">
        <v>300.14986391973662</v>
      </c>
      <c r="AQ2890">
        <f>SMALL('Iter No Test'!$W$9:$W$5008,2888)</f>
        <v>225.68502355811708</v>
      </c>
      <c r="AR2890">
        <f>1/(COUNT('Iter No Test'!$W$9:$W$5008)-1)+$AR$2889</f>
        <v>0.57751550310062361</v>
      </c>
    </row>
    <row r="2891" spans="22:44">
      <c r="V2891">
        <v>2883</v>
      </c>
      <c r="W2891">
        <v>77.862913535017483</v>
      </c>
      <c r="AQ2891">
        <f>SMALL('Iter No Test'!$W$9:$W$5008,2889)</f>
        <v>225.74774856396328</v>
      </c>
      <c r="AR2891">
        <f>1/(COUNT('Iter No Test'!$W$9:$W$5008)-1)+$AR$2890</f>
        <v>0.57771554310862516</v>
      </c>
    </row>
    <row r="2892" spans="22:44">
      <c r="V2892">
        <v>2884</v>
      </c>
      <c r="W2892">
        <v>275.87047084542576</v>
      </c>
      <c r="AQ2892">
        <f>SMALL('Iter No Test'!$W$9:$W$5008,2890)</f>
        <v>225.77258037951117</v>
      </c>
      <c r="AR2892">
        <f>1/(COUNT('Iter No Test'!$W$9:$W$5008)-1)+$AR$2891</f>
        <v>0.57791558311662672</v>
      </c>
    </row>
    <row r="2893" spans="22:44">
      <c r="V2893">
        <v>2885</v>
      </c>
      <c r="W2893">
        <v>325.37673293541843</v>
      </c>
      <c r="AQ2893">
        <f>SMALL('Iter No Test'!$W$9:$W$5008,2891)</f>
        <v>225.85903709856422</v>
      </c>
      <c r="AR2893">
        <f>1/(COUNT('Iter No Test'!$W$9:$W$5008)-1)+$AR$2892</f>
        <v>0.57811562312462828</v>
      </c>
    </row>
    <row r="2894" spans="22:44">
      <c r="V2894">
        <v>2886</v>
      </c>
      <c r="W2894">
        <v>151.33195371478598</v>
      </c>
      <c r="AQ2894">
        <f>SMALL('Iter No Test'!$W$9:$W$5008,2892)</f>
        <v>225.86864814570708</v>
      </c>
      <c r="AR2894">
        <f>1/(COUNT('Iter No Test'!$W$9:$W$5008)-1)+$AR$2893</f>
        <v>0.57831566313262983</v>
      </c>
    </row>
    <row r="2895" spans="22:44">
      <c r="V2895">
        <v>2887</v>
      </c>
      <c r="W2895">
        <v>213.84000157453437</v>
      </c>
      <c r="AQ2895">
        <f>SMALL('Iter No Test'!$W$9:$W$5008,2893)</f>
        <v>225.89017428037226</v>
      </c>
      <c r="AR2895">
        <f>1/(COUNT('Iter No Test'!$W$9:$W$5008)-1)+$AR$2894</f>
        <v>0.57851570314063139</v>
      </c>
    </row>
    <row r="2896" spans="22:44">
      <c r="V2896">
        <v>2888</v>
      </c>
      <c r="W2896">
        <v>52.478577022953459</v>
      </c>
      <c r="AQ2896">
        <f>SMALL('Iter No Test'!$W$9:$W$5008,2894)</f>
        <v>225.94247859166794</v>
      </c>
      <c r="AR2896">
        <f>1/(COUNT('Iter No Test'!$W$9:$W$5008)-1)+$AR$2895</f>
        <v>0.57871574314863294</v>
      </c>
    </row>
    <row r="2897" spans="22:44">
      <c r="V2897">
        <v>2889</v>
      </c>
      <c r="W2897">
        <v>416.41037854404215</v>
      </c>
      <c r="AQ2897">
        <f>SMALL('Iter No Test'!$W$9:$W$5008,2895)</f>
        <v>225.97909847644939</v>
      </c>
      <c r="AR2897">
        <f>1/(COUNT('Iter No Test'!$W$9:$W$5008)-1)+$AR$2896</f>
        <v>0.5789157831566345</v>
      </c>
    </row>
    <row r="2898" spans="22:44">
      <c r="V2898">
        <v>2890</v>
      </c>
      <c r="W2898">
        <v>166.31663579877898</v>
      </c>
      <c r="AQ2898">
        <f>SMALL('Iter No Test'!$W$9:$W$5008,2896)</f>
        <v>226.1350591727502</v>
      </c>
      <c r="AR2898">
        <f>1/(COUNT('Iter No Test'!$W$9:$W$5008)-1)+$AR$2897</f>
        <v>0.57911582316463606</v>
      </c>
    </row>
    <row r="2899" spans="22:44">
      <c r="V2899">
        <v>2891</v>
      </c>
      <c r="W2899">
        <v>405.95555200105446</v>
      </c>
      <c r="AQ2899">
        <f>SMALL('Iter No Test'!$W$9:$W$5008,2897)</f>
        <v>226.22551380785197</v>
      </c>
      <c r="AR2899">
        <f>1/(COUNT('Iter No Test'!$W$9:$W$5008)-1)+$AR$2898</f>
        <v>0.57931586317263761</v>
      </c>
    </row>
    <row r="2900" spans="22:44">
      <c r="V2900">
        <v>2892</v>
      </c>
      <c r="W2900">
        <v>66.429490961419759</v>
      </c>
      <c r="AQ2900">
        <f>SMALL('Iter No Test'!$W$9:$W$5008,2898)</f>
        <v>226.35012103873345</v>
      </c>
      <c r="AR2900">
        <f>1/(COUNT('Iter No Test'!$W$9:$W$5008)-1)+$AR$2899</f>
        <v>0.57951590318063917</v>
      </c>
    </row>
    <row r="2901" spans="22:44">
      <c r="V2901">
        <v>2893</v>
      </c>
      <c r="W2901">
        <v>377.92300216409353</v>
      </c>
      <c r="AQ2901">
        <f>SMALL('Iter No Test'!$W$9:$W$5008,2899)</f>
        <v>226.35026001851892</v>
      </c>
      <c r="AR2901">
        <f>1/(COUNT('Iter No Test'!$W$9:$W$5008)-1)+$AR$2900</f>
        <v>0.57971594318864073</v>
      </c>
    </row>
    <row r="2902" spans="22:44">
      <c r="V2902">
        <v>2894</v>
      </c>
      <c r="W2902">
        <v>182.71831660152475</v>
      </c>
      <c r="AQ2902">
        <f>SMALL('Iter No Test'!$W$9:$W$5008,2900)</f>
        <v>226.38283982366826</v>
      </c>
      <c r="AR2902">
        <f>1/(COUNT('Iter No Test'!$W$9:$W$5008)-1)+$AR$2901</f>
        <v>0.57991598319664228</v>
      </c>
    </row>
    <row r="2903" spans="22:44">
      <c r="V2903">
        <v>2895</v>
      </c>
      <c r="W2903">
        <v>342.10407580313966</v>
      </c>
      <c r="AQ2903">
        <f>SMALL('Iter No Test'!$W$9:$W$5008,2901)</f>
        <v>226.40059424928057</v>
      </c>
      <c r="AR2903">
        <f>1/(COUNT('Iter No Test'!$W$9:$W$5008)-1)+$AR$2902</f>
        <v>0.58011602320464384</v>
      </c>
    </row>
    <row r="2904" spans="22:44">
      <c r="V2904">
        <v>2896</v>
      </c>
      <c r="W2904">
        <v>80.393394456658484</v>
      </c>
      <c r="AQ2904">
        <f>SMALL('Iter No Test'!$W$9:$W$5008,2902)</f>
        <v>226.52547121924056</v>
      </c>
      <c r="AR2904">
        <f>1/(COUNT('Iter No Test'!$W$9:$W$5008)-1)+$AR$2903</f>
        <v>0.58031606321264539</v>
      </c>
    </row>
    <row r="2905" spans="22:44">
      <c r="V2905">
        <v>2897</v>
      </c>
      <c r="W2905">
        <v>312.02963271307681</v>
      </c>
      <c r="AQ2905">
        <f>SMALL('Iter No Test'!$W$9:$W$5008,2903)</f>
        <v>226.55336454368685</v>
      </c>
      <c r="AR2905">
        <f>1/(COUNT('Iter No Test'!$W$9:$W$5008)-1)+$AR$2904</f>
        <v>0.58051610322064695</v>
      </c>
    </row>
    <row r="2906" spans="22:44">
      <c r="V2906">
        <v>2898</v>
      </c>
      <c r="W2906">
        <v>329.38778693138863</v>
      </c>
      <c r="AQ2906">
        <f>SMALL('Iter No Test'!$W$9:$W$5008,2904)</f>
        <v>226.5761844022521</v>
      </c>
      <c r="AR2906">
        <f>1/(COUNT('Iter No Test'!$W$9:$W$5008)-1)+$AR$2905</f>
        <v>0.58071614322864851</v>
      </c>
    </row>
    <row r="2907" spans="22:44">
      <c r="V2907">
        <v>2899</v>
      </c>
      <c r="W2907">
        <v>251.9539129734448</v>
      </c>
      <c r="AQ2907">
        <f>SMALL('Iter No Test'!$W$9:$W$5008,2905)</f>
        <v>226.66563509908025</v>
      </c>
      <c r="AR2907">
        <f>1/(COUNT('Iter No Test'!$W$9:$W$5008)-1)+$AR$2906</f>
        <v>0.58091618323665006</v>
      </c>
    </row>
    <row r="2908" spans="22:44">
      <c r="V2908">
        <v>2900</v>
      </c>
      <c r="W2908">
        <v>150.17067140999166</v>
      </c>
      <c r="AQ2908">
        <f>SMALL('Iter No Test'!$W$9:$W$5008,2906)</f>
        <v>226.72588468674826</v>
      </c>
      <c r="AR2908">
        <f>1/(COUNT('Iter No Test'!$W$9:$W$5008)-1)+$AR$2907</f>
        <v>0.58111622324465162</v>
      </c>
    </row>
    <row r="2909" spans="22:44">
      <c r="V2909">
        <v>2901</v>
      </c>
      <c r="W2909">
        <v>70.429128543397439</v>
      </c>
      <c r="AQ2909">
        <f>SMALL('Iter No Test'!$W$9:$W$5008,2907)</f>
        <v>226.74556851809839</v>
      </c>
      <c r="AR2909">
        <f>1/(COUNT('Iter No Test'!$W$9:$W$5008)-1)+$AR$2908</f>
        <v>0.58131626325265318</v>
      </c>
    </row>
    <row r="2910" spans="22:44">
      <c r="V2910">
        <v>2902</v>
      </c>
      <c r="W2910">
        <v>258.57136026312219</v>
      </c>
      <c r="AQ2910">
        <f>SMALL('Iter No Test'!$W$9:$W$5008,2908)</f>
        <v>226.81643448643524</v>
      </c>
      <c r="AR2910">
        <f>1/(COUNT('Iter No Test'!$W$9:$W$5008)-1)+$AR$2909</f>
        <v>0.58151630326065473</v>
      </c>
    </row>
    <row r="2911" spans="22:44">
      <c r="V2911">
        <v>2903</v>
      </c>
      <c r="W2911">
        <v>289.41704261795519</v>
      </c>
      <c r="AQ2911">
        <f>SMALL('Iter No Test'!$W$9:$W$5008,2909)</f>
        <v>226.83163649789566</v>
      </c>
      <c r="AR2911">
        <f>1/(COUNT('Iter No Test'!$W$9:$W$5008)-1)+$AR$2910</f>
        <v>0.58171634326865629</v>
      </c>
    </row>
    <row r="2912" spans="22:44">
      <c r="V2912">
        <v>2904</v>
      </c>
      <c r="W2912">
        <v>112.7699122874008</v>
      </c>
      <c r="AQ2912">
        <f>SMALL('Iter No Test'!$W$9:$W$5008,2910)</f>
        <v>226.85258597841909</v>
      </c>
      <c r="AR2912">
        <f>1/(COUNT('Iter No Test'!$W$9:$W$5008)-1)+$AR$2911</f>
        <v>0.58191638327665784</v>
      </c>
    </row>
    <row r="2913" spans="22:44">
      <c r="V2913">
        <v>2905</v>
      </c>
      <c r="W2913">
        <v>165.90587190264</v>
      </c>
      <c r="AQ2913">
        <f>SMALL('Iter No Test'!$W$9:$W$5008,2911)</f>
        <v>226.86436866975544</v>
      </c>
      <c r="AR2913">
        <f>1/(COUNT('Iter No Test'!$W$9:$W$5008)-1)+$AR$2912</f>
        <v>0.5821164232846594</v>
      </c>
    </row>
    <row r="2914" spans="22:44">
      <c r="V2914">
        <v>2906</v>
      </c>
      <c r="W2914">
        <v>230.55572134189231</v>
      </c>
      <c r="AQ2914">
        <f>SMALL('Iter No Test'!$W$9:$W$5008,2912)</f>
        <v>226.86621114324214</v>
      </c>
      <c r="AR2914">
        <f>1/(COUNT('Iter No Test'!$W$9:$W$5008)-1)+$AR$2913</f>
        <v>0.58231646329266096</v>
      </c>
    </row>
    <row r="2915" spans="22:44">
      <c r="V2915">
        <v>2907</v>
      </c>
      <c r="W2915">
        <v>182.69615657082156</v>
      </c>
      <c r="AQ2915">
        <f>SMALL('Iter No Test'!$W$9:$W$5008,2913)</f>
        <v>226.87712726096612</v>
      </c>
      <c r="AR2915">
        <f>1/(COUNT('Iter No Test'!$W$9:$W$5008)-1)+$AR$2914</f>
        <v>0.58251650330066251</v>
      </c>
    </row>
    <row r="2916" spans="22:44">
      <c r="V2916">
        <v>2908</v>
      </c>
      <c r="W2916">
        <v>102.78593991282472</v>
      </c>
      <c r="AQ2916">
        <f>SMALL('Iter No Test'!$W$9:$W$5008,2914)</f>
        <v>226.97873400131652</v>
      </c>
      <c r="AR2916">
        <f>1/(COUNT('Iter No Test'!$W$9:$W$5008)-1)+$AR$2915</f>
        <v>0.58271654330866407</v>
      </c>
    </row>
    <row r="2917" spans="22:44">
      <c r="V2917">
        <v>2909</v>
      </c>
      <c r="W2917">
        <v>121.63867107757562</v>
      </c>
      <c r="AQ2917">
        <f>SMALL('Iter No Test'!$W$9:$W$5008,2915)</f>
        <v>227.11072281491241</v>
      </c>
      <c r="AR2917">
        <f>1/(COUNT('Iter No Test'!$W$9:$W$5008)-1)+$AR$2916</f>
        <v>0.58291658331666563</v>
      </c>
    </row>
    <row r="2918" spans="22:44">
      <c r="V2918">
        <v>2910</v>
      </c>
      <c r="W2918">
        <v>196.2705192208868</v>
      </c>
      <c r="AQ2918">
        <f>SMALL('Iter No Test'!$W$9:$W$5008,2916)</f>
        <v>227.18903020301869</v>
      </c>
      <c r="AR2918">
        <f>1/(COUNT('Iter No Test'!$W$9:$W$5008)-1)+$AR$2917</f>
        <v>0.58311662332466718</v>
      </c>
    </row>
    <row r="2919" spans="22:44">
      <c r="V2919">
        <v>2911</v>
      </c>
      <c r="W2919">
        <v>287.04849048995123</v>
      </c>
      <c r="AQ2919">
        <f>SMALL('Iter No Test'!$W$9:$W$5008,2917)</f>
        <v>227.26322534904617</v>
      </c>
      <c r="AR2919">
        <f>1/(COUNT('Iter No Test'!$W$9:$W$5008)-1)+$AR$2918</f>
        <v>0.58331666333266874</v>
      </c>
    </row>
    <row r="2920" spans="22:44">
      <c r="V2920">
        <v>2912</v>
      </c>
      <c r="W2920">
        <v>116.90012670686143</v>
      </c>
      <c r="AQ2920">
        <f>SMALL('Iter No Test'!$W$9:$W$5008,2918)</f>
        <v>227.32258058831445</v>
      </c>
      <c r="AR2920">
        <f>1/(COUNT('Iter No Test'!$W$9:$W$5008)-1)+$AR$2919</f>
        <v>0.5835167033406703</v>
      </c>
    </row>
    <row r="2921" spans="22:44">
      <c r="V2921">
        <v>2913</v>
      </c>
      <c r="W2921">
        <v>252.0882785666756</v>
      </c>
      <c r="AQ2921">
        <f>SMALL('Iter No Test'!$W$9:$W$5008,2919)</f>
        <v>227.35424887234666</v>
      </c>
      <c r="AR2921">
        <f>1/(COUNT('Iter No Test'!$W$9:$W$5008)-1)+$AR$2920</f>
        <v>0.58371674334867185</v>
      </c>
    </row>
    <row r="2922" spans="22:44">
      <c r="V2922">
        <v>2914</v>
      </c>
      <c r="W2922">
        <v>327.74356149796154</v>
      </c>
      <c r="AQ2922">
        <f>SMALL('Iter No Test'!$W$9:$W$5008,2920)</f>
        <v>227.36454031526355</v>
      </c>
      <c r="AR2922">
        <f>1/(COUNT('Iter No Test'!$W$9:$W$5008)-1)+$AR$2921</f>
        <v>0.58391678335667341</v>
      </c>
    </row>
    <row r="2923" spans="22:44">
      <c r="V2923">
        <v>2915</v>
      </c>
      <c r="W2923">
        <v>57.832948065496822</v>
      </c>
      <c r="AQ2923">
        <f>SMALL('Iter No Test'!$W$9:$W$5008,2921)</f>
        <v>227.45874487805258</v>
      </c>
      <c r="AR2923">
        <f>1/(COUNT('Iter No Test'!$W$9:$W$5008)-1)+$AR$2922</f>
        <v>0.58411682336467496</v>
      </c>
    </row>
    <row r="2924" spans="22:44">
      <c r="V2924">
        <v>2916</v>
      </c>
      <c r="W2924">
        <v>223.24947571014897</v>
      </c>
      <c r="AQ2924">
        <f>SMALL('Iter No Test'!$W$9:$W$5008,2922)</f>
        <v>227.50106427446559</v>
      </c>
      <c r="AR2924">
        <f>1/(COUNT('Iter No Test'!$W$9:$W$5008)-1)+$AR$2923</f>
        <v>0.58431686337267652</v>
      </c>
    </row>
    <row r="2925" spans="22:44">
      <c r="V2925">
        <v>2917</v>
      </c>
      <c r="W2925">
        <v>164.49774560126005</v>
      </c>
      <c r="AQ2925">
        <f>SMALL('Iter No Test'!$W$9:$W$5008,2923)</f>
        <v>227.51585982272286</v>
      </c>
      <c r="AR2925">
        <f>1/(COUNT('Iter No Test'!$W$9:$W$5008)-1)+$AR$2924</f>
        <v>0.58451690338067808</v>
      </c>
    </row>
    <row r="2926" spans="22:44">
      <c r="V2926">
        <v>2918</v>
      </c>
      <c r="W2926">
        <v>198.41323970429494</v>
      </c>
      <c r="AQ2926">
        <f>SMALL('Iter No Test'!$W$9:$W$5008,2924)</f>
        <v>227.53690057933699</v>
      </c>
      <c r="AR2926">
        <f>1/(COUNT('Iter No Test'!$W$9:$W$5008)-1)+$AR$2925</f>
        <v>0.58471694338867963</v>
      </c>
    </row>
    <row r="2927" spans="22:44">
      <c r="V2927">
        <v>2919</v>
      </c>
      <c r="W2927">
        <v>239.66647444085757</v>
      </c>
      <c r="AQ2927">
        <f>SMALL('Iter No Test'!$W$9:$W$5008,2925)</f>
        <v>227.55047767382348</v>
      </c>
      <c r="AR2927">
        <f>1/(COUNT('Iter No Test'!$W$9:$W$5008)-1)+$AR$2926</f>
        <v>0.58491698339668119</v>
      </c>
    </row>
    <row r="2928" spans="22:44">
      <c r="V2928">
        <v>2920</v>
      </c>
      <c r="W2928">
        <v>375.26510821195359</v>
      </c>
      <c r="AQ2928">
        <f>SMALL('Iter No Test'!$W$9:$W$5008,2926)</f>
        <v>227.56926096944503</v>
      </c>
      <c r="AR2928">
        <f>1/(COUNT('Iter No Test'!$W$9:$W$5008)-1)+$AR$2927</f>
        <v>0.58511702340468275</v>
      </c>
    </row>
    <row r="2929" spans="22:44">
      <c r="V2929">
        <v>2921</v>
      </c>
      <c r="W2929">
        <v>197.13535906373983</v>
      </c>
      <c r="AQ2929">
        <f>SMALL('Iter No Test'!$W$9:$W$5008,2927)</f>
        <v>227.64206665603569</v>
      </c>
      <c r="AR2929">
        <f>1/(COUNT('Iter No Test'!$W$9:$W$5008)-1)+$AR$2928</f>
        <v>0.5853170634126843</v>
      </c>
    </row>
    <row r="2930" spans="22:44">
      <c r="V2930">
        <v>2922</v>
      </c>
      <c r="W2930">
        <v>268.34742337989314</v>
      </c>
      <c r="AQ2930">
        <f>SMALL('Iter No Test'!$W$9:$W$5008,2928)</f>
        <v>227.68417053030498</v>
      </c>
      <c r="AR2930">
        <f>1/(COUNT('Iter No Test'!$W$9:$W$5008)-1)+$AR$2929</f>
        <v>0.58551710342068586</v>
      </c>
    </row>
    <row r="2931" spans="22:44">
      <c r="V2931">
        <v>2923</v>
      </c>
      <c r="W2931">
        <v>397.67018764257227</v>
      </c>
      <c r="AQ2931">
        <f>SMALL('Iter No Test'!$W$9:$W$5008,2929)</f>
        <v>227.72348132417699</v>
      </c>
      <c r="AR2931">
        <f>1/(COUNT('Iter No Test'!$W$9:$W$5008)-1)+$AR$2930</f>
        <v>0.58571714342868741</v>
      </c>
    </row>
    <row r="2932" spans="22:44">
      <c r="V2932">
        <v>2924</v>
      </c>
      <c r="W2932">
        <v>358.23425256355472</v>
      </c>
      <c r="AQ2932">
        <f>SMALL('Iter No Test'!$W$9:$W$5008,2930)</f>
        <v>227.72617001979393</v>
      </c>
      <c r="AR2932">
        <f>1/(COUNT('Iter No Test'!$W$9:$W$5008)-1)+$AR$2931</f>
        <v>0.58591718343668897</v>
      </c>
    </row>
    <row r="2933" spans="22:44">
      <c r="V2933">
        <v>2925</v>
      </c>
      <c r="W2933">
        <v>375.78280469313364</v>
      </c>
      <c r="AQ2933">
        <f>SMALL('Iter No Test'!$W$9:$W$5008,2931)</f>
        <v>227.73318496536496</v>
      </c>
      <c r="AR2933">
        <f>1/(COUNT('Iter No Test'!$W$9:$W$5008)-1)+$AR$2932</f>
        <v>0.58611722344469053</v>
      </c>
    </row>
    <row r="2934" spans="22:44">
      <c r="V2934">
        <v>2926</v>
      </c>
      <c r="W2934">
        <v>212.31239179080151</v>
      </c>
      <c r="AQ2934">
        <f>SMALL('Iter No Test'!$W$9:$W$5008,2932)</f>
        <v>227.74743266466561</v>
      </c>
      <c r="AR2934">
        <f>1/(COUNT('Iter No Test'!$W$9:$W$5008)-1)+$AR$2933</f>
        <v>0.58631726345269208</v>
      </c>
    </row>
    <row r="2935" spans="22:44">
      <c r="V2935">
        <v>2927</v>
      </c>
      <c r="W2935">
        <v>152.8586435653749</v>
      </c>
      <c r="AQ2935">
        <f>SMALL('Iter No Test'!$W$9:$W$5008,2933)</f>
        <v>227.760168932684</v>
      </c>
      <c r="AR2935">
        <f>1/(COUNT('Iter No Test'!$W$9:$W$5008)-1)+$AR$2934</f>
        <v>0.58651730346069364</v>
      </c>
    </row>
    <row r="2936" spans="22:44">
      <c r="V2936">
        <v>2928</v>
      </c>
      <c r="W2936">
        <v>187.76477450063851</v>
      </c>
      <c r="AQ2936">
        <f>SMALL('Iter No Test'!$W$9:$W$5008,2934)</f>
        <v>227.86002596820339</v>
      </c>
      <c r="AR2936">
        <f>1/(COUNT('Iter No Test'!$W$9:$W$5008)-1)+$AR$2935</f>
        <v>0.5867173434686952</v>
      </c>
    </row>
    <row r="2937" spans="22:44">
      <c r="V2937">
        <v>2929</v>
      </c>
      <c r="W2937">
        <v>188.9601260989526</v>
      </c>
      <c r="AQ2937">
        <f>SMALL('Iter No Test'!$W$9:$W$5008,2935)</f>
        <v>227.86026601193703</v>
      </c>
      <c r="AR2937">
        <f>1/(COUNT('Iter No Test'!$W$9:$W$5008)-1)+$AR$2936</f>
        <v>0.58691738347669675</v>
      </c>
    </row>
    <row r="2938" spans="22:44">
      <c r="V2938">
        <v>2930</v>
      </c>
      <c r="W2938">
        <v>257.00705067748208</v>
      </c>
      <c r="AQ2938">
        <f>SMALL('Iter No Test'!$W$9:$W$5008,2936)</f>
        <v>227.86398174070652</v>
      </c>
      <c r="AR2938">
        <f>1/(COUNT('Iter No Test'!$W$9:$W$5008)-1)+$AR$2937</f>
        <v>0.58711742348469831</v>
      </c>
    </row>
    <row r="2939" spans="22:44">
      <c r="V2939">
        <v>2931</v>
      </c>
      <c r="W2939">
        <v>147.59527289351939</v>
      </c>
      <c r="AQ2939">
        <f>SMALL('Iter No Test'!$W$9:$W$5008,2937)</f>
        <v>228.09634870370101</v>
      </c>
      <c r="AR2939">
        <f>1/(COUNT('Iter No Test'!$W$9:$W$5008)-1)+$AR$2938</f>
        <v>0.58731746349269986</v>
      </c>
    </row>
    <row r="2940" spans="22:44">
      <c r="V2940">
        <v>2932</v>
      </c>
      <c r="W2940">
        <v>125.92788472362977</v>
      </c>
      <c r="AQ2940">
        <f>SMALL('Iter No Test'!$W$9:$W$5008,2938)</f>
        <v>228.10025681782597</v>
      </c>
      <c r="AR2940">
        <f>1/(COUNT('Iter No Test'!$W$9:$W$5008)-1)+$AR$2939</f>
        <v>0.58751750350070142</v>
      </c>
    </row>
    <row r="2941" spans="22:44">
      <c r="V2941">
        <v>2933</v>
      </c>
      <c r="W2941">
        <v>110.91783801211533</v>
      </c>
      <c r="AQ2941">
        <f>SMALL('Iter No Test'!$W$9:$W$5008,2939)</f>
        <v>228.15859874947273</v>
      </c>
      <c r="AR2941">
        <f>1/(COUNT('Iter No Test'!$W$9:$W$5008)-1)+$AR$2940</f>
        <v>0.58771754350870298</v>
      </c>
    </row>
    <row r="2942" spans="22:44">
      <c r="V2942">
        <v>2934</v>
      </c>
      <c r="W2942">
        <v>137.91822513140403</v>
      </c>
      <c r="AQ2942">
        <f>SMALL('Iter No Test'!$W$9:$W$5008,2940)</f>
        <v>228.21377218782467</v>
      </c>
      <c r="AR2942">
        <f>1/(COUNT('Iter No Test'!$W$9:$W$5008)-1)+$AR$2941</f>
        <v>0.58791758351670453</v>
      </c>
    </row>
    <row r="2943" spans="22:44">
      <c r="V2943">
        <v>2935</v>
      </c>
      <c r="W2943">
        <v>266.9730942664695</v>
      </c>
      <c r="AQ2943">
        <f>SMALL('Iter No Test'!$W$9:$W$5008,2941)</f>
        <v>228.26523981570259</v>
      </c>
      <c r="AR2943">
        <f>1/(COUNT('Iter No Test'!$W$9:$W$5008)-1)+$AR$2942</f>
        <v>0.58811762352470609</v>
      </c>
    </row>
    <row r="2944" spans="22:44">
      <c r="V2944">
        <v>2936</v>
      </c>
      <c r="W2944">
        <v>281.35204449088724</v>
      </c>
      <c r="AQ2944">
        <f>SMALL('Iter No Test'!$W$9:$W$5008,2942)</f>
        <v>228.29281998163583</v>
      </c>
      <c r="AR2944">
        <f>1/(COUNT('Iter No Test'!$W$9:$W$5008)-1)+$AR$2943</f>
        <v>0.58831766353270765</v>
      </c>
    </row>
    <row r="2945" spans="22:44">
      <c r="V2945">
        <v>2937</v>
      </c>
      <c r="W2945">
        <v>135.68073794305695</v>
      </c>
      <c r="AQ2945">
        <f>SMALL('Iter No Test'!$W$9:$W$5008,2943)</f>
        <v>228.35310964665317</v>
      </c>
      <c r="AR2945">
        <f>1/(COUNT('Iter No Test'!$W$9:$W$5008)-1)+$AR$2944</f>
        <v>0.5885177035407092</v>
      </c>
    </row>
    <row r="2946" spans="22:44">
      <c r="V2946">
        <v>2938</v>
      </c>
      <c r="W2946">
        <v>213.26587699356398</v>
      </c>
      <c r="AQ2946">
        <f>SMALL('Iter No Test'!$W$9:$W$5008,2944)</f>
        <v>228.37350975581813</v>
      </c>
      <c r="AR2946">
        <f>1/(COUNT('Iter No Test'!$W$9:$W$5008)-1)+$AR$2945</f>
        <v>0.58871774354871076</v>
      </c>
    </row>
    <row r="2947" spans="22:44">
      <c r="V2947">
        <v>2939</v>
      </c>
      <c r="W2947">
        <v>238.80199723877811</v>
      </c>
      <c r="AQ2947">
        <f>SMALL('Iter No Test'!$W$9:$W$5008,2945)</f>
        <v>228.38454949624372</v>
      </c>
      <c r="AR2947">
        <f>1/(COUNT('Iter No Test'!$W$9:$W$5008)-1)+$AR$2946</f>
        <v>0.58891778355671232</v>
      </c>
    </row>
    <row r="2948" spans="22:44">
      <c r="V2948">
        <v>2940</v>
      </c>
      <c r="W2948">
        <v>379.10777780144485</v>
      </c>
      <c r="AQ2948">
        <f>SMALL('Iter No Test'!$W$9:$W$5008,2946)</f>
        <v>228.38733660864204</v>
      </c>
      <c r="AR2948">
        <f>1/(COUNT('Iter No Test'!$W$9:$W$5008)-1)+$AR$2947</f>
        <v>0.58911782356471387</v>
      </c>
    </row>
    <row r="2949" spans="22:44">
      <c r="V2949">
        <v>2941</v>
      </c>
      <c r="W2949">
        <v>243.20790976982451</v>
      </c>
      <c r="AQ2949">
        <f>SMALL('Iter No Test'!$W$9:$W$5008,2947)</f>
        <v>228.49354401299428</v>
      </c>
      <c r="AR2949">
        <f>1/(COUNT('Iter No Test'!$W$9:$W$5008)-1)+$AR$2948</f>
        <v>0.58931786357271543</v>
      </c>
    </row>
    <row r="2950" spans="22:44">
      <c r="V2950">
        <v>2942</v>
      </c>
      <c r="W2950">
        <v>203.63020373095168</v>
      </c>
      <c r="AQ2950">
        <f>SMALL('Iter No Test'!$W$9:$W$5008,2948)</f>
        <v>228.53259066754009</v>
      </c>
      <c r="AR2950">
        <f>1/(COUNT('Iter No Test'!$W$9:$W$5008)-1)+$AR$2949</f>
        <v>0.58951790358071698</v>
      </c>
    </row>
    <row r="2951" spans="22:44">
      <c r="V2951">
        <v>2943</v>
      </c>
      <c r="W2951">
        <v>196.1228436606639</v>
      </c>
      <c r="AQ2951">
        <f>SMALL('Iter No Test'!$W$9:$W$5008,2949)</f>
        <v>228.56037585545567</v>
      </c>
      <c r="AR2951">
        <f>1/(COUNT('Iter No Test'!$W$9:$W$5008)-1)+$AR$2950</f>
        <v>0.58971794358871854</v>
      </c>
    </row>
    <row r="2952" spans="22:44">
      <c r="V2952">
        <v>2944</v>
      </c>
      <c r="W2952">
        <v>350.08834805596041</v>
      </c>
      <c r="AQ2952">
        <f>SMALL('Iter No Test'!$W$9:$W$5008,2950)</f>
        <v>228.57310049780219</v>
      </c>
      <c r="AR2952">
        <f>1/(COUNT('Iter No Test'!$W$9:$W$5008)-1)+$AR$2951</f>
        <v>0.5899179835967201</v>
      </c>
    </row>
    <row r="2953" spans="22:44">
      <c r="V2953">
        <v>2945</v>
      </c>
      <c r="W2953">
        <v>403.60323490697829</v>
      </c>
      <c r="AQ2953">
        <f>SMALL('Iter No Test'!$W$9:$W$5008,2951)</f>
        <v>228.59247679156047</v>
      </c>
      <c r="AR2953">
        <f>1/(COUNT('Iter No Test'!$W$9:$W$5008)-1)+$AR$2952</f>
        <v>0.59011802360472165</v>
      </c>
    </row>
    <row r="2954" spans="22:44">
      <c r="V2954">
        <v>2946</v>
      </c>
      <c r="W2954">
        <v>334.33828773073918</v>
      </c>
      <c r="AQ2954">
        <f>SMALL('Iter No Test'!$W$9:$W$5008,2952)</f>
        <v>228.62596570015091</v>
      </c>
      <c r="AR2954">
        <f>1/(COUNT('Iter No Test'!$W$9:$W$5008)-1)+$AR$2953</f>
        <v>0.59031806361272321</v>
      </c>
    </row>
    <row r="2955" spans="22:44">
      <c r="V2955">
        <v>2947</v>
      </c>
      <c r="W2955">
        <v>191.67603757346512</v>
      </c>
      <c r="AQ2955">
        <f>SMALL('Iter No Test'!$W$9:$W$5008,2953)</f>
        <v>228.64117565425852</v>
      </c>
      <c r="AR2955">
        <f>1/(COUNT('Iter No Test'!$W$9:$W$5008)-1)+$AR$2954</f>
        <v>0.59051810362072477</v>
      </c>
    </row>
    <row r="2956" spans="22:44">
      <c r="V2956">
        <v>2948</v>
      </c>
      <c r="W2956">
        <v>210.76793975136471</v>
      </c>
      <c r="AQ2956">
        <f>SMALL('Iter No Test'!$W$9:$W$5008,2954)</f>
        <v>228.67091701312796</v>
      </c>
      <c r="AR2956">
        <f>1/(COUNT('Iter No Test'!$W$9:$W$5008)-1)+$AR$2955</f>
        <v>0.59071814362872632</v>
      </c>
    </row>
    <row r="2957" spans="22:44">
      <c r="V2957">
        <v>2949</v>
      </c>
      <c r="W2957">
        <v>249.65368412231442</v>
      </c>
      <c r="AQ2957">
        <f>SMALL('Iter No Test'!$W$9:$W$5008,2955)</f>
        <v>228.71595464597578</v>
      </c>
      <c r="AR2957">
        <f>1/(COUNT('Iter No Test'!$W$9:$W$5008)-1)+$AR$2956</f>
        <v>0.59091818363672788</v>
      </c>
    </row>
    <row r="2958" spans="22:44">
      <c r="V2958">
        <v>2950</v>
      </c>
      <c r="W2958">
        <v>282.90418869437008</v>
      </c>
      <c r="AQ2958">
        <f>SMALL('Iter No Test'!$W$9:$W$5008,2956)</f>
        <v>228.71699270143418</v>
      </c>
      <c r="AR2958">
        <f>1/(COUNT('Iter No Test'!$W$9:$W$5008)-1)+$AR$2957</f>
        <v>0.59111822364472943</v>
      </c>
    </row>
    <row r="2959" spans="22:44">
      <c r="V2959">
        <v>2951</v>
      </c>
      <c r="W2959">
        <v>156.58170567134101</v>
      </c>
      <c r="AQ2959">
        <f>SMALL('Iter No Test'!$W$9:$W$5008,2957)</f>
        <v>228.75609535577766</v>
      </c>
      <c r="AR2959">
        <f>1/(COUNT('Iter No Test'!$W$9:$W$5008)-1)+$AR$2958</f>
        <v>0.59131826365273099</v>
      </c>
    </row>
    <row r="2960" spans="22:44">
      <c r="V2960">
        <v>2952</v>
      </c>
      <c r="W2960">
        <v>196.6275074696554</v>
      </c>
      <c r="AQ2960">
        <f>SMALL('Iter No Test'!$W$9:$W$5008,2958)</f>
        <v>228.79833175275303</v>
      </c>
      <c r="AR2960">
        <f>1/(COUNT('Iter No Test'!$W$9:$W$5008)-1)+$AR$2959</f>
        <v>0.59151830366073255</v>
      </c>
    </row>
    <row r="2961" spans="22:44">
      <c r="V2961">
        <v>2953</v>
      </c>
      <c r="W2961">
        <v>236.51306193761965</v>
      </c>
      <c r="AQ2961">
        <f>SMALL('Iter No Test'!$W$9:$W$5008,2959)</f>
        <v>228.81235555739752</v>
      </c>
      <c r="AR2961">
        <f>1/(COUNT('Iter No Test'!$W$9:$W$5008)-1)+$AR$2960</f>
        <v>0.5917183436687341</v>
      </c>
    </row>
    <row r="2962" spans="22:44">
      <c r="V2962">
        <v>2954</v>
      </c>
      <c r="W2962">
        <v>364.54404694834875</v>
      </c>
      <c r="AQ2962">
        <f>SMALL('Iter No Test'!$W$9:$W$5008,2960)</f>
        <v>228.81238907014142</v>
      </c>
      <c r="AR2962">
        <f>1/(COUNT('Iter No Test'!$W$9:$W$5008)-1)+$AR$2961</f>
        <v>0.59191838367673566</v>
      </c>
    </row>
    <row r="2963" spans="22:44">
      <c r="V2963">
        <v>2955</v>
      </c>
      <c r="W2963">
        <v>282.72519961424689</v>
      </c>
      <c r="AQ2963">
        <f>SMALL('Iter No Test'!$W$9:$W$5008,2961)</f>
        <v>228.86010547983642</v>
      </c>
      <c r="AR2963">
        <f>1/(COUNT('Iter No Test'!$W$9:$W$5008)-1)+$AR$2962</f>
        <v>0.59211842368473722</v>
      </c>
    </row>
    <row r="2964" spans="22:44">
      <c r="V2964">
        <v>2956</v>
      </c>
      <c r="W2964">
        <v>263.6470390317192</v>
      </c>
      <c r="AQ2964">
        <f>SMALL('Iter No Test'!$W$9:$W$5008,2962)</f>
        <v>228.89015665784379</v>
      </c>
      <c r="AR2964">
        <f>1/(COUNT('Iter No Test'!$W$9:$W$5008)-1)+$AR$2963</f>
        <v>0.59231846369273877</v>
      </c>
    </row>
    <row r="2965" spans="22:44">
      <c r="V2965">
        <v>2957</v>
      </c>
      <c r="W2965">
        <v>121.40349827759478</v>
      </c>
      <c r="AQ2965">
        <f>SMALL('Iter No Test'!$W$9:$W$5008,2963)</f>
        <v>228.92844770486596</v>
      </c>
      <c r="AR2965">
        <f>1/(COUNT('Iter No Test'!$W$9:$W$5008)-1)+$AR$2964</f>
        <v>0.59251850370074033</v>
      </c>
    </row>
    <row r="2966" spans="22:44">
      <c r="V2966">
        <v>2958</v>
      </c>
      <c r="W2966">
        <v>24.738352438364316</v>
      </c>
      <c r="AQ2966">
        <f>SMALL('Iter No Test'!$W$9:$W$5008,2964)</f>
        <v>228.97800949954433</v>
      </c>
      <c r="AR2966">
        <f>1/(COUNT('Iter No Test'!$W$9:$W$5008)-1)+$AR$2965</f>
        <v>0.59271854370874189</v>
      </c>
    </row>
    <row r="2967" spans="22:44">
      <c r="V2967">
        <v>2959</v>
      </c>
      <c r="W2967">
        <v>229.29739212005052</v>
      </c>
      <c r="AQ2967">
        <f>SMALL('Iter No Test'!$W$9:$W$5008,2965)</f>
        <v>229.00620356190115</v>
      </c>
      <c r="AR2967">
        <f>1/(COUNT('Iter No Test'!$W$9:$W$5008)-1)+$AR$2966</f>
        <v>0.59291858371674344</v>
      </c>
    </row>
    <row r="2968" spans="22:44">
      <c r="V2968">
        <v>2960</v>
      </c>
      <c r="W2968">
        <v>321.88913362347262</v>
      </c>
      <c r="AQ2968">
        <f>SMALL('Iter No Test'!$W$9:$W$5008,2966)</f>
        <v>229.10488649506647</v>
      </c>
      <c r="AR2968">
        <f>1/(COUNT('Iter No Test'!$W$9:$W$5008)-1)+$AR$2967</f>
        <v>0.593118623724745</v>
      </c>
    </row>
    <row r="2969" spans="22:44">
      <c r="V2969">
        <v>2961</v>
      </c>
      <c r="W2969">
        <v>212.49236141288017</v>
      </c>
      <c r="AQ2969">
        <f>SMALL('Iter No Test'!$W$9:$W$5008,2967)</f>
        <v>229.18023785837585</v>
      </c>
      <c r="AR2969">
        <f>1/(COUNT('Iter No Test'!$W$9:$W$5008)-1)+$AR$2968</f>
        <v>0.59331866373274655</v>
      </c>
    </row>
    <row r="2970" spans="22:44">
      <c r="V2970">
        <v>2962</v>
      </c>
      <c r="W2970">
        <v>138.51548765972996</v>
      </c>
      <c r="AQ2970">
        <f>SMALL('Iter No Test'!$W$9:$W$5008,2968)</f>
        <v>229.27629811704122</v>
      </c>
      <c r="AR2970">
        <f>1/(COUNT('Iter No Test'!$W$9:$W$5008)-1)+$AR$2969</f>
        <v>0.59351870374074811</v>
      </c>
    </row>
    <row r="2971" spans="22:44">
      <c r="V2971">
        <v>2963</v>
      </c>
      <c r="W2971">
        <v>99.540550167442461</v>
      </c>
      <c r="AQ2971">
        <f>SMALL('Iter No Test'!$W$9:$W$5008,2969)</f>
        <v>229.28833008454137</v>
      </c>
      <c r="AR2971">
        <f>1/(COUNT('Iter No Test'!$W$9:$W$5008)-1)+$AR$2970</f>
        <v>0.59371874374874967</v>
      </c>
    </row>
    <row r="2972" spans="22:44">
      <c r="V2972">
        <v>2964</v>
      </c>
      <c r="W2972">
        <v>197.82131482475586</v>
      </c>
      <c r="AQ2972">
        <f>SMALL('Iter No Test'!$W$9:$W$5008,2970)</f>
        <v>229.29739212005052</v>
      </c>
      <c r="AR2972">
        <f>1/(COUNT('Iter No Test'!$W$9:$W$5008)-1)+$AR$2971</f>
        <v>0.59391878375675122</v>
      </c>
    </row>
    <row r="2973" spans="22:44">
      <c r="V2973">
        <v>2965</v>
      </c>
      <c r="W2973">
        <v>287.81747282133938</v>
      </c>
      <c r="AQ2973">
        <f>SMALL('Iter No Test'!$W$9:$W$5008,2971)</f>
        <v>229.32943441278437</v>
      </c>
      <c r="AR2973">
        <f>1/(COUNT('Iter No Test'!$W$9:$W$5008)-1)+$AR$2972</f>
        <v>0.59411882376475278</v>
      </c>
    </row>
    <row r="2974" spans="22:44">
      <c r="V2974">
        <v>2966</v>
      </c>
      <c r="W2974">
        <v>218.50526993995348</v>
      </c>
      <c r="AQ2974">
        <f>SMALL('Iter No Test'!$W$9:$W$5008,2972)</f>
        <v>229.32990852176761</v>
      </c>
      <c r="AR2974">
        <f>1/(COUNT('Iter No Test'!$W$9:$W$5008)-1)+$AR$2973</f>
        <v>0.59431886377275434</v>
      </c>
    </row>
    <row r="2975" spans="22:44">
      <c r="V2975">
        <v>2967</v>
      </c>
      <c r="W2975">
        <v>272.52960022073069</v>
      </c>
      <c r="AQ2975">
        <f>SMALL('Iter No Test'!$W$9:$W$5008,2973)</f>
        <v>229.39040666467164</v>
      </c>
      <c r="AR2975">
        <f>1/(COUNT('Iter No Test'!$W$9:$W$5008)-1)+$AR$2974</f>
        <v>0.59451890378075589</v>
      </c>
    </row>
    <row r="2976" spans="22:44">
      <c r="V2976">
        <v>2968</v>
      </c>
      <c r="W2976">
        <v>288.31882971793658</v>
      </c>
      <c r="AQ2976">
        <f>SMALL('Iter No Test'!$W$9:$W$5008,2974)</f>
        <v>229.39096733307034</v>
      </c>
      <c r="AR2976">
        <f>1/(COUNT('Iter No Test'!$W$9:$W$5008)-1)+$AR$2975</f>
        <v>0.59471894378875745</v>
      </c>
    </row>
    <row r="2977" spans="22:44">
      <c r="V2977">
        <v>2969</v>
      </c>
      <c r="W2977">
        <v>344.1643028004047</v>
      </c>
      <c r="AQ2977">
        <f>SMALL('Iter No Test'!$W$9:$W$5008,2975)</f>
        <v>229.39708167544683</v>
      </c>
      <c r="AR2977">
        <f>1/(COUNT('Iter No Test'!$W$9:$W$5008)-1)+$AR$2976</f>
        <v>0.594918983796759</v>
      </c>
    </row>
    <row r="2978" spans="22:44">
      <c r="V2978">
        <v>2970</v>
      </c>
      <c r="W2978">
        <v>288.46506538330942</v>
      </c>
      <c r="AQ2978">
        <f>SMALL('Iter No Test'!$W$9:$W$5008,2976)</f>
        <v>229.4084099639982</v>
      </c>
      <c r="AR2978">
        <f>1/(COUNT('Iter No Test'!$W$9:$W$5008)-1)+$AR$2977</f>
        <v>0.59511902380476056</v>
      </c>
    </row>
    <row r="2979" spans="22:44">
      <c r="V2979">
        <v>2971</v>
      </c>
      <c r="W2979">
        <v>237.43946979242907</v>
      </c>
      <c r="AQ2979">
        <f>SMALL('Iter No Test'!$W$9:$W$5008,2977)</f>
        <v>229.51250177819773</v>
      </c>
      <c r="AR2979">
        <f>1/(COUNT('Iter No Test'!$W$9:$W$5008)-1)+$AR$2978</f>
        <v>0.59531906381276212</v>
      </c>
    </row>
    <row r="2980" spans="22:44">
      <c r="V2980">
        <v>2972</v>
      </c>
      <c r="W2980">
        <v>208.91635153616176</v>
      </c>
      <c r="AQ2980">
        <f>SMALL('Iter No Test'!$W$9:$W$5008,2978)</f>
        <v>229.55909362762316</v>
      </c>
      <c r="AR2980">
        <f>1/(COUNT('Iter No Test'!$W$9:$W$5008)-1)+$AR$2979</f>
        <v>0.59551910382076367</v>
      </c>
    </row>
    <row r="2981" spans="22:44">
      <c r="V2981">
        <v>2973</v>
      </c>
      <c r="W2981">
        <v>190.59117852963777</v>
      </c>
      <c r="AQ2981">
        <f>SMALL('Iter No Test'!$W$9:$W$5008,2979)</f>
        <v>229.5656604040916</v>
      </c>
      <c r="AR2981">
        <f>1/(COUNT('Iter No Test'!$W$9:$W$5008)-1)+$AR$2980</f>
        <v>0.59571914382876523</v>
      </c>
    </row>
    <row r="2982" spans="22:44">
      <c r="V2982">
        <v>2974</v>
      </c>
      <c r="W2982">
        <v>493.95246964482453</v>
      </c>
      <c r="AQ2982">
        <f>SMALL('Iter No Test'!$W$9:$W$5008,2980)</f>
        <v>229.6773983095367</v>
      </c>
      <c r="AR2982">
        <f>1/(COUNT('Iter No Test'!$W$9:$W$5008)-1)+$AR$2981</f>
        <v>0.59591918383676679</v>
      </c>
    </row>
    <row r="2983" spans="22:44">
      <c r="V2983">
        <v>2975</v>
      </c>
      <c r="W2983">
        <v>211.77253858827075</v>
      </c>
      <c r="AQ2983">
        <f>SMALL('Iter No Test'!$W$9:$W$5008,2981)</f>
        <v>229.67949301226864</v>
      </c>
      <c r="AR2983">
        <f>1/(COUNT('Iter No Test'!$W$9:$W$5008)-1)+$AR$2982</f>
        <v>0.59611922384476834</v>
      </c>
    </row>
    <row r="2984" spans="22:44">
      <c r="V2984">
        <v>2976</v>
      </c>
      <c r="W2984">
        <v>347.73174002337726</v>
      </c>
      <c r="AQ2984">
        <f>SMALL('Iter No Test'!$W$9:$W$5008,2982)</f>
        <v>229.75416476676435</v>
      </c>
      <c r="AR2984">
        <f>1/(COUNT('Iter No Test'!$W$9:$W$5008)-1)+$AR$2983</f>
        <v>0.5963192638527699</v>
      </c>
    </row>
    <row r="2985" spans="22:44">
      <c r="V2985">
        <v>2977</v>
      </c>
      <c r="W2985">
        <v>255.86724349869951</v>
      </c>
      <c r="AQ2985">
        <f>SMALL('Iter No Test'!$W$9:$W$5008,2983)</f>
        <v>229.76172265094257</v>
      </c>
      <c r="AR2985">
        <f>1/(COUNT('Iter No Test'!$W$9:$W$5008)-1)+$AR$2984</f>
        <v>0.59651930386077145</v>
      </c>
    </row>
    <row r="2986" spans="22:44">
      <c r="V2986">
        <v>2978</v>
      </c>
      <c r="W2986">
        <v>309.03219860294928</v>
      </c>
      <c r="AQ2986">
        <f>SMALL('Iter No Test'!$W$9:$W$5008,2984)</f>
        <v>229.78560084439781</v>
      </c>
      <c r="AR2986">
        <f>1/(COUNT('Iter No Test'!$W$9:$W$5008)-1)+$AR$2985</f>
        <v>0.59671934386877301</v>
      </c>
    </row>
    <row r="2987" spans="22:44">
      <c r="V2987">
        <v>2979</v>
      </c>
      <c r="W2987">
        <v>151.57529200424932</v>
      </c>
      <c r="AQ2987">
        <f>SMALL('Iter No Test'!$W$9:$W$5008,2985)</f>
        <v>229.80982426480563</v>
      </c>
      <c r="AR2987">
        <f>1/(COUNT('Iter No Test'!$W$9:$W$5008)-1)+$AR$2986</f>
        <v>0.59691938387677457</v>
      </c>
    </row>
    <row r="2988" spans="22:44">
      <c r="V2988">
        <v>2980</v>
      </c>
      <c r="W2988">
        <v>189.65201254606961</v>
      </c>
      <c r="AQ2988">
        <f>SMALL('Iter No Test'!$W$9:$W$5008,2986)</f>
        <v>229.86752034319545</v>
      </c>
      <c r="AR2988">
        <f>1/(COUNT('Iter No Test'!$W$9:$W$5008)-1)+$AR$2987</f>
        <v>0.59711942388477612</v>
      </c>
    </row>
    <row r="2989" spans="22:44">
      <c r="V2989">
        <v>2981</v>
      </c>
      <c r="W2989">
        <v>264.20285789767274</v>
      </c>
      <c r="AQ2989">
        <f>SMALL('Iter No Test'!$W$9:$W$5008,2987)</f>
        <v>229.90179311835249</v>
      </c>
      <c r="AR2989">
        <f>1/(COUNT('Iter No Test'!$W$9:$W$5008)-1)+$AR$2988</f>
        <v>0.59731946389277768</v>
      </c>
    </row>
    <row r="2990" spans="22:44">
      <c r="V2990">
        <v>2982</v>
      </c>
      <c r="W2990">
        <v>294.02301021652386</v>
      </c>
      <c r="AQ2990">
        <f>SMALL('Iter No Test'!$W$9:$W$5008,2988)</f>
        <v>229.91310193104945</v>
      </c>
      <c r="AR2990">
        <f>1/(COUNT('Iter No Test'!$W$9:$W$5008)-1)+$AR$2989</f>
        <v>0.59751950390077924</v>
      </c>
    </row>
    <row r="2991" spans="22:44">
      <c r="V2991">
        <v>2983</v>
      </c>
      <c r="W2991">
        <v>169.04737821579823</v>
      </c>
      <c r="AQ2991">
        <f>SMALL('Iter No Test'!$W$9:$W$5008,2989)</f>
        <v>229.93163886113581</v>
      </c>
      <c r="AR2991">
        <f>1/(COUNT('Iter No Test'!$W$9:$W$5008)-1)+$AR$2990</f>
        <v>0.59771954390878079</v>
      </c>
    </row>
    <row r="2992" spans="22:44">
      <c r="V2992">
        <v>2984</v>
      </c>
      <c r="W2992">
        <v>291.11778365073945</v>
      </c>
      <c r="AQ2992">
        <f>SMALL('Iter No Test'!$W$9:$W$5008,2990)</f>
        <v>230.00398003564266</v>
      </c>
      <c r="AR2992">
        <f>1/(COUNT('Iter No Test'!$W$9:$W$5008)-1)+$AR$2991</f>
        <v>0.59791958391678235</v>
      </c>
    </row>
    <row r="2993" spans="22:44">
      <c r="V2993">
        <v>2985</v>
      </c>
      <c r="W2993">
        <v>169.94758753005286</v>
      </c>
      <c r="AQ2993">
        <f>SMALL('Iter No Test'!$W$9:$W$5008,2991)</f>
        <v>230.04505704151836</v>
      </c>
      <c r="AR2993">
        <f>1/(COUNT('Iter No Test'!$W$9:$W$5008)-1)+$AR$2992</f>
        <v>0.59811962392478391</v>
      </c>
    </row>
    <row r="2994" spans="22:44">
      <c r="V2994">
        <v>2986</v>
      </c>
      <c r="W2994">
        <v>32.242390066445054</v>
      </c>
      <c r="AQ2994">
        <f>SMALL('Iter No Test'!$W$9:$W$5008,2992)</f>
        <v>230.09624452030923</v>
      </c>
      <c r="AR2994">
        <f>1/(COUNT('Iter No Test'!$W$9:$W$5008)-1)+$AR$2993</f>
        <v>0.59831966393278546</v>
      </c>
    </row>
    <row r="2995" spans="22:44">
      <c r="V2995">
        <v>2987</v>
      </c>
      <c r="W2995">
        <v>211.64211959887473</v>
      </c>
      <c r="AQ2995">
        <f>SMALL('Iter No Test'!$W$9:$W$5008,2993)</f>
        <v>230.24067858355164</v>
      </c>
      <c r="AR2995">
        <f>1/(COUNT('Iter No Test'!$W$9:$W$5008)-1)+$AR$2994</f>
        <v>0.59851970394078702</v>
      </c>
    </row>
    <row r="2996" spans="22:44">
      <c r="V2996">
        <v>2988</v>
      </c>
      <c r="W2996">
        <v>226.52547121924056</v>
      </c>
      <c r="AQ2996">
        <f>SMALL('Iter No Test'!$W$9:$W$5008,2994)</f>
        <v>230.25108845100218</v>
      </c>
      <c r="AR2996">
        <f>1/(COUNT('Iter No Test'!$W$9:$W$5008)-1)+$AR$2995</f>
        <v>0.59871974394878857</v>
      </c>
    </row>
    <row r="2997" spans="22:44">
      <c r="V2997">
        <v>2989</v>
      </c>
      <c r="W2997">
        <v>150.26261695067782</v>
      </c>
      <c r="AQ2997">
        <f>SMALL('Iter No Test'!$W$9:$W$5008,2995)</f>
        <v>230.25617480289765</v>
      </c>
      <c r="AR2997">
        <f>1/(COUNT('Iter No Test'!$W$9:$W$5008)-1)+$AR$2996</f>
        <v>0.59891978395679013</v>
      </c>
    </row>
    <row r="2998" spans="22:44">
      <c r="V2998">
        <v>2990</v>
      </c>
      <c r="W2998">
        <v>178.48214517903347</v>
      </c>
      <c r="AQ2998">
        <f>SMALL('Iter No Test'!$W$9:$W$5008,2996)</f>
        <v>230.28016412544912</v>
      </c>
      <c r="AR2998">
        <f>1/(COUNT('Iter No Test'!$W$9:$W$5008)-1)+$AR$2997</f>
        <v>0.59911982396479169</v>
      </c>
    </row>
    <row r="2999" spans="22:44">
      <c r="V2999">
        <v>2991</v>
      </c>
      <c r="W2999">
        <v>212.44009197235076</v>
      </c>
      <c r="AQ2999">
        <f>SMALL('Iter No Test'!$W$9:$W$5008,2997)</f>
        <v>230.30093704768254</v>
      </c>
      <c r="AR2999">
        <f>1/(COUNT('Iter No Test'!$W$9:$W$5008)-1)+$AR$2998</f>
        <v>0.59931986397279324</v>
      </c>
    </row>
    <row r="3000" spans="22:44">
      <c r="V3000">
        <v>2992</v>
      </c>
      <c r="W3000">
        <v>359.68048823840309</v>
      </c>
      <c r="AQ3000">
        <f>SMALL('Iter No Test'!$W$9:$W$5008,2998)</f>
        <v>230.32710533702556</v>
      </c>
      <c r="AR3000">
        <f>1/(COUNT('Iter No Test'!$W$9:$W$5008)-1)+$AR$2999</f>
        <v>0.5995199039807948</v>
      </c>
    </row>
    <row r="3001" spans="22:44">
      <c r="V3001">
        <v>2993</v>
      </c>
      <c r="W3001">
        <v>142.16152575114972</v>
      </c>
      <c r="AQ3001">
        <f>SMALL('Iter No Test'!$W$9:$W$5008,2999)</f>
        <v>230.34183528030402</v>
      </c>
      <c r="AR3001">
        <f>1/(COUNT('Iter No Test'!$W$9:$W$5008)-1)+$AR$3000</f>
        <v>0.59971994398879636</v>
      </c>
    </row>
    <row r="3002" spans="22:44">
      <c r="V3002">
        <v>2994</v>
      </c>
      <c r="W3002">
        <v>171.2620576616207</v>
      </c>
      <c r="AQ3002">
        <f>SMALL('Iter No Test'!$W$9:$W$5008,3000)</f>
        <v>230.48490420238406</v>
      </c>
      <c r="AR3002">
        <f>1/(COUNT('Iter No Test'!$W$9:$W$5008)-1)+$AR$3001</f>
        <v>0.59991998399679791</v>
      </c>
    </row>
    <row r="3003" spans="22:44">
      <c r="V3003">
        <v>2995</v>
      </c>
      <c r="W3003">
        <v>152.59865678144203</v>
      </c>
      <c r="AQ3003">
        <f>SMALL('Iter No Test'!$W$9:$W$5008,3001)</f>
        <v>230.50912776541136</v>
      </c>
      <c r="AR3003">
        <f>1/(COUNT('Iter No Test'!$W$9:$W$5008)-1)+$AR$3002</f>
        <v>0.60012002400479947</v>
      </c>
    </row>
    <row r="3004" spans="22:44">
      <c r="V3004">
        <v>2996</v>
      </c>
      <c r="W3004">
        <v>232.86762842237428</v>
      </c>
      <c r="AQ3004">
        <f>SMALL('Iter No Test'!$W$9:$W$5008,3002)</f>
        <v>230.55572134189231</v>
      </c>
      <c r="AR3004">
        <f>1/(COUNT('Iter No Test'!$W$9:$W$5008)-1)+$AR$3003</f>
        <v>0.60032006401280102</v>
      </c>
    </row>
    <row r="3005" spans="22:44">
      <c r="V3005">
        <v>2997</v>
      </c>
      <c r="W3005">
        <v>236.97845215243842</v>
      </c>
      <c r="AQ3005">
        <f>SMALL('Iter No Test'!$W$9:$W$5008,3003)</f>
        <v>230.61909423401102</v>
      </c>
      <c r="AR3005">
        <f>1/(COUNT('Iter No Test'!$W$9:$W$5008)-1)+$AR$3004</f>
        <v>0.60052010402080258</v>
      </c>
    </row>
    <row r="3006" spans="22:44">
      <c r="V3006">
        <v>2998</v>
      </c>
      <c r="W3006">
        <v>216.91900664495424</v>
      </c>
      <c r="AQ3006">
        <f>SMALL('Iter No Test'!$W$9:$W$5008,3004)</f>
        <v>230.67016706832788</v>
      </c>
      <c r="AR3006">
        <f>1/(COUNT('Iter No Test'!$W$9:$W$5008)-1)+$AR$3005</f>
        <v>0.60072014402880414</v>
      </c>
    </row>
    <row r="3007" spans="22:44">
      <c r="V3007">
        <v>2999</v>
      </c>
      <c r="W3007">
        <v>119.13722940812963</v>
      </c>
      <c r="AQ3007">
        <f>SMALL('Iter No Test'!$W$9:$W$5008,3005)</f>
        <v>230.72777490394043</v>
      </c>
      <c r="AR3007">
        <f>1/(COUNT('Iter No Test'!$W$9:$W$5008)-1)+$AR$3006</f>
        <v>0.60092018403680569</v>
      </c>
    </row>
    <row r="3008" spans="22:44">
      <c r="V3008">
        <v>3000</v>
      </c>
      <c r="W3008">
        <v>176.49702178549867</v>
      </c>
      <c r="AQ3008">
        <f>SMALL('Iter No Test'!$W$9:$W$5008,3006)</f>
        <v>230.73065705211536</v>
      </c>
      <c r="AR3008">
        <f>1/(COUNT('Iter No Test'!$W$9:$W$5008)-1)+$AR$3007</f>
        <v>0.60112022404480725</v>
      </c>
    </row>
    <row r="3009" spans="22:44">
      <c r="V3009">
        <v>3001</v>
      </c>
      <c r="W3009">
        <v>246.54601638472028</v>
      </c>
      <c r="AQ3009">
        <f>SMALL('Iter No Test'!$W$9:$W$5008,3007)</f>
        <v>230.7382417303117</v>
      </c>
      <c r="AR3009">
        <f>1/(COUNT('Iter No Test'!$W$9:$W$5008)-1)+$AR$3008</f>
        <v>0.60132026405280881</v>
      </c>
    </row>
    <row r="3010" spans="22:44">
      <c r="V3010">
        <v>3002</v>
      </c>
      <c r="W3010">
        <v>173.67119439295217</v>
      </c>
      <c r="AQ3010">
        <f>SMALL('Iter No Test'!$W$9:$W$5008,3008)</f>
        <v>230.7519284900394</v>
      </c>
      <c r="AR3010">
        <f>1/(COUNT('Iter No Test'!$W$9:$W$5008)-1)+$AR$3009</f>
        <v>0.60152030406081036</v>
      </c>
    </row>
    <row r="3011" spans="22:44">
      <c r="V3011">
        <v>3003</v>
      </c>
      <c r="W3011">
        <v>389.01631616646978</v>
      </c>
      <c r="AQ3011">
        <f>SMALL('Iter No Test'!$W$9:$W$5008,3009)</f>
        <v>230.78281884489044</v>
      </c>
      <c r="AR3011">
        <f>1/(COUNT('Iter No Test'!$W$9:$W$5008)-1)+$AR$3010</f>
        <v>0.60172034406881192</v>
      </c>
    </row>
    <row r="3012" spans="22:44">
      <c r="V3012">
        <v>3004</v>
      </c>
      <c r="W3012">
        <v>215.78549757052198</v>
      </c>
      <c r="AQ3012">
        <f>SMALL('Iter No Test'!$W$9:$W$5008,3010)</f>
        <v>230.79685889729976</v>
      </c>
      <c r="AR3012">
        <f>1/(COUNT('Iter No Test'!$W$9:$W$5008)-1)+$AR$3011</f>
        <v>0.60192038407681348</v>
      </c>
    </row>
    <row r="3013" spans="22:44">
      <c r="V3013">
        <v>3005</v>
      </c>
      <c r="W3013">
        <v>167.87966966712295</v>
      </c>
      <c r="AQ3013">
        <f>SMALL('Iter No Test'!$W$9:$W$5008,3011)</f>
        <v>230.80695595904689</v>
      </c>
      <c r="AR3013">
        <f>1/(COUNT('Iter No Test'!$W$9:$W$5008)-1)+$AR$3012</f>
        <v>0.60212042408481503</v>
      </c>
    </row>
    <row r="3014" spans="22:44">
      <c r="V3014">
        <v>3006</v>
      </c>
      <c r="W3014">
        <v>213.30444135204351</v>
      </c>
      <c r="AQ3014">
        <f>SMALL('Iter No Test'!$W$9:$W$5008,3012)</f>
        <v>230.86753078539439</v>
      </c>
      <c r="AR3014">
        <f>1/(COUNT('Iter No Test'!$W$9:$W$5008)-1)+$AR$3013</f>
        <v>0.60232046409281659</v>
      </c>
    </row>
    <row r="3015" spans="22:44">
      <c r="V3015">
        <v>3007</v>
      </c>
      <c r="W3015">
        <v>133.40209231521806</v>
      </c>
      <c r="AQ3015">
        <f>SMALL('Iter No Test'!$W$9:$W$5008,3013)</f>
        <v>230.90694254839815</v>
      </c>
      <c r="AR3015">
        <f>1/(COUNT('Iter No Test'!$W$9:$W$5008)-1)+$AR$3014</f>
        <v>0.60252050410081814</v>
      </c>
    </row>
    <row r="3016" spans="22:44">
      <c r="V3016">
        <v>3008</v>
      </c>
      <c r="W3016">
        <v>276.59343529617945</v>
      </c>
      <c r="AQ3016">
        <f>SMALL('Iter No Test'!$W$9:$W$5008,3014)</f>
        <v>230.96787167597913</v>
      </c>
      <c r="AR3016">
        <f>1/(COUNT('Iter No Test'!$W$9:$W$5008)-1)+$AR$3015</f>
        <v>0.6027205441088197</v>
      </c>
    </row>
    <row r="3017" spans="22:44">
      <c r="V3017">
        <v>3009</v>
      </c>
      <c r="W3017">
        <v>249.26401660081106</v>
      </c>
      <c r="AQ3017">
        <f>SMALL('Iter No Test'!$W$9:$W$5008,3015)</f>
        <v>230.97925711966982</v>
      </c>
      <c r="AR3017">
        <f>1/(COUNT('Iter No Test'!$W$9:$W$5008)-1)+$AR$3016</f>
        <v>0.60292058411682126</v>
      </c>
    </row>
    <row r="3018" spans="22:44">
      <c r="V3018">
        <v>3010</v>
      </c>
      <c r="W3018">
        <v>130.93841624789096</v>
      </c>
      <c r="AQ3018">
        <f>SMALL('Iter No Test'!$W$9:$W$5008,3016)</f>
        <v>230.99320199218775</v>
      </c>
      <c r="AR3018">
        <f>1/(COUNT('Iter No Test'!$W$9:$W$5008)-1)+$AR$3017</f>
        <v>0.60312062412482281</v>
      </c>
    </row>
    <row r="3019" spans="22:44">
      <c r="V3019">
        <v>3011</v>
      </c>
      <c r="W3019">
        <v>273.71465076195028</v>
      </c>
      <c r="AQ3019">
        <f>SMALL('Iter No Test'!$W$9:$W$5008,3017)</f>
        <v>231.00623699604017</v>
      </c>
      <c r="AR3019">
        <f>1/(COUNT('Iter No Test'!$W$9:$W$5008)-1)+$AR$3018</f>
        <v>0.60332066413282437</v>
      </c>
    </row>
    <row r="3020" spans="22:44">
      <c r="V3020">
        <v>3012</v>
      </c>
      <c r="W3020">
        <v>265.04399216495108</v>
      </c>
      <c r="AQ3020">
        <f>SMALL('Iter No Test'!$W$9:$W$5008,3018)</f>
        <v>231.02478998587489</v>
      </c>
      <c r="AR3020">
        <f>1/(COUNT('Iter No Test'!$W$9:$W$5008)-1)+$AR$3019</f>
        <v>0.60352070414082593</v>
      </c>
    </row>
    <row r="3021" spans="22:44">
      <c r="V3021">
        <v>3013</v>
      </c>
      <c r="W3021">
        <v>413.80367798447315</v>
      </c>
      <c r="AQ3021">
        <f>SMALL('Iter No Test'!$W$9:$W$5008,3019)</f>
        <v>231.05671266811515</v>
      </c>
      <c r="AR3021">
        <f>1/(COUNT('Iter No Test'!$W$9:$W$5008)-1)+$AR$3020</f>
        <v>0.60372074414882748</v>
      </c>
    </row>
    <row r="3022" spans="22:44">
      <c r="V3022">
        <v>3014</v>
      </c>
      <c r="W3022">
        <v>198.10410183066685</v>
      </c>
      <c r="AQ3022">
        <f>SMALL('Iter No Test'!$W$9:$W$5008,3020)</f>
        <v>231.100015052944</v>
      </c>
      <c r="AR3022">
        <f>1/(COUNT('Iter No Test'!$W$9:$W$5008)-1)+$AR$3021</f>
        <v>0.60392078415682904</v>
      </c>
    </row>
    <row r="3023" spans="22:44">
      <c r="V3023">
        <v>3015</v>
      </c>
      <c r="W3023">
        <v>257.3007060288154</v>
      </c>
      <c r="AQ3023">
        <f>SMALL('Iter No Test'!$W$9:$W$5008,3021)</f>
        <v>231.11888928648852</v>
      </c>
      <c r="AR3023">
        <f>1/(COUNT('Iter No Test'!$W$9:$W$5008)-1)+$AR$3022</f>
        <v>0.60412082416483059</v>
      </c>
    </row>
    <row r="3024" spans="22:44">
      <c r="V3024">
        <v>3016</v>
      </c>
      <c r="W3024">
        <v>224.02093025826912</v>
      </c>
      <c r="AQ3024">
        <f>SMALL('Iter No Test'!$W$9:$W$5008,3022)</f>
        <v>231.14971972091763</v>
      </c>
      <c r="AR3024">
        <f>1/(COUNT('Iter No Test'!$W$9:$W$5008)-1)+$AR$3023</f>
        <v>0.60432086417283215</v>
      </c>
    </row>
    <row r="3025" spans="22:44">
      <c r="V3025">
        <v>3017</v>
      </c>
      <c r="W3025">
        <v>93.602757066221415</v>
      </c>
      <c r="AQ3025">
        <f>SMALL('Iter No Test'!$W$9:$W$5008,3023)</f>
        <v>231.15179766545066</v>
      </c>
      <c r="AR3025">
        <f>1/(COUNT('Iter No Test'!$W$9:$W$5008)-1)+$AR$3024</f>
        <v>0.60452090418083371</v>
      </c>
    </row>
    <row r="3026" spans="22:44">
      <c r="V3026">
        <v>3018</v>
      </c>
      <c r="W3026">
        <v>166.06676039219209</v>
      </c>
      <c r="AQ3026">
        <f>SMALL('Iter No Test'!$W$9:$W$5008,3024)</f>
        <v>231.22770250398673</v>
      </c>
      <c r="AR3026">
        <f>1/(COUNT('Iter No Test'!$W$9:$W$5008)-1)+$AR$3025</f>
        <v>0.60472094418883526</v>
      </c>
    </row>
    <row r="3027" spans="22:44">
      <c r="V3027">
        <v>3019</v>
      </c>
      <c r="W3027">
        <v>132.57610203454405</v>
      </c>
      <c r="AQ3027">
        <f>SMALL('Iter No Test'!$W$9:$W$5008,3025)</f>
        <v>231.22843134884184</v>
      </c>
      <c r="AR3027">
        <f>1/(COUNT('Iter No Test'!$W$9:$W$5008)-1)+$AR$3026</f>
        <v>0.60492098419683682</v>
      </c>
    </row>
    <row r="3028" spans="22:44">
      <c r="V3028">
        <v>3020</v>
      </c>
      <c r="W3028">
        <v>148.27256606449285</v>
      </c>
      <c r="AQ3028">
        <f>SMALL('Iter No Test'!$W$9:$W$5008,3026)</f>
        <v>231.28283055769526</v>
      </c>
      <c r="AR3028">
        <f>1/(COUNT('Iter No Test'!$W$9:$W$5008)-1)+$AR$3027</f>
        <v>0.60512102420483838</v>
      </c>
    </row>
    <row r="3029" spans="22:44">
      <c r="V3029">
        <v>3021</v>
      </c>
      <c r="W3029">
        <v>194.1527346190579</v>
      </c>
      <c r="AQ3029">
        <f>SMALL('Iter No Test'!$W$9:$W$5008,3027)</f>
        <v>231.29028578647774</v>
      </c>
      <c r="AR3029">
        <f>1/(COUNT('Iter No Test'!$W$9:$W$5008)-1)+$AR$3028</f>
        <v>0.60532106421283993</v>
      </c>
    </row>
    <row r="3030" spans="22:44">
      <c r="V3030">
        <v>3022</v>
      </c>
      <c r="W3030">
        <v>354.43206617166669</v>
      </c>
      <c r="AQ3030">
        <f>SMALL('Iter No Test'!$W$9:$W$5008,3028)</f>
        <v>231.33172653918857</v>
      </c>
      <c r="AR3030">
        <f>1/(COUNT('Iter No Test'!$W$9:$W$5008)-1)+$AR$3029</f>
        <v>0.60552110422084149</v>
      </c>
    </row>
    <row r="3031" spans="22:44">
      <c r="V3031">
        <v>3023</v>
      </c>
      <c r="W3031">
        <v>93.26524404539137</v>
      </c>
      <c r="AQ3031">
        <f>SMALL('Iter No Test'!$W$9:$W$5008,3029)</f>
        <v>231.3935558030112</v>
      </c>
      <c r="AR3031">
        <f>1/(COUNT('Iter No Test'!$W$9:$W$5008)-1)+$AR$3030</f>
        <v>0.60572114422884304</v>
      </c>
    </row>
    <row r="3032" spans="22:44">
      <c r="V3032">
        <v>3024</v>
      </c>
      <c r="W3032">
        <v>170.04423596468399</v>
      </c>
      <c r="AQ3032">
        <f>SMALL('Iter No Test'!$W$9:$W$5008,3030)</f>
        <v>231.43021625880345</v>
      </c>
      <c r="AR3032">
        <f>1/(COUNT('Iter No Test'!$W$9:$W$5008)-1)+$AR$3031</f>
        <v>0.6059211842368446</v>
      </c>
    </row>
    <row r="3033" spans="22:44">
      <c r="V3033">
        <v>3025</v>
      </c>
      <c r="W3033">
        <v>266.40676180203764</v>
      </c>
      <c r="AQ3033">
        <f>SMALL('Iter No Test'!$W$9:$W$5008,3031)</f>
        <v>231.45719646066937</v>
      </c>
      <c r="AR3033">
        <f>1/(COUNT('Iter No Test'!$W$9:$W$5008)-1)+$AR$3032</f>
        <v>0.60612122424484616</v>
      </c>
    </row>
    <row r="3034" spans="22:44">
      <c r="V3034">
        <v>3026</v>
      </c>
      <c r="W3034">
        <v>288.55564418083793</v>
      </c>
      <c r="AQ3034">
        <f>SMALL('Iter No Test'!$W$9:$W$5008,3032)</f>
        <v>231.52690059321716</v>
      </c>
      <c r="AR3034">
        <f>1/(COUNT('Iter No Test'!$W$9:$W$5008)-1)+$AR$3033</f>
        <v>0.60632126425284771</v>
      </c>
    </row>
    <row r="3035" spans="22:44">
      <c r="V3035">
        <v>3027</v>
      </c>
      <c r="W3035">
        <v>175.56568501781521</v>
      </c>
      <c r="AQ3035">
        <f>SMALL('Iter No Test'!$W$9:$W$5008,3033)</f>
        <v>231.58354051246434</v>
      </c>
      <c r="AR3035">
        <f>1/(COUNT('Iter No Test'!$W$9:$W$5008)-1)+$AR$3034</f>
        <v>0.60652130426084927</v>
      </c>
    </row>
    <row r="3036" spans="22:44">
      <c r="V3036">
        <v>3028</v>
      </c>
      <c r="W3036">
        <v>140.35655018680049</v>
      </c>
      <c r="AQ3036">
        <f>SMALL('Iter No Test'!$W$9:$W$5008,3034)</f>
        <v>231.60728401301878</v>
      </c>
      <c r="AR3036">
        <f>1/(COUNT('Iter No Test'!$W$9:$W$5008)-1)+$AR$3035</f>
        <v>0.60672134426885083</v>
      </c>
    </row>
    <row r="3037" spans="22:44">
      <c r="V3037">
        <v>3029</v>
      </c>
      <c r="W3037">
        <v>99.310863194668428</v>
      </c>
      <c r="AQ3037">
        <f>SMALL('Iter No Test'!$W$9:$W$5008,3035)</f>
        <v>231.6204422144242</v>
      </c>
      <c r="AR3037">
        <f>1/(COUNT('Iter No Test'!$W$9:$W$5008)-1)+$AR$3036</f>
        <v>0.60692138427685238</v>
      </c>
    </row>
    <row r="3038" spans="22:44">
      <c r="V3038">
        <v>3030</v>
      </c>
      <c r="W3038">
        <v>277.09598359225248</v>
      </c>
      <c r="AQ3038">
        <f>SMALL('Iter No Test'!$W$9:$W$5008,3036)</f>
        <v>231.64835174468806</v>
      </c>
      <c r="AR3038">
        <f>1/(COUNT('Iter No Test'!$W$9:$W$5008)-1)+$AR$3037</f>
        <v>0.60712142428485394</v>
      </c>
    </row>
    <row r="3039" spans="22:44">
      <c r="V3039">
        <v>3031</v>
      </c>
      <c r="W3039">
        <v>365.41533761835603</v>
      </c>
      <c r="AQ3039">
        <f>SMALL('Iter No Test'!$W$9:$W$5008,3037)</f>
        <v>231.72344848843468</v>
      </c>
      <c r="AR3039">
        <f>1/(COUNT('Iter No Test'!$W$9:$W$5008)-1)+$AR$3038</f>
        <v>0.6073214642928555</v>
      </c>
    </row>
    <row r="3040" spans="22:44">
      <c r="V3040">
        <v>3032</v>
      </c>
      <c r="W3040">
        <v>266.70474973839748</v>
      </c>
      <c r="AQ3040">
        <f>SMALL('Iter No Test'!$W$9:$W$5008,3038)</f>
        <v>231.75148936934315</v>
      </c>
      <c r="AR3040">
        <f>1/(COUNT('Iter No Test'!$W$9:$W$5008)-1)+$AR$3039</f>
        <v>0.60752150430085705</v>
      </c>
    </row>
    <row r="3041" spans="22:44">
      <c r="V3041">
        <v>3033</v>
      </c>
      <c r="W3041">
        <v>328.59480347506218</v>
      </c>
      <c r="AQ3041">
        <f>SMALL('Iter No Test'!$W$9:$W$5008,3039)</f>
        <v>231.76897192683353</v>
      </c>
      <c r="AR3041">
        <f>1/(COUNT('Iter No Test'!$W$9:$W$5008)-1)+$AR$3040</f>
        <v>0.60772154430885861</v>
      </c>
    </row>
    <row r="3042" spans="22:44">
      <c r="V3042">
        <v>3034</v>
      </c>
      <c r="W3042">
        <v>274.48452895076207</v>
      </c>
      <c r="AQ3042">
        <f>SMALL('Iter No Test'!$W$9:$W$5008,3040)</f>
        <v>231.76957200742584</v>
      </c>
      <c r="AR3042">
        <f>1/(COUNT('Iter No Test'!$W$9:$W$5008)-1)+$AR$3041</f>
        <v>0.60792158431686016</v>
      </c>
    </row>
    <row r="3043" spans="22:44">
      <c r="V3043">
        <v>3035</v>
      </c>
      <c r="W3043">
        <v>238.12637736086708</v>
      </c>
      <c r="AQ3043">
        <f>SMALL('Iter No Test'!$W$9:$W$5008,3041)</f>
        <v>231.79721910615399</v>
      </c>
      <c r="AR3043">
        <f>1/(COUNT('Iter No Test'!$W$9:$W$5008)-1)+$AR$3042</f>
        <v>0.60812162432486172</v>
      </c>
    </row>
    <row r="3044" spans="22:44">
      <c r="V3044">
        <v>3036</v>
      </c>
      <c r="W3044">
        <v>181.51293276942857</v>
      </c>
      <c r="AQ3044">
        <f>SMALL('Iter No Test'!$W$9:$W$5008,3042)</f>
        <v>231.86350676007615</v>
      </c>
      <c r="AR3044">
        <f>1/(COUNT('Iter No Test'!$W$9:$W$5008)-1)+$AR$3043</f>
        <v>0.60832166433286328</v>
      </c>
    </row>
    <row r="3045" spans="22:44">
      <c r="V3045">
        <v>3037</v>
      </c>
      <c r="W3045">
        <v>36.98981931928904</v>
      </c>
      <c r="AQ3045">
        <f>SMALL('Iter No Test'!$W$9:$W$5008,3043)</f>
        <v>231.88233307299632</v>
      </c>
      <c r="AR3045">
        <f>1/(COUNT('Iter No Test'!$W$9:$W$5008)-1)+$AR$3044</f>
        <v>0.60852170434086483</v>
      </c>
    </row>
    <row r="3046" spans="22:44">
      <c r="V3046">
        <v>3038</v>
      </c>
      <c r="W3046">
        <v>312.59513497312184</v>
      </c>
      <c r="AQ3046">
        <f>SMALL('Iter No Test'!$W$9:$W$5008,3044)</f>
        <v>231.88829491733819</v>
      </c>
      <c r="AR3046">
        <f>1/(COUNT('Iter No Test'!$W$9:$W$5008)-1)+$AR$3045</f>
        <v>0.60872174434886639</v>
      </c>
    </row>
    <row r="3047" spans="22:44">
      <c r="V3047">
        <v>3039</v>
      </c>
      <c r="W3047">
        <v>178.89480954165498</v>
      </c>
      <c r="AQ3047">
        <f>SMALL('Iter No Test'!$W$9:$W$5008,3045)</f>
        <v>231.94677130902778</v>
      </c>
      <c r="AR3047">
        <f>1/(COUNT('Iter No Test'!$W$9:$W$5008)-1)+$AR$3046</f>
        <v>0.60892178435686795</v>
      </c>
    </row>
    <row r="3048" spans="22:44">
      <c r="V3048">
        <v>3040</v>
      </c>
      <c r="W3048">
        <v>174.12223261544682</v>
      </c>
      <c r="AQ3048">
        <f>SMALL('Iter No Test'!$W$9:$W$5008,3046)</f>
        <v>232.00621861429062</v>
      </c>
      <c r="AR3048">
        <f>1/(COUNT('Iter No Test'!$W$9:$W$5008)-1)+$AR$3047</f>
        <v>0.6091218243648695</v>
      </c>
    </row>
    <row r="3049" spans="22:44">
      <c r="V3049">
        <v>3041</v>
      </c>
      <c r="W3049">
        <v>157.97107755499684</v>
      </c>
      <c r="AQ3049">
        <f>SMALL('Iter No Test'!$W$9:$W$5008,3047)</f>
        <v>232.1356020906662</v>
      </c>
      <c r="AR3049">
        <f>1/(COUNT('Iter No Test'!$W$9:$W$5008)-1)+$AR$3048</f>
        <v>0.60932186437287106</v>
      </c>
    </row>
    <row r="3050" spans="22:44">
      <c r="V3050">
        <v>3042</v>
      </c>
      <c r="W3050">
        <v>252.40929457525621</v>
      </c>
      <c r="AQ3050">
        <f>SMALL('Iter No Test'!$W$9:$W$5008,3048)</f>
        <v>232.15991471988826</v>
      </c>
      <c r="AR3050">
        <f>1/(COUNT('Iter No Test'!$W$9:$W$5008)-1)+$AR$3049</f>
        <v>0.60952190438087261</v>
      </c>
    </row>
    <row r="3051" spans="22:44">
      <c r="V3051">
        <v>3043</v>
      </c>
      <c r="W3051">
        <v>146.47960744082795</v>
      </c>
      <c r="AQ3051">
        <f>SMALL('Iter No Test'!$W$9:$W$5008,3049)</f>
        <v>232.17384836191661</v>
      </c>
      <c r="AR3051">
        <f>1/(COUNT('Iter No Test'!$W$9:$W$5008)-1)+$AR$3050</f>
        <v>0.60972194438887417</v>
      </c>
    </row>
    <row r="3052" spans="22:44">
      <c r="V3052">
        <v>3044</v>
      </c>
      <c r="W3052">
        <v>260.3354678245604</v>
      </c>
      <c r="AQ3052">
        <f>SMALL('Iter No Test'!$W$9:$W$5008,3050)</f>
        <v>232.30319780442002</v>
      </c>
      <c r="AR3052">
        <f>1/(COUNT('Iter No Test'!$W$9:$W$5008)-1)+$AR$3051</f>
        <v>0.60992198439687573</v>
      </c>
    </row>
    <row r="3053" spans="22:44">
      <c r="V3053">
        <v>3045</v>
      </c>
      <c r="W3053">
        <v>28.883373759336209</v>
      </c>
      <c r="AQ3053">
        <f>SMALL('Iter No Test'!$W$9:$W$5008,3051)</f>
        <v>232.32592545841248</v>
      </c>
      <c r="AR3053">
        <f>1/(COUNT('Iter No Test'!$W$9:$W$5008)-1)+$AR$3052</f>
        <v>0.61012202440487728</v>
      </c>
    </row>
    <row r="3054" spans="22:44">
      <c r="V3054">
        <v>3046</v>
      </c>
      <c r="W3054">
        <v>216.51167259519923</v>
      </c>
      <c r="AQ3054">
        <f>SMALL('Iter No Test'!$W$9:$W$5008,3052)</f>
        <v>232.36080465054926</v>
      </c>
      <c r="AR3054">
        <f>1/(COUNT('Iter No Test'!$W$9:$W$5008)-1)+$AR$3053</f>
        <v>0.61032206441287884</v>
      </c>
    </row>
    <row r="3055" spans="22:44">
      <c r="V3055">
        <v>3047</v>
      </c>
      <c r="W3055">
        <v>116.56068127384964</v>
      </c>
      <c r="AQ3055">
        <f>SMALL('Iter No Test'!$W$9:$W$5008,3053)</f>
        <v>232.43786231358322</v>
      </c>
      <c r="AR3055">
        <f>1/(COUNT('Iter No Test'!$W$9:$W$5008)-1)+$AR$3054</f>
        <v>0.6105221044208804</v>
      </c>
    </row>
    <row r="3056" spans="22:44">
      <c r="V3056">
        <v>3048</v>
      </c>
      <c r="W3056">
        <v>196.70167291372715</v>
      </c>
      <c r="AQ3056">
        <f>SMALL('Iter No Test'!$W$9:$W$5008,3054)</f>
        <v>232.49150131011348</v>
      </c>
      <c r="AR3056">
        <f>1/(COUNT('Iter No Test'!$W$9:$W$5008)-1)+$AR$3055</f>
        <v>0.61072214442888195</v>
      </c>
    </row>
    <row r="3057" spans="22:44">
      <c r="V3057">
        <v>3049</v>
      </c>
      <c r="W3057">
        <v>220.02619951802723</v>
      </c>
      <c r="AQ3057">
        <f>SMALL('Iter No Test'!$W$9:$W$5008,3055)</f>
        <v>232.52566142564652</v>
      </c>
      <c r="AR3057">
        <f>1/(COUNT('Iter No Test'!$W$9:$W$5008)-1)+$AR$3056</f>
        <v>0.61092218443688351</v>
      </c>
    </row>
    <row r="3058" spans="22:44">
      <c r="V3058">
        <v>3050</v>
      </c>
      <c r="W3058">
        <v>113.97558367658489</v>
      </c>
      <c r="AQ3058">
        <f>SMALL('Iter No Test'!$W$9:$W$5008,3056)</f>
        <v>232.60167818632209</v>
      </c>
      <c r="AR3058">
        <f>1/(COUNT('Iter No Test'!$W$9:$W$5008)-1)+$AR$3057</f>
        <v>0.61112222444488506</v>
      </c>
    </row>
    <row r="3059" spans="22:44">
      <c r="V3059">
        <v>3051</v>
      </c>
      <c r="W3059">
        <v>176.1690896742974</v>
      </c>
      <c r="AQ3059">
        <f>SMALL('Iter No Test'!$W$9:$W$5008,3057)</f>
        <v>232.70640227025265</v>
      </c>
      <c r="AR3059">
        <f>1/(COUNT('Iter No Test'!$W$9:$W$5008)-1)+$AR$3058</f>
        <v>0.61132226445288662</v>
      </c>
    </row>
    <row r="3060" spans="22:44">
      <c r="V3060">
        <v>3052</v>
      </c>
      <c r="W3060">
        <v>348.80770570103294</v>
      </c>
      <c r="AQ3060">
        <f>SMALL('Iter No Test'!$W$9:$W$5008,3058)</f>
        <v>232.73666318717696</v>
      </c>
      <c r="AR3060">
        <f>1/(COUNT('Iter No Test'!$W$9:$W$5008)-1)+$AR$3059</f>
        <v>0.61152230446088818</v>
      </c>
    </row>
    <row r="3061" spans="22:44">
      <c r="V3061">
        <v>3053</v>
      </c>
      <c r="W3061">
        <v>204.8076923435658</v>
      </c>
      <c r="AQ3061">
        <f>SMALL('Iter No Test'!$W$9:$W$5008,3059)</f>
        <v>232.7600805289093</v>
      </c>
      <c r="AR3061">
        <f>1/(COUNT('Iter No Test'!$W$9:$W$5008)-1)+$AR$3060</f>
        <v>0.61172234446888973</v>
      </c>
    </row>
    <row r="3062" spans="22:44">
      <c r="V3062">
        <v>3054</v>
      </c>
      <c r="W3062">
        <v>273.96267883120413</v>
      </c>
      <c r="AQ3062">
        <f>SMALL('Iter No Test'!$W$9:$W$5008,3060)</f>
        <v>232.86379252743242</v>
      </c>
      <c r="AR3062">
        <f>1/(COUNT('Iter No Test'!$W$9:$W$5008)-1)+$AR$3061</f>
        <v>0.61192238447689129</v>
      </c>
    </row>
    <row r="3063" spans="22:44">
      <c r="V3063">
        <v>3055</v>
      </c>
      <c r="W3063">
        <v>173.64133161949329</v>
      </c>
      <c r="AQ3063">
        <f>SMALL('Iter No Test'!$W$9:$W$5008,3061)</f>
        <v>232.86762842237428</v>
      </c>
      <c r="AR3063">
        <f>1/(COUNT('Iter No Test'!$W$9:$W$5008)-1)+$AR$3062</f>
        <v>0.61212242448489285</v>
      </c>
    </row>
    <row r="3064" spans="22:44">
      <c r="V3064">
        <v>3056</v>
      </c>
      <c r="W3064">
        <v>216.60115317912181</v>
      </c>
      <c r="AQ3064">
        <f>SMALL('Iter No Test'!$W$9:$W$5008,3062)</f>
        <v>233.04839921942107</v>
      </c>
      <c r="AR3064">
        <f>1/(COUNT('Iter No Test'!$W$9:$W$5008)-1)+$AR$3063</f>
        <v>0.6123224644928944</v>
      </c>
    </row>
    <row r="3065" spans="22:44">
      <c r="V3065">
        <v>3057</v>
      </c>
      <c r="W3065">
        <v>119.15286271002417</v>
      </c>
      <c r="AQ3065">
        <f>SMALL('Iter No Test'!$W$9:$W$5008,3063)</f>
        <v>233.08147291761395</v>
      </c>
      <c r="AR3065">
        <f>1/(COUNT('Iter No Test'!$W$9:$W$5008)-1)+$AR$3064</f>
        <v>0.61252250450089596</v>
      </c>
    </row>
    <row r="3066" spans="22:44">
      <c r="V3066">
        <v>3058</v>
      </c>
      <c r="W3066">
        <v>184.65741693630758</v>
      </c>
      <c r="AQ3066">
        <f>SMALL('Iter No Test'!$W$9:$W$5008,3064)</f>
        <v>233.1176144451978</v>
      </c>
      <c r="AR3066">
        <f>1/(COUNT('Iter No Test'!$W$9:$W$5008)-1)+$AR$3065</f>
        <v>0.61272254450889752</v>
      </c>
    </row>
    <row r="3067" spans="22:44">
      <c r="V3067">
        <v>3059</v>
      </c>
      <c r="W3067">
        <v>229.91310193104945</v>
      </c>
      <c r="AQ3067">
        <f>SMALL('Iter No Test'!$W$9:$W$5008,3065)</f>
        <v>233.22714984829994</v>
      </c>
      <c r="AR3067">
        <f>1/(COUNT('Iter No Test'!$W$9:$W$5008)-1)+$AR$3066</f>
        <v>0.61292258451689907</v>
      </c>
    </row>
    <row r="3068" spans="22:44">
      <c r="V3068">
        <v>3060</v>
      </c>
      <c r="W3068">
        <v>68.251723347358507</v>
      </c>
      <c r="AQ3068">
        <f>SMALL('Iter No Test'!$W$9:$W$5008,3066)</f>
        <v>233.24420799789334</v>
      </c>
      <c r="AR3068">
        <f>1/(COUNT('Iter No Test'!$W$9:$W$5008)-1)+$AR$3067</f>
        <v>0.61312262452490063</v>
      </c>
    </row>
    <row r="3069" spans="22:44">
      <c r="V3069">
        <v>3061</v>
      </c>
      <c r="W3069">
        <v>173.4110877128652</v>
      </c>
      <c r="AQ3069">
        <f>SMALL('Iter No Test'!$W$9:$W$5008,3067)</f>
        <v>233.29573876472867</v>
      </c>
      <c r="AR3069">
        <f>1/(COUNT('Iter No Test'!$W$9:$W$5008)-1)+$AR$3068</f>
        <v>0.61332266453290218</v>
      </c>
    </row>
    <row r="3070" spans="22:44">
      <c r="V3070">
        <v>3062</v>
      </c>
      <c r="W3070">
        <v>113.20674907008718</v>
      </c>
      <c r="AQ3070">
        <f>SMALL('Iter No Test'!$W$9:$W$5008,3068)</f>
        <v>233.3030036008924</v>
      </c>
      <c r="AR3070">
        <f>1/(COUNT('Iter No Test'!$W$9:$W$5008)-1)+$AR$3069</f>
        <v>0.61352270454090374</v>
      </c>
    </row>
    <row r="3071" spans="22:44">
      <c r="V3071">
        <v>3063</v>
      </c>
      <c r="W3071">
        <v>181.70991240606452</v>
      </c>
      <c r="AQ3071">
        <f>SMALL('Iter No Test'!$W$9:$W$5008,3069)</f>
        <v>233.30954507653385</v>
      </c>
      <c r="AR3071">
        <f>1/(COUNT('Iter No Test'!$W$9:$W$5008)-1)+$AR$3070</f>
        <v>0.6137227445489053</v>
      </c>
    </row>
    <row r="3072" spans="22:44">
      <c r="V3072">
        <v>3064</v>
      </c>
      <c r="W3072">
        <v>290.64577237879882</v>
      </c>
      <c r="AQ3072">
        <f>SMALL('Iter No Test'!$W$9:$W$5008,3070)</f>
        <v>233.3336581837718</v>
      </c>
      <c r="AR3072">
        <f>1/(COUNT('Iter No Test'!$W$9:$W$5008)-1)+$AR$3071</f>
        <v>0.61392278455690685</v>
      </c>
    </row>
    <row r="3073" spans="22:44">
      <c r="V3073">
        <v>3065</v>
      </c>
      <c r="W3073">
        <v>71.910806684623566</v>
      </c>
      <c r="AQ3073">
        <f>SMALL('Iter No Test'!$W$9:$W$5008,3071)</f>
        <v>233.39868085951795</v>
      </c>
      <c r="AR3073">
        <f>1/(COUNT('Iter No Test'!$W$9:$W$5008)-1)+$AR$3072</f>
        <v>0.61412282456490841</v>
      </c>
    </row>
    <row r="3074" spans="22:44">
      <c r="V3074">
        <v>3066</v>
      </c>
      <c r="W3074">
        <v>213.14481598979427</v>
      </c>
      <c r="AQ3074">
        <f>SMALL('Iter No Test'!$W$9:$W$5008,3072)</f>
        <v>233.40654441632495</v>
      </c>
      <c r="AR3074">
        <f>1/(COUNT('Iter No Test'!$W$9:$W$5008)-1)+$AR$3073</f>
        <v>0.61432286457290997</v>
      </c>
    </row>
    <row r="3075" spans="22:44">
      <c r="V3075">
        <v>3067</v>
      </c>
      <c r="W3075">
        <v>86.99411537281992</v>
      </c>
      <c r="AQ3075">
        <f>SMALL('Iter No Test'!$W$9:$W$5008,3073)</f>
        <v>233.43844273163043</v>
      </c>
      <c r="AR3075">
        <f>1/(COUNT('Iter No Test'!$W$9:$W$5008)-1)+$AR$3074</f>
        <v>0.61452290458091152</v>
      </c>
    </row>
    <row r="3076" spans="22:44">
      <c r="V3076">
        <v>3068</v>
      </c>
      <c r="W3076">
        <v>245.1327088775829</v>
      </c>
      <c r="AQ3076">
        <f>SMALL('Iter No Test'!$W$9:$W$5008,3074)</f>
        <v>233.47305655485329</v>
      </c>
      <c r="AR3076">
        <f>1/(COUNT('Iter No Test'!$W$9:$W$5008)-1)+$AR$3075</f>
        <v>0.61472294458891308</v>
      </c>
    </row>
    <row r="3077" spans="22:44">
      <c r="V3077">
        <v>3069</v>
      </c>
      <c r="W3077">
        <v>269.57917466648007</v>
      </c>
      <c r="AQ3077">
        <f>SMALL('Iter No Test'!$W$9:$W$5008,3075)</f>
        <v>233.4808043385213</v>
      </c>
      <c r="AR3077">
        <f>1/(COUNT('Iter No Test'!$W$9:$W$5008)-1)+$AR$3076</f>
        <v>0.61492298459691463</v>
      </c>
    </row>
    <row r="3078" spans="22:44">
      <c r="V3078">
        <v>3070</v>
      </c>
      <c r="W3078">
        <v>180.50623226675097</v>
      </c>
      <c r="AQ3078">
        <f>SMALL('Iter No Test'!$W$9:$W$5008,3076)</f>
        <v>233.51070410339898</v>
      </c>
      <c r="AR3078">
        <f>1/(COUNT('Iter No Test'!$W$9:$W$5008)-1)+$AR$3077</f>
        <v>0.61512302460491619</v>
      </c>
    </row>
    <row r="3079" spans="22:44">
      <c r="V3079">
        <v>3071</v>
      </c>
      <c r="W3079">
        <v>42.27559022007901</v>
      </c>
      <c r="AQ3079">
        <f>SMALL('Iter No Test'!$W$9:$W$5008,3077)</f>
        <v>233.57967330970331</v>
      </c>
      <c r="AR3079">
        <f>1/(COUNT('Iter No Test'!$W$9:$W$5008)-1)+$AR$3078</f>
        <v>0.61532306461291775</v>
      </c>
    </row>
    <row r="3080" spans="22:44">
      <c r="V3080">
        <v>3072</v>
      </c>
      <c r="W3080">
        <v>190.99532998675858</v>
      </c>
      <c r="AQ3080">
        <f>SMALL('Iter No Test'!$W$9:$W$5008,3078)</f>
        <v>233.64953148971406</v>
      </c>
      <c r="AR3080">
        <f>1/(COUNT('Iter No Test'!$W$9:$W$5008)-1)+$AR$3079</f>
        <v>0.6155231046209193</v>
      </c>
    </row>
    <row r="3081" spans="22:44">
      <c r="V3081">
        <v>3073</v>
      </c>
      <c r="W3081">
        <v>215.46540556534421</v>
      </c>
      <c r="AQ3081">
        <f>SMALL('Iter No Test'!$W$9:$W$5008,3079)</f>
        <v>233.66923574089486</v>
      </c>
      <c r="AR3081">
        <f>1/(COUNT('Iter No Test'!$W$9:$W$5008)-1)+$AR$3080</f>
        <v>0.61572314462892086</v>
      </c>
    </row>
    <row r="3082" spans="22:44">
      <c r="V3082">
        <v>3074</v>
      </c>
      <c r="W3082">
        <v>252.38040156383269</v>
      </c>
      <c r="AQ3082">
        <f>SMALL('Iter No Test'!$W$9:$W$5008,3080)</f>
        <v>233.71697710319714</v>
      </c>
      <c r="AR3082">
        <f>1/(COUNT('Iter No Test'!$W$9:$W$5008)-1)+$AR$3081</f>
        <v>0.61592318463692242</v>
      </c>
    </row>
    <row r="3083" spans="22:44">
      <c r="V3083">
        <v>3075</v>
      </c>
      <c r="W3083">
        <v>68.68006820272322</v>
      </c>
      <c r="AQ3083">
        <f>SMALL('Iter No Test'!$W$9:$W$5008,3081)</f>
        <v>233.78015616350581</v>
      </c>
      <c r="AR3083">
        <f>1/(COUNT('Iter No Test'!$W$9:$W$5008)-1)+$AR$3082</f>
        <v>0.61612322464492397</v>
      </c>
    </row>
    <row r="3084" spans="22:44">
      <c r="V3084">
        <v>3076</v>
      </c>
      <c r="W3084">
        <v>194.41990072190842</v>
      </c>
      <c r="AQ3084">
        <f>SMALL('Iter No Test'!$W$9:$W$5008,3082)</f>
        <v>233.85093053494273</v>
      </c>
      <c r="AR3084">
        <f>1/(COUNT('Iter No Test'!$W$9:$W$5008)-1)+$AR$3083</f>
        <v>0.61632326465292553</v>
      </c>
    </row>
    <row r="3085" spans="22:44">
      <c r="V3085">
        <v>3077</v>
      </c>
      <c r="W3085">
        <v>165.77042869492951</v>
      </c>
      <c r="AQ3085">
        <f>SMALL('Iter No Test'!$W$9:$W$5008,3083)</f>
        <v>233.90162029289911</v>
      </c>
      <c r="AR3085">
        <f>1/(COUNT('Iter No Test'!$W$9:$W$5008)-1)+$AR$3084</f>
        <v>0.61652330466092709</v>
      </c>
    </row>
    <row r="3086" spans="22:44">
      <c r="V3086">
        <v>3078</v>
      </c>
      <c r="W3086">
        <v>113.24949453805932</v>
      </c>
      <c r="AQ3086">
        <f>SMALL('Iter No Test'!$W$9:$W$5008,3084)</f>
        <v>233.96506292099676</v>
      </c>
      <c r="AR3086">
        <f>1/(COUNT('Iter No Test'!$W$9:$W$5008)-1)+$AR$3085</f>
        <v>0.61672334466892864</v>
      </c>
    </row>
    <row r="3087" spans="22:44">
      <c r="V3087">
        <v>3079</v>
      </c>
      <c r="W3087">
        <v>172.45720669908866</v>
      </c>
      <c r="AQ3087">
        <f>SMALL('Iter No Test'!$W$9:$W$5008,3085)</f>
        <v>233.98128866026039</v>
      </c>
      <c r="AR3087">
        <f>1/(COUNT('Iter No Test'!$W$9:$W$5008)-1)+$AR$3086</f>
        <v>0.6169233846769302</v>
      </c>
    </row>
    <row r="3088" spans="22:44">
      <c r="V3088">
        <v>3080</v>
      </c>
      <c r="W3088">
        <v>117.26652734733887</v>
      </c>
      <c r="AQ3088">
        <f>SMALL('Iter No Test'!$W$9:$W$5008,3086)</f>
        <v>234.01439004601974</v>
      </c>
      <c r="AR3088">
        <f>1/(COUNT('Iter No Test'!$W$9:$W$5008)-1)+$AR$3087</f>
        <v>0.61712342468493175</v>
      </c>
    </row>
    <row r="3089" spans="22:44">
      <c r="V3089">
        <v>3081</v>
      </c>
      <c r="W3089">
        <v>163.80628194277583</v>
      </c>
      <c r="AQ3089">
        <f>SMALL('Iter No Test'!$W$9:$W$5008,3087)</f>
        <v>234.03431247199981</v>
      </c>
      <c r="AR3089">
        <f>1/(COUNT('Iter No Test'!$W$9:$W$5008)-1)+$AR$3088</f>
        <v>0.61732346469293331</v>
      </c>
    </row>
    <row r="3090" spans="22:44">
      <c r="V3090">
        <v>3082</v>
      </c>
      <c r="W3090">
        <v>320.01042155238417</v>
      </c>
      <c r="AQ3090">
        <f>SMALL('Iter No Test'!$W$9:$W$5008,3088)</f>
        <v>234.09059896011962</v>
      </c>
      <c r="AR3090">
        <f>1/(COUNT('Iter No Test'!$W$9:$W$5008)-1)+$AR$3089</f>
        <v>0.61752350470093487</v>
      </c>
    </row>
    <row r="3091" spans="22:44">
      <c r="V3091">
        <v>3083</v>
      </c>
      <c r="W3091">
        <v>221.77936223939031</v>
      </c>
      <c r="AQ3091">
        <f>SMALL('Iter No Test'!$W$9:$W$5008,3089)</f>
        <v>234.11744806214767</v>
      </c>
      <c r="AR3091">
        <f>1/(COUNT('Iter No Test'!$W$9:$W$5008)-1)+$AR$3090</f>
        <v>0.61772354470893642</v>
      </c>
    </row>
    <row r="3092" spans="22:44">
      <c r="V3092">
        <v>3084</v>
      </c>
      <c r="W3092">
        <v>271.40469673416942</v>
      </c>
      <c r="AQ3092">
        <f>SMALL('Iter No Test'!$W$9:$W$5008,3090)</f>
        <v>234.17823013309822</v>
      </c>
      <c r="AR3092">
        <f>1/(COUNT('Iter No Test'!$W$9:$W$5008)-1)+$AR$3091</f>
        <v>0.61792358471693798</v>
      </c>
    </row>
    <row r="3093" spans="22:44">
      <c r="V3093">
        <v>3085</v>
      </c>
      <c r="W3093">
        <v>188.36709501154792</v>
      </c>
      <c r="AQ3093">
        <f>SMALL('Iter No Test'!$W$9:$W$5008,3091)</f>
        <v>234.21984874486145</v>
      </c>
      <c r="AR3093">
        <f>1/(COUNT('Iter No Test'!$W$9:$W$5008)-1)+$AR$3092</f>
        <v>0.61812362472493954</v>
      </c>
    </row>
    <row r="3094" spans="22:44">
      <c r="V3094">
        <v>3086</v>
      </c>
      <c r="W3094">
        <v>257.5421667391297</v>
      </c>
      <c r="AQ3094">
        <f>SMALL('Iter No Test'!$W$9:$W$5008,3092)</f>
        <v>234.28284163062182</v>
      </c>
      <c r="AR3094">
        <f>1/(COUNT('Iter No Test'!$W$9:$W$5008)-1)+$AR$3093</f>
        <v>0.61832366473294109</v>
      </c>
    </row>
    <row r="3095" spans="22:44">
      <c r="V3095">
        <v>3087</v>
      </c>
      <c r="W3095">
        <v>231.100015052944</v>
      </c>
      <c r="AQ3095">
        <f>SMALL('Iter No Test'!$W$9:$W$5008,3093)</f>
        <v>234.36253941022957</v>
      </c>
      <c r="AR3095">
        <f>1/(COUNT('Iter No Test'!$W$9:$W$5008)-1)+$AR$3094</f>
        <v>0.61852370474094265</v>
      </c>
    </row>
    <row r="3096" spans="22:44">
      <c r="V3096">
        <v>3088</v>
      </c>
      <c r="W3096">
        <v>274.19023542429625</v>
      </c>
      <c r="AQ3096">
        <f>SMALL('Iter No Test'!$W$9:$W$5008,3094)</f>
        <v>234.36465630639614</v>
      </c>
      <c r="AR3096">
        <f>1/(COUNT('Iter No Test'!$W$9:$W$5008)-1)+$AR$3095</f>
        <v>0.6187237447489442</v>
      </c>
    </row>
    <row r="3097" spans="22:44">
      <c r="V3097">
        <v>3089</v>
      </c>
      <c r="W3097">
        <v>94.829965489236031</v>
      </c>
      <c r="AQ3097">
        <f>SMALL('Iter No Test'!$W$9:$W$5008,3095)</f>
        <v>234.36698733508666</v>
      </c>
      <c r="AR3097">
        <f>1/(COUNT('Iter No Test'!$W$9:$W$5008)-1)+$AR$3096</f>
        <v>0.61892378475694576</v>
      </c>
    </row>
    <row r="3098" spans="22:44">
      <c r="V3098">
        <v>3090</v>
      </c>
      <c r="W3098">
        <v>266.06668543500825</v>
      </c>
      <c r="AQ3098">
        <f>SMALL('Iter No Test'!$W$9:$W$5008,3096)</f>
        <v>234.38938739813048</v>
      </c>
      <c r="AR3098">
        <f>1/(COUNT('Iter No Test'!$W$9:$W$5008)-1)+$AR$3097</f>
        <v>0.61912382476494732</v>
      </c>
    </row>
    <row r="3099" spans="22:44">
      <c r="V3099">
        <v>3091</v>
      </c>
      <c r="W3099">
        <v>324.73293031261164</v>
      </c>
      <c r="AQ3099">
        <f>SMALL('Iter No Test'!$W$9:$W$5008,3097)</f>
        <v>234.50304473909426</v>
      </c>
      <c r="AR3099">
        <f>1/(COUNT('Iter No Test'!$W$9:$W$5008)-1)+$AR$3098</f>
        <v>0.61932386477294887</v>
      </c>
    </row>
    <row r="3100" spans="22:44">
      <c r="V3100">
        <v>3092</v>
      </c>
      <c r="W3100">
        <v>169.69736779928155</v>
      </c>
      <c r="AQ3100">
        <f>SMALL('Iter No Test'!$W$9:$W$5008,3098)</f>
        <v>234.52740441721275</v>
      </c>
      <c r="AR3100">
        <f>1/(COUNT('Iter No Test'!$W$9:$W$5008)-1)+$AR$3099</f>
        <v>0.61952390478095043</v>
      </c>
    </row>
    <row r="3101" spans="22:44">
      <c r="V3101">
        <v>3093</v>
      </c>
      <c r="W3101">
        <v>251.45602156163807</v>
      </c>
      <c r="AQ3101">
        <f>SMALL('Iter No Test'!$W$9:$W$5008,3099)</f>
        <v>234.56171014544833</v>
      </c>
      <c r="AR3101">
        <f>1/(COUNT('Iter No Test'!$W$9:$W$5008)-1)+$AR$3100</f>
        <v>0.61972394478895199</v>
      </c>
    </row>
    <row r="3102" spans="22:44">
      <c r="V3102">
        <v>3094</v>
      </c>
      <c r="W3102">
        <v>262.91776379742066</v>
      </c>
      <c r="AQ3102">
        <f>SMALL('Iter No Test'!$W$9:$W$5008,3100)</f>
        <v>234.58772693704395</v>
      </c>
      <c r="AR3102">
        <f>1/(COUNT('Iter No Test'!$W$9:$W$5008)-1)+$AR$3101</f>
        <v>0.61992398479695354</v>
      </c>
    </row>
    <row r="3103" spans="22:44">
      <c r="V3103">
        <v>3095</v>
      </c>
      <c r="W3103">
        <v>314.99094937873059</v>
      </c>
      <c r="AQ3103">
        <f>SMALL('Iter No Test'!$W$9:$W$5008,3101)</f>
        <v>234.64254831877122</v>
      </c>
      <c r="AR3103">
        <f>1/(COUNT('Iter No Test'!$W$9:$W$5008)-1)+$AR$3102</f>
        <v>0.6201240248049551</v>
      </c>
    </row>
    <row r="3104" spans="22:44">
      <c r="V3104">
        <v>3096</v>
      </c>
      <c r="W3104">
        <v>266.52086166517722</v>
      </c>
      <c r="AQ3104">
        <f>SMALL('Iter No Test'!$W$9:$W$5008,3102)</f>
        <v>234.66048315282728</v>
      </c>
      <c r="AR3104">
        <f>1/(COUNT('Iter No Test'!$W$9:$W$5008)-1)+$AR$3103</f>
        <v>0.62032406481295665</v>
      </c>
    </row>
    <row r="3105" spans="22:44">
      <c r="V3105">
        <v>3097</v>
      </c>
      <c r="W3105">
        <v>181.05142028376065</v>
      </c>
      <c r="AQ3105">
        <f>SMALL('Iter No Test'!$W$9:$W$5008,3103)</f>
        <v>234.71324724875518</v>
      </c>
      <c r="AR3105">
        <f>1/(COUNT('Iter No Test'!$W$9:$W$5008)-1)+$AR$3104</f>
        <v>0.62052410482095821</v>
      </c>
    </row>
    <row r="3106" spans="22:44">
      <c r="V3106">
        <v>3098</v>
      </c>
      <c r="W3106">
        <v>187.66179258689303</v>
      </c>
      <c r="AQ3106">
        <f>SMALL('Iter No Test'!$W$9:$W$5008,3104)</f>
        <v>234.82249536202593</v>
      </c>
      <c r="AR3106">
        <f>1/(COUNT('Iter No Test'!$W$9:$W$5008)-1)+$AR$3105</f>
        <v>0.62072414482895977</v>
      </c>
    </row>
    <row r="3107" spans="22:44">
      <c r="V3107">
        <v>3099</v>
      </c>
      <c r="W3107">
        <v>160.21195152874762</v>
      </c>
      <c r="AQ3107">
        <f>SMALL('Iter No Test'!$W$9:$W$5008,3105)</f>
        <v>234.82409927885013</v>
      </c>
      <c r="AR3107">
        <f>1/(COUNT('Iter No Test'!$W$9:$W$5008)-1)+$AR$3106</f>
        <v>0.62092418483696132</v>
      </c>
    </row>
    <row r="3108" spans="22:44">
      <c r="V3108">
        <v>3100</v>
      </c>
      <c r="W3108">
        <v>331.19326147140634</v>
      </c>
      <c r="AQ3108">
        <f>SMALL('Iter No Test'!$W$9:$W$5008,3106)</f>
        <v>234.83278672474211</v>
      </c>
      <c r="AR3108">
        <f>1/(COUNT('Iter No Test'!$W$9:$W$5008)-1)+$AR$3107</f>
        <v>0.62112422484496288</v>
      </c>
    </row>
    <row r="3109" spans="22:44">
      <c r="V3109">
        <v>3101</v>
      </c>
      <c r="W3109">
        <v>262.99072830254397</v>
      </c>
      <c r="AQ3109">
        <f>SMALL('Iter No Test'!$W$9:$W$5008,3107)</f>
        <v>234.87957136242107</v>
      </c>
      <c r="AR3109">
        <f>1/(COUNT('Iter No Test'!$W$9:$W$5008)-1)+$AR$3108</f>
        <v>0.62132426485296444</v>
      </c>
    </row>
    <row r="3110" spans="22:44">
      <c r="V3110">
        <v>3102</v>
      </c>
      <c r="W3110">
        <v>219.37941387317619</v>
      </c>
      <c r="AQ3110">
        <f>SMALL('Iter No Test'!$W$9:$W$5008,3108)</f>
        <v>234.92149712568437</v>
      </c>
      <c r="AR3110">
        <f>1/(COUNT('Iter No Test'!$W$9:$W$5008)-1)+$AR$3109</f>
        <v>0.62152430486096599</v>
      </c>
    </row>
    <row r="3111" spans="22:44">
      <c r="V3111">
        <v>3103</v>
      </c>
      <c r="W3111">
        <v>241.04244507068586</v>
      </c>
      <c r="AQ3111">
        <f>SMALL('Iter No Test'!$W$9:$W$5008,3109)</f>
        <v>234.92276506996492</v>
      </c>
      <c r="AR3111">
        <f>1/(COUNT('Iter No Test'!$W$9:$W$5008)-1)+$AR$3110</f>
        <v>0.62172434486896755</v>
      </c>
    </row>
    <row r="3112" spans="22:44">
      <c r="V3112">
        <v>3104</v>
      </c>
      <c r="W3112">
        <v>134.17248879861438</v>
      </c>
      <c r="AQ3112">
        <f>SMALL('Iter No Test'!$W$9:$W$5008,3110)</f>
        <v>234.98502802330322</v>
      </c>
      <c r="AR3112">
        <f>1/(COUNT('Iter No Test'!$W$9:$W$5008)-1)+$AR$3111</f>
        <v>0.62192438487696911</v>
      </c>
    </row>
    <row r="3113" spans="22:44">
      <c r="V3113">
        <v>3105</v>
      </c>
      <c r="W3113">
        <v>320.23179818431538</v>
      </c>
      <c r="AQ3113">
        <f>SMALL('Iter No Test'!$W$9:$W$5008,3111)</f>
        <v>234.99118654772337</v>
      </c>
      <c r="AR3113">
        <f>1/(COUNT('Iter No Test'!$W$9:$W$5008)-1)+$AR$3112</f>
        <v>0.62212442488497066</v>
      </c>
    </row>
    <row r="3114" spans="22:44">
      <c r="V3114">
        <v>3106</v>
      </c>
      <c r="W3114">
        <v>215.69465415480079</v>
      </c>
      <c r="AQ3114">
        <f>SMALL('Iter No Test'!$W$9:$W$5008,3112)</f>
        <v>235.08203197344008</v>
      </c>
      <c r="AR3114">
        <f>1/(COUNT('Iter No Test'!$W$9:$W$5008)-1)+$AR$3113</f>
        <v>0.62232446489297222</v>
      </c>
    </row>
    <row r="3115" spans="22:44">
      <c r="V3115">
        <v>3107</v>
      </c>
      <c r="W3115">
        <v>129.17551495863958</v>
      </c>
      <c r="AQ3115">
        <f>SMALL('Iter No Test'!$W$9:$W$5008,3113)</f>
        <v>235.29172281458406</v>
      </c>
      <c r="AR3115">
        <f>1/(COUNT('Iter No Test'!$W$9:$W$5008)-1)+$AR$3114</f>
        <v>0.62252450490097377</v>
      </c>
    </row>
    <row r="3116" spans="22:44">
      <c r="V3116">
        <v>3108</v>
      </c>
      <c r="W3116">
        <v>296.42913593634341</v>
      </c>
      <c r="AQ3116">
        <f>SMALL('Iter No Test'!$W$9:$W$5008,3114)</f>
        <v>235.35318095188171</v>
      </c>
      <c r="AR3116">
        <f>1/(COUNT('Iter No Test'!$W$9:$W$5008)-1)+$AR$3115</f>
        <v>0.62272454490897533</v>
      </c>
    </row>
    <row r="3117" spans="22:44">
      <c r="V3117">
        <v>3109</v>
      </c>
      <c r="W3117">
        <v>261.9914192093479</v>
      </c>
      <c r="AQ3117">
        <f>SMALL('Iter No Test'!$W$9:$W$5008,3115)</f>
        <v>235.54777519992621</v>
      </c>
      <c r="AR3117">
        <f>1/(COUNT('Iter No Test'!$W$9:$W$5008)-1)+$AR$3116</f>
        <v>0.62292458491697689</v>
      </c>
    </row>
    <row r="3118" spans="22:44">
      <c r="V3118">
        <v>3110</v>
      </c>
      <c r="W3118">
        <v>217.53676200044583</v>
      </c>
      <c r="AQ3118">
        <f>SMALL('Iter No Test'!$W$9:$W$5008,3116)</f>
        <v>235.64041541917436</v>
      </c>
      <c r="AR3118">
        <f>1/(COUNT('Iter No Test'!$W$9:$W$5008)-1)+$AR$3117</f>
        <v>0.62312462492497844</v>
      </c>
    </row>
    <row r="3119" spans="22:44">
      <c r="V3119">
        <v>3111</v>
      </c>
      <c r="W3119">
        <v>162.61294607964811</v>
      </c>
      <c r="AQ3119">
        <f>SMALL('Iter No Test'!$W$9:$W$5008,3117)</f>
        <v>235.72886527500668</v>
      </c>
      <c r="AR3119">
        <f>1/(COUNT('Iter No Test'!$W$9:$W$5008)-1)+$AR$3118</f>
        <v>0.62332466493298</v>
      </c>
    </row>
    <row r="3120" spans="22:44">
      <c r="V3120">
        <v>3112</v>
      </c>
      <c r="W3120">
        <v>129.66457752577571</v>
      </c>
      <c r="AQ3120">
        <f>SMALL('Iter No Test'!$W$9:$W$5008,3118)</f>
        <v>235.77031483681893</v>
      </c>
      <c r="AR3120">
        <f>1/(COUNT('Iter No Test'!$W$9:$W$5008)-1)+$AR$3119</f>
        <v>0.62352470494098156</v>
      </c>
    </row>
    <row r="3121" spans="22:44">
      <c r="V3121">
        <v>3113</v>
      </c>
      <c r="W3121">
        <v>317.59250420150829</v>
      </c>
      <c r="AQ3121">
        <f>SMALL('Iter No Test'!$W$9:$W$5008,3119)</f>
        <v>235.77408509954449</v>
      </c>
      <c r="AR3121">
        <f>1/(COUNT('Iter No Test'!$W$9:$W$5008)-1)+$AR$3120</f>
        <v>0.62372474494898311</v>
      </c>
    </row>
    <row r="3122" spans="22:44">
      <c r="V3122">
        <v>3114</v>
      </c>
      <c r="W3122">
        <v>187.11426112244698</v>
      </c>
      <c r="AQ3122">
        <f>SMALL('Iter No Test'!$W$9:$W$5008,3120)</f>
        <v>235.80614211480543</v>
      </c>
      <c r="AR3122">
        <f>1/(COUNT('Iter No Test'!$W$9:$W$5008)-1)+$AR$3121</f>
        <v>0.62392478495698467</v>
      </c>
    </row>
    <row r="3123" spans="22:44">
      <c r="V3123">
        <v>3115</v>
      </c>
      <c r="W3123">
        <v>103.66736712385109</v>
      </c>
      <c r="AQ3123">
        <f>SMALL('Iter No Test'!$W$9:$W$5008,3121)</f>
        <v>235.85242167630315</v>
      </c>
      <c r="AR3123">
        <f>1/(COUNT('Iter No Test'!$W$9:$W$5008)-1)+$AR$3122</f>
        <v>0.62412482496498622</v>
      </c>
    </row>
    <row r="3124" spans="22:44">
      <c r="V3124">
        <v>3116</v>
      </c>
      <c r="W3124">
        <v>138.51753223323715</v>
      </c>
      <c r="AQ3124">
        <f>SMALL('Iter No Test'!$W$9:$W$5008,3122)</f>
        <v>235.93805144486012</v>
      </c>
      <c r="AR3124">
        <f>1/(COUNT('Iter No Test'!$W$9:$W$5008)-1)+$AR$3123</f>
        <v>0.62432486497298778</v>
      </c>
    </row>
    <row r="3125" spans="22:44">
      <c r="V3125">
        <v>3117</v>
      </c>
      <c r="W3125">
        <v>206.04060568483928</v>
      </c>
      <c r="AQ3125">
        <f>SMALL('Iter No Test'!$W$9:$W$5008,3123)</f>
        <v>236.04643356945959</v>
      </c>
      <c r="AR3125">
        <f>1/(COUNT('Iter No Test'!$W$9:$W$5008)-1)+$AR$3124</f>
        <v>0.62452490498098934</v>
      </c>
    </row>
    <row r="3126" spans="22:44">
      <c r="V3126">
        <v>3118</v>
      </c>
      <c r="W3126">
        <v>243.9643625302721</v>
      </c>
      <c r="AQ3126">
        <f>SMALL('Iter No Test'!$W$9:$W$5008,3124)</f>
        <v>236.07388507160564</v>
      </c>
      <c r="AR3126">
        <f>1/(COUNT('Iter No Test'!$W$9:$W$5008)-1)+$AR$3125</f>
        <v>0.62472494498899089</v>
      </c>
    </row>
    <row r="3127" spans="22:44">
      <c r="V3127">
        <v>3119</v>
      </c>
      <c r="W3127">
        <v>265.11031590939024</v>
      </c>
      <c r="AQ3127">
        <f>SMALL('Iter No Test'!$W$9:$W$5008,3125)</f>
        <v>236.13880930151885</v>
      </c>
      <c r="AR3127">
        <f>1/(COUNT('Iter No Test'!$W$9:$W$5008)-1)+$AR$3126</f>
        <v>0.62492498499699245</v>
      </c>
    </row>
    <row r="3128" spans="22:44">
      <c r="V3128">
        <v>3120</v>
      </c>
      <c r="W3128">
        <v>211.26975717830899</v>
      </c>
      <c r="AQ3128">
        <f>SMALL('Iter No Test'!$W$9:$W$5008,3126)</f>
        <v>236.17034508817153</v>
      </c>
      <c r="AR3128">
        <f>1/(COUNT('Iter No Test'!$W$9:$W$5008)-1)+$AR$3127</f>
        <v>0.62512502500499401</v>
      </c>
    </row>
    <row r="3129" spans="22:44">
      <c r="V3129">
        <v>3121</v>
      </c>
      <c r="W3129">
        <v>151.08057679455766</v>
      </c>
      <c r="AQ3129">
        <f>SMALL('Iter No Test'!$W$9:$W$5008,3127)</f>
        <v>236.21410807597047</v>
      </c>
      <c r="AR3129">
        <f>1/(COUNT('Iter No Test'!$W$9:$W$5008)-1)+$AR$3128</f>
        <v>0.62532506501299556</v>
      </c>
    </row>
    <row r="3130" spans="22:44">
      <c r="V3130">
        <v>3122</v>
      </c>
      <c r="W3130">
        <v>318.42477142799271</v>
      </c>
      <c r="AQ3130">
        <f>SMALL('Iter No Test'!$W$9:$W$5008,3128)</f>
        <v>236.22662978930208</v>
      </c>
      <c r="AR3130">
        <f>1/(COUNT('Iter No Test'!$W$9:$W$5008)-1)+$AR$3129</f>
        <v>0.62552510502099712</v>
      </c>
    </row>
    <row r="3131" spans="22:44">
      <c r="V3131">
        <v>3123</v>
      </c>
      <c r="W3131">
        <v>251.07458615246037</v>
      </c>
      <c r="AQ3131">
        <f>SMALL('Iter No Test'!$W$9:$W$5008,3129)</f>
        <v>236.32742617096014</v>
      </c>
      <c r="AR3131">
        <f>1/(COUNT('Iter No Test'!$W$9:$W$5008)-1)+$AR$3130</f>
        <v>0.62572514502899867</v>
      </c>
    </row>
    <row r="3132" spans="22:44">
      <c r="V3132">
        <v>3124</v>
      </c>
      <c r="W3132">
        <v>316.3115013409269</v>
      </c>
      <c r="AQ3132">
        <f>SMALL('Iter No Test'!$W$9:$W$5008,3130)</f>
        <v>236.36460148505117</v>
      </c>
      <c r="AR3132">
        <f>1/(COUNT('Iter No Test'!$W$9:$W$5008)-1)+$AR$3131</f>
        <v>0.62592518503700023</v>
      </c>
    </row>
    <row r="3133" spans="22:44">
      <c r="V3133">
        <v>3125</v>
      </c>
      <c r="W3133">
        <v>229.75416476676435</v>
      </c>
      <c r="AQ3133">
        <f>SMALL('Iter No Test'!$W$9:$W$5008,3131)</f>
        <v>236.4006626836277</v>
      </c>
      <c r="AR3133">
        <f>1/(COUNT('Iter No Test'!$W$9:$W$5008)-1)+$AR$3132</f>
        <v>0.62612522504500179</v>
      </c>
    </row>
    <row r="3134" spans="22:44">
      <c r="V3134">
        <v>3126</v>
      </c>
      <c r="W3134">
        <v>74.134810871912734</v>
      </c>
      <c r="AQ3134">
        <f>SMALL('Iter No Test'!$W$9:$W$5008,3132)</f>
        <v>236.48592152579329</v>
      </c>
      <c r="AR3134">
        <f>1/(COUNT('Iter No Test'!$W$9:$W$5008)-1)+$AR$3133</f>
        <v>0.62632526505300334</v>
      </c>
    </row>
    <row r="3135" spans="22:44">
      <c r="V3135">
        <v>3127</v>
      </c>
      <c r="W3135">
        <v>202.81272174013287</v>
      </c>
      <c r="AQ3135">
        <f>SMALL('Iter No Test'!$W$9:$W$5008,3133)</f>
        <v>236.51306193761965</v>
      </c>
      <c r="AR3135">
        <f>1/(COUNT('Iter No Test'!$W$9:$W$5008)-1)+$AR$3134</f>
        <v>0.6265253050610049</v>
      </c>
    </row>
    <row r="3136" spans="22:44">
      <c r="V3136">
        <v>3128</v>
      </c>
      <c r="W3136">
        <v>389.80441435392333</v>
      </c>
      <c r="AQ3136">
        <f>SMALL('Iter No Test'!$W$9:$W$5008,3134)</f>
        <v>236.56764732174793</v>
      </c>
      <c r="AR3136">
        <f>1/(COUNT('Iter No Test'!$W$9:$W$5008)-1)+$AR$3135</f>
        <v>0.62672534506900646</v>
      </c>
    </row>
    <row r="3137" spans="22:44">
      <c r="V3137">
        <v>3129</v>
      </c>
      <c r="W3137">
        <v>166.14900138760714</v>
      </c>
      <c r="AQ3137">
        <f>SMALL('Iter No Test'!$W$9:$W$5008,3135)</f>
        <v>236.58301072347305</v>
      </c>
      <c r="AR3137">
        <f>1/(COUNT('Iter No Test'!$W$9:$W$5008)-1)+$AR$3136</f>
        <v>0.62692538507700801</v>
      </c>
    </row>
    <row r="3138" spans="22:44">
      <c r="V3138">
        <v>3130</v>
      </c>
      <c r="W3138">
        <v>218.35388553914606</v>
      </c>
      <c r="AQ3138">
        <f>SMALL('Iter No Test'!$W$9:$W$5008,3136)</f>
        <v>236.63304769711263</v>
      </c>
      <c r="AR3138">
        <f>1/(COUNT('Iter No Test'!$W$9:$W$5008)-1)+$AR$3137</f>
        <v>0.62712542508500957</v>
      </c>
    </row>
    <row r="3139" spans="22:44">
      <c r="V3139">
        <v>3131</v>
      </c>
      <c r="W3139">
        <v>276.39626578588968</v>
      </c>
      <c r="AQ3139">
        <f>SMALL('Iter No Test'!$W$9:$W$5008,3137)</f>
        <v>236.63905863263864</v>
      </c>
      <c r="AR3139">
        <f>1/(COUNT('Iter No Test'!$W$9:$W$5008)-1)+$AR$3138</f>
        <v>0.62732546509301113</v>
      </c>
    </row>
    <row r="3140" spans="22:44">
      <c r="V3140">
        <v>3132</v>
      </c>
      <c r="W3140">
        <v>208.88299207478417</v>
      </c>
      <c r="AQ3140">
        <f>SMALL('Iter No Test'!$W$9:$W$5008,3138)</f>
        <v>236.65994166683578</v>
      </c>
      <c r="AR3140">
        <f>1/(COUNT('Iter No Test'!$W$9:$W$5008)-1)+$AR$3139</f>
        <v>0.62752550510101268</v>
      </c>
    </row>
    <row r="3141" spans="22:44">
      <c r="V3141">
        <v>3133</v>
      </c>
      <c r="W3141">
        <v>175.77042966809626</v>
      </c>
      <c r="AQ3141">
        <f>SMALL('Iter No Test'!$W$9:$W$5008,3139)</f>
        <v>236.68227910925395</v>
      </c>
      <c r="AR3141">
        <f>1/(COUNT('Iter No Test'!$W$9:$W$5008)-1)+$AR$3140</f>
        <v>0.62772554510901424</v>
      </c>
    </row>
    <row r="3142" spans="22:44">
      <c r="V3142">
        <v>3134</v>
      </c>
      <c r="W3142">
        <v>146.70529465290679</v>
      </c>
      <c r="AQ3142">
        <f>SMALL('Iter No Test'!$W$9:$W$5008,3140)</f>
        <v>236.83544068079365</v>
      </c>
      <c r="AR3142">
        <f>1/(COUNT('Iter No Test'!$W$9:$W$5008)-1)+$AR$3141</f>
        <v>0.62792558511701579</v>
      </c>
    </row>
    <row r="3143" spans="22:44">
      <c r="V3143">
        <v>3135</v>
      </c>
      <c r="W3143">
        <v>121.28560047090548</v>
      </c>
      <c r="AQ3143">
        <f>SMALL('Iter No Test'!$W$9:$W$5008,3141)</f>
        <v>236.85852001651864</v>
      </c>
      <c r="AR3143">
        <f>1/(COUNT('Iter No Test'!$W$9:$W$5008)-1)+$AR$3142</f>
        <v>0.62812562512501735</v>
      </c>
    </row>
    <row r="3144" spans="22:44">
      <c r="V3144">
        <v>3136</v>
      </c>
      <c r="W3144">
        <v>202.81492184790201</v>
      </c>
      <c r="AQ3144">
        <f>SMALL('Iter No Test'!$W$9:$W$5008,3142)</f>
        <v>236.90544074146538</v>
      </c>
      <c r="AR3144">
        <f>1/(COUNT('Iter No Test'!$W$9:$W$5008)-1)+$AR$3143</f>
        <v>0.62832566513301891</v>
      </c>
    </row>
    <row r="3145" spans="22:44">
      <c r="V3145">
        <v>3137</v>
      </c>
      <c r="W3145">
        <v>254.42219449437209</v>
      </c>
      <c r="AQ3145">
        <f>SMALL('Iter No Test'!$W$9:$W$5008,3143)</f>
        <v>236.91772167661892</v>
      </c>
      <c r="AR3145">
        <f>1/(COUNT('Iter No Test'!$W$9:$W$5008)-1)+$AR$3144</f>
        <v>0.62852570514102046</v>
      </c>
    </row>
    <row r="3146" spans="22:44">
      <c r="V3146">
        <v>3138</v>
      </c>
      <c r="W3146">
        <v>127.93382814125511</v>
      </c>
      <c r="AQ3146">
        <f>SMALL('Iter No Test'!$W$9:$W$5008,3144)</f>
        <v>236.97845215243842</v>
      </c>
      <c r="AR3146">
        <f>1/(COUNT('Iter No Test'!$W$9:$W$5008)-1)+$AR$3145</f>
        <v>0.62872574514902202</v>
      </c>
    </row>
    <row r="3147" spans="22:44">
      <c r="V3147">
        <v>3139</v>
      </c>
      <c r="W3147">
        <v>264.68687748988577</v>
      </c>
      <c r="AQ3147">
        <f>SMALL('Iter No Test'!$W$9:$W$5008,3145)</f>
        <v>236.98895661323886</v>
      </c>
      <c r="AR3147">
        <f>1/(COUNT('Iter No Test'!$W$9:$W$5008)-1)+$AR$3146</f>
        <v>0.62892578515702358</v>
      </c>
    </row>
    <row r="3148" spans="22:44">
      <c r="V3148">
        <v>3140</v>
      </c>
      <c r="W3148">
        <v>182.13877222852778</v>
      </c>
      <c r="AQ3148">
        <f>SMALL('Iter No Test'!$W$9:$W$5008,3146)</f>
        <v>237.02289528370738</v>
      </c>
      <c r="AR3148">
        <f>1/(COUNT('Iter No Test'!$W$9:$W$5008)-1)+$AR$3147</f>
        <v>0.62912582516502513</v>
      </c>
    </row>
    <row r="3149" spans="22:44">
      <c r="V3149">
        <v>3141</v>
      </c>
      <c r="W3149">
        <v>193.17973979954951</v>
      </c>
      <c r="AQ3149">
        <f>SMALL('Iter No Test'!$W$9:$W$5008,3147)</f>
        <v>237.03535817847046</v>
      </c>
      <c r="AR3149">
        <f>1/(COUNT('Iter No Test'!$W$9:$W$5008)-1)+$AR$3148</f>
        <v>0.62932586517302669</v>
      </c>
    </row>
    <row r="3150" spans="22:44">
      <c r="V3150">
        <v>3142</v>
      </c>
      <c r="W3150">
        <v>220.91683917921205</v>
      </c>
      <c r="AQ3150">
        <f>SMALL('Iter No Test'!$W$9:$W$5008,3148)</f>
        <v>237.07365731856567</v>
      </c>
      <c r="AR3150">
        <f>1/(COUNT('Iter No Test'!$W$9:$W$5008)-1)+$AR$3149</f>
        <v>0.62952590518102824</v>
      </c>
    </row>
    <row r="3151" spans="22:44">
      <c r="V3151">
        <v>3143</v>
      </c>
      <c r="W3151">
        <v>317.30907663950478</v>
      </c>
      <c r="AQ3151">
        <f>SMALL('Iter No Test'!$W$9:$W$5008,3149)</f>
        <v>237.07868074791551</v>
      </c>
      <c r="AR3151">
        <f>1/(COUNT('Iter No Test'!$W$9:$W$5008)-1)+$AR$3150</f>
        <v>0.6297259451890298</v>
      </c>
    </row>
    <row r="3152" spans="22:44">
      <c r="V3152">
        <v>3144</v>
      </c>
      <c r="W3152">
        <v>133.26110065605059</v>
      </c>
      <c r="AQ3152">
        <f>SMALL('Iter No Test'!$W$9:$W$5008,3150)</f>
        <v>237.10339910017314</v>
      </c>
      <c r="AR3152">
        <f>1/(COUNT('Iter No Test'!$W$9:$W$5008)-1)+$AR$3151</f>
        <v>0.62992598519703136</v>
      </c>
    </row>
    <row r="3153" spans="22:44">
      <c r="V3153">
        <v>3145</v>
      </c>
      <c r="W3153">
        <v>111.56178544021296</v>
      </c>
      <c r="AQ3153">
        <f>SMALL('Iter No Test'!$W$9:$W$5008,3151)</f>
        <v>237.12151365663837</v>
      </c>
      <c r="AR3153">
        <f>1/(COUNT('Iter No Test'!$W$9:$W$5008)-1)+$AR$3152</f>
        <v>0.63012602520503291</v>
      </c>
    </row>
    <row r="3154" spans="22:44">
      <c r="V3154">
        <v>3146</v>
      </c>
      <c r="W3154">
        <v>207.89447157700567</v>
      </c>
      <c r="AQ3154">
        <f>SMALL('Iter No Test'!$W$9:$W$5008,3152)</f>
        <v>237.12775566443787</v>
      </c>
      <c r="AR3154">
        <f>1/(COUNT('Iter No Test'!$W$9:$W$5008)-1)+$AR$3153</f>
        <v>0.63032606521303447</v>
      </c>
    </row>
    <row r="3155" spans="22:44">
      <c r="V3155">
        <v>3147</v>
      </c>
      <c r="W3155">
        <v>227.68417053030498</v>
      </c>
      <c r="AQ3155">
        <f>SMALL('Iter No Test'!$W$9:$W$5008,3153)</f>
        <v>237.12938577491417</v>
      </c>
      <c r="AR3155">
        <f>1/(COUNT('Iter No Test'!$W$9:$W$5008)-1)+$AR$3154</f>
        <v>0.63052610522103603</v>
      </c>
    </row>
    <row r="3156" spans="22:44">
      <c r="V3156">
        <v>3148</v>
      </c>
      <c r="W3156">
        <v>200.65117731634675</v>
      </c>
      <c r="AQ3156">
        <f>SMALL('Iter No Test'!$W$9:$W$5008,3154)</f>
        <v>237.32469099991192</v>
      </c>
      <c r="AR3156">
        <f>1/(COUNT('Iter No Test'!$W$9:$W$5008)-1)+$AR$3155</f>
        <v>0.63072614522903758</v>
      </c>
    </row>
    <row r="3157" spans="22:44">
      <c r="V3157">
        <v>3149</v>
      </c>
      <c r="W3157">
        <v>286.53117000545285</v>
      </c>
      <c r="AQ3157">
        <f>SMALL('Iter No Test'!$W$9:$W$5008,3155)</f>
        <v>237.32776313738154</v>
      </c>
      <c r="AR3157">
        <f>1/(COUNT('Iter No Test'!$W$9:$W$5008)-1)+$AR$3156</f>
        <v>0.63092618523703914</v>
      </c>
    </row>
    <row r="3158" spans="22:44">
      <c r="V3158">
        <v>3150</v>
      </c>
      <c r="W3158">
        <v>102.60636394973329</v>
      </c>
      <c r="AQ3158">
        <f>SMALL('Iter No Test'!$W$9:$W$5008,3156)</f>
        <v>237.35166062138609</v>
      </c>
      <c r="AR3158">
        <f>1/(COUNT('Iter No Test'!$W$9:$W$5008)-1)+$AR$3157</f>
        <v>0.6311262252450407</v>
      </c>
    </row>
    <row r="3159" spans="22:44">
      <c r="V3159">
        <v>3151</v>
      </c>
      <c r="W3159">
        <v>270.27856638003334</v>
      </c>
      <c r="AQ3159">
        <f>SMALL('Iter No Test'!$W$9:$W$5008,3157)</f>
        <v>237.35663573455037</v>
      </c>
      <c r="AR3159">
        <f>1/(COUNT('Iter No Test'!$W$9:$W$5008)-1)+$AR$3158</f>
        <v>0.63132626525304225</v>
      </c>
    </row>
    <row r="3160" spans="22:44">
      <c r="V3160">
        <v>3152</v>
      </c>
      <c r="W3160">
        <v>172.26962331272358</v>
      </c>
      <c r="AQ3160">
        <f>SMALL('Iter No Test'!$W$9:$W$5008,3158)</f>
        <v>237.43946979242907</v>
      </c>
      <c r="AR3160">
        <f>1/(COUNT('Iter No Test'!$W$9:$W$5008)-1)+$AR$3159</f>
        <v>0.63152630526104381</v>
      </c>
    </row>
    <row r="3161" spans="22:44">
      <c r="V3161">
        <v>3153</v>
      </c>
      <c r="W3161">
        <v>88.246134283982386</v>
      </c>
      <c r="AQ3161">
        <f>SMALL('Iter No Test'!$W$9:$W$5008,3159)</f>
        <v>237.44986270666573</v>
      </c>
      <c r="AR3161">
        <f>1/(COUNT('Iter No Test'!$W$9:$W$5008)-1)+$AR$3160</f>
        <v>0.63172634526904536</v>
      </c>
    </row>
    <row r="3162" spans="22:44">
      <c r="V3162">
        <v>3154</v>
      </c>
      <c r="W3162">
        <v>142.96251174798556</v>
      </c>
      <c r="AQ3162">
        <f>SMALL('Iter No Test'!$W$9:$W$5008,3160)</f>
        <v>237.50940562685955</v>
      </c>
      <c r="AR3162">
        <f>1/(COUNT('Iter No Test'!$W$9:$W$5008)-1)+$AR$3161</f>
        <v>0.63192638527704692</v>
      </c>
    </row>
    <row r="3163" spans="22:44">
      <c r="V3163">
        <v>3155</v>
      </c>
      <c r="W3163">
        <v>116.7117148610558</v>
      </c>
      <c r="AQ3163">
        <f>SMALL('Iter No Test'!$W$9:$W$5008,3161)</f>
        <v>237.53972251111028</v>
      </c>
      <c r="AR3163">
        <f>1/(COUNT('Iter No Test'!$W$9:$W$5008)-1)+$AR$3162</f>
        <v>0.63212642528504848</v>
      </c>
    </row>
    <row r="3164" spans="22:44">
      <c r="V3164">
        <v>3156</v>
      </c>
      <c r="W3164">
        <v>222.2853804824282</v>
      </c>
      <c r="AQ3164">
        <f>SMALL('Iter No Test'!$W$9:$W$5008,3162)</f>
        <v>237.55090426043949</v>
      </c>
      <c r="AR3164">
        <f>1/(COUNT('Iter No Test'!$W$9:$W$5008)-1)+$AR$3163</f>
        <v>0.63232646529305003</v>
      </c>
    </row>
    <row r="3165" spans="22:44">
      <c r="V3165">
        <v>3157</v>
      </c>
      <c r="W3165">
        <v>124.00197412522336</v>
      </c>
      <c r="AQ3165">
        <f>SMALL('Iter No Test'!$W$9:$W$5008,3163)</f>
        <v>237.69345484869879</v>
      </c>
      <c r="AR3165">
        <f>1/(COUNT('Iter No Test'!$W$9:$W$5008)-1)+$AR$3164</f>
        <v>0.63252650530105159</v>
      </c>
    </row>
    <row r="3166" spans="22:44">
      <c r="V3166">
        <v>3158</v>
      </c>
      <c r="W3166">
        <v>224.08857690157393</v>
      </c>
      <c r="AQ3166">
        <f>SMALL('Iter No Test'!$W$9:$W$5008,3164)</f>
        <v>237.75166153926972</v>
      </c>
      <c r="AR3166">
        <f>1/(COUNT('Iter No Test'!$W$9:$W$5008)-1)+$AR$3165</f>
        <v>0.63272654530905315</v>
      </c>
    </row>
    <row r="3167" spans="22:44">
      <c r="V3167">
        <v>3159</v>
      </c>
      <c r="W3167">
        <v>220.97306956549852</v>
      </c>
      <c r="AQ3167">
        <f>SMALL('Iter No Test'!$W$9:$W$5008,3165)</f>
        <v>237.85762634522496</v>
      </c>
      <c r="AR3167">
        <f>1/(COUNT('Iter No Test'!$W$9:$W$5008)-1)+$AR$3166</f>
        <v>0.6329265853170547</v>
      </c>
    </row>
    <row r="3168" spans="22:44">
      <c r="V3168">
        <v>3160</v>
      </c>
      <c r="W3168">
        <v>367.36170214232072</v>
      </c>
      <c r="AQ3168">
        <f>SMALL('Iter No Test'!$W$9:$W$5008,3166)</f>
        <v>237.87442459226003</v>
      </c>
      <c r="AR3168">
        <f>1/(COUNT('Iter No Test'!$W$9:$W$5008)-1)+$AR$3167</f>
        <v>0.63312662532505626</v>
      </c>
    </row>
    <row r="3169" spans="22:44">
      <c r="V3169">
        <v>3161</v>
      </c>
      <c r="W3169">
        <v>214.47559338750409</v>
      </c>
      <c r="AQ3169">
        <f>SMALL('Iter No Test'!$W$9:$W$5008,3167)</f>
        <v>237.88396269405561</v>
      </c>
      <c r="AR3169">
        <f>1/(COUNT('Iter No Test'!$W$9:$W$5008)-1)+$AR$3168</f>
        <v>0.63332666533305781</v>
      </c>
    </row>
    <row r="3170" spans="22:44">
      <c r="V3170">
        <v>3162</v>
      </c>
      <c r="W3170">
        <v>231.88233307299632</v>
      </c>
      <c r="AQ3170">
        <f>SMALL('Iter No Test'!$W$9:$W$5008,3168)</f>
        <v>237.895280852887</v>
      </c>
      <c r="AR3170">
        <f>1/(COUNT('Iter No Test'!$W$9:$W$5008)-1)+$AR$3169</f>
        <v>0.63352670534105937</v>
      </c>
    </row>
    <row r="3171" spans="22:44">
      <c r="V3171">
        <v>3163</v>
      </c>
      <c r="W3171">
        <v>406.55923283105483</v>
      </c>
      <c r="AQ3171">
        <f>SMALL('Iter No Test'!$W$9:$W$5008,3169)</f>
        <v>237.90257671068261</v>
      </c>
      <c r="AR3171">
        <f>1/(COUNT('Iter No Test'!$W$9:$W$5008)-1)+$AR$3170</f>
        <v>0.63372674534906093</v>
      </c>
    </row>
    <row r="3172" spans="22:44">
      <c r="V3172">
        <v>3164</v>
      </c>
      <c r="W3172">
        <v>138.52087954831725</v>
      </c>
      <c r="AQ3172">
        <f>SMALL('Iter No Test'!$W$9:$W$5008,3170)</f>
        <v>237.98761107777048</v>
      </c>
      <c r="AR3172">
        <f>1/(COUNT('Iter No Test'!$W$9:$W$5008)-1)+$AR$3171</f>
        <v>0.63392678535706248</v>
      </c>
    </row>
    <row r="3173" spans="22:44">
      <c r="V3173">
        <v>3165</v>
      </c>
      <c r="W3173">
        <v>326.47876085625671</v>
      </c>
      <c r="AQ3173">
        <f>SMALL('Iter No Test'!$W$9:$W$5008,3171)</f>
        <v>238.00694567236985</v>
      </c>
      <c r="AR3173">
        <f>1/(COUNT('Iter No Test'!$W$9:$W$5008)-1)+$AR$3172</f>
        <v>0.63412682536506404</v>
      </c>
    </row>
    <row r="3174" spans="22:44">
      <c r="V3174">
        <v>3166</v>
      </c>
      <c r="W3174">
        <v>187.491701951718</v>
      </c>
      <c r="AQ3174">
        <f>SMALL('Iter No Test'!$W$9:$W$5008,3172)</f>
        <v>238.02788228947094</v>
      </c>
      <c r="AR3174">
        <f>1/(COUNT('Iter No Test'!$W$9:$W$5008)-1)+$AR$3173</f>
        <v>0.6343268653730656</v>
      </c>
    </row>
    <row r="3175" spans="22:44">
      <c r="V3175">
        <v>3167</v>
      </c>
      <c r="W3175">
        <v>93.521951234648412</v>
      </c>
      <c r="AQ3175">
        <f>SMALL('Iter No Test'!$W$9:$W$5008,3173)</f>
        <v>238.06434109610109</v>
      </c>
      <c r="AR3175">
        <f>1/(COUNT('Iter No Test'!$W$9:$W$5008)-1)+$AR$3174</f>
        <v>0.63452690538106715</v>
      </c>
    </row>
    <row r="3176" spans="22:44">
      <c r="V3176">
        <v>3168</v>
      </c>
      <c r="W3176">
        <v>348.58975523038418</v>
      </c>
      <c r="AQ3176">
        <f>SMALL('Iter No Test'!$W$9:$W$5008,3174)</f>
        <v>238.06953405965413</v>
      </c>
      <c r="AR3176">
        <f>1/(COUNT('Iter No Test'!$W$9:$W$5008)-1)+$AR$3175</f>
        <v>0.63472694538906871</v>
      </c>
    </row>
    <row r="3177" spans="22:44">
      <c r="V3177">
        <v>3169</v>
      </c>
      <c r="W3177">
        <v>172.90256367584658</v>
      </c>
      <c r="AQ3177">
        <f>SMALL('Iter No Test'!$W$9:$W$5008,3175)</f>
        <v>238.0972429660458</v>
      </c>
      <c r="AR3177">
        <f>1/(COUNT('Iter No Test'!$W$9:$W$5008)-1)+$AR$3176</f>
        <v>0.63492698539707026</v>
      </c>
    </row>
    <row r="3178" spans="22:44">
      <c r="V3178">
        <v>3170</v>
      </c>
      <c r="W3178">
        <v>366.4404403367048</v>
      </c>
      <c r="AQ3178">
        <f>SMALL('Iter No Test'!$W$9:$W$5008,3176)</f>
        <v>238.12637736086708</v>
      </c>
      <c r="AR3178">
        <f>1/(COUNT('Iter No Test'!$W$9:$W$5008)-1)+$AR$3177</f>
        <v>0.63512702540507182</v>
      </c>
    </row>
    <row r="3179" spans="22:44">
      <c r="V3179">
        <v>3171</v>
      </c>
      <c r="W3179">
        <v>239.82306670118837</v>
      </c>
      <c r="AQ3179">
        <f>SMALL('Iter No Test'!$W$9:$W$5008,3177)</f>
        <v>238.16191158784508</v>
      </c>
      <c r="AR3179">
        <f>1/(COUNT('Iter No Test'!$W$9:$W$5008)-1)+$AR$3178</f>
        <v>0.63532706541307338</v>
      </c>
    </row>
    <row r="3180" spans="22:44">
      <c r="V3180">
        <v>3172</v>
      </c>
      <c r="W3180">
        <v>153.23691058346822</v>
      </c>
      <c r="AQ3180">
        <f>SMALL('Iter No Test'!$W$9:$W$5008,3178)</f>
        <v>238.25084971031092</v>
      </c>
      <c r="AR3180">
        <f>1/(COUNT('Iter No Test'!$W$9:$W$5008)-1)+$AR$3179</f>
        <v>0.63552710542107493</v>
      </c>
    </row>
    <row r="3181" spans="22:44">
      <c r="V3181">
        <v>3173</v>
      </c>
      <c r="W3181">
        <v>230.72777490394043</v>
      </c>
      <c r="AQ3181">
        <f>SMALL('Iter No Test'!$W$9:$W$5008,3179)</f>
        <v>238.31393485810119</v>
      </c>
      <c r="AR3181">
        <f>1/(COUNT('Iter No Test'!$W$9:$W$5008)-1)+$AR$3180</f>
        <v>0.63572714542907649</v>
      </c>
    </row>
    <row r="3182" spans="22:44">
      <c r="V3182">
        <v>3174</v>
      </c>
      <c r="W3182">
        <v>19.114779677326823</v>
      </c>
      <c r="AQ3182">
        <f>SMALL('Iter No Test'!$W$9:$W$5008,3180)</f>
        <v>238.45472212289934</v>
      </c>
      <c r="AR3182">
        <f>1/(COUNT('Iter No Test'!$W$9:$W$5008)-1)+$AR$3181</f>
        <v>0.63592718543707805</v>
      </c>
    </row>
    <row r="3183" spans="22:44">
      <c r="V3183">
        <v>3175</v>
      </c>
      <c r="W3183">
        <v>48.390964909039894</v>
      </c>
      <c r="AQ3183">
        <f>SMALL('Iter No Test'!$W$9:$W$5008,3181)</f>
        <v>238.5439539945589</v>
      </c>
      <c r="AR3183">
        <f>1/(COUNT('Iter No Test'!$W$9:$W$5008)-1)+$AR$3182</f>
        <v>0.6361272254450796</v>
      </c>
    </row>
    <row r="3184" spans="22:44">
      <c r="V3184">
        <v>3176</v>
      </c>
      <c r="W3184">
        <v>72.98684113794701</v>
      </c>
      <c r="AQ3184">
        <f>SMALL('Iter No Test'!$W$9:$W$5008,3182)</f>
        <v>238.67163319793866</v>
      </c>
      <c r="AR3184">
        <f>1/(COUNT('Iter No Test'!$W$9:$W$5008)-1)+$AR$3183</f>
        <v>0.63632726545308116</v>
      </c>
    </row>
    <row r="3185" spans="22:44">
      <c r="V3185">
        <v>3177</v>
      </c>
      <c r="W3185">
        <v>175.60526578336055</v>
      </c>
      <c r="AQ3185">
        <f>SMALL('Iter No Test'!$W$9:$W$5008,3183)</f>
        <v>238.68117935224558</v>
      </c>
      <c r="AR3185">
        <f>1/(COUNT('Iter No Test'!$W$9:$W$5008)-1)+$AR$3184</f>
        <v>0.63652730546108272</v>
      </c>
    </row>
    <row r="3186" spans="22:44">
      <c r="V3186">
        <v>3178</v>
      </c>
      <c r="W3186">
        <v>250.44883920578678</v>
      </c>
      <c r="AQ3186">
        <f>SMALL('Iter No Test'!$W$9:$W$5008,3184)</f>
        <v>238.72422883768837</v>
      </c>
      <c r="AR3186">
        <f>1/(COUNT('Iter No Test'!$W$9:$W$5008)-1)+$AR$3185</f>
        <v>0.63672734546908427</v>
      </c>
    </row>
    <row r="3187" spans="22:44">
      <c r="V3187">
        <v>3179</v>
      </c>
      <c r="W3187">
        <v>199.47836424799357</v>
      </c>
      <c r="AQ3187">
        <f>SMALL('Iter No Test'!$W$9:$W$5008,3185)</f>
        <v>238.78821585091794</v>
      </c>
      <c r="AR3187">
        <f>1/(COUNT('Iter No Test'!$W$9:$W$5008)-1)+$AR$3186</f>
        <v>0.63692738547708583</v>
      </c>
    </row>
    <row r="3188" spans="22:44">
      <c r="V3188">
        <v>3180</v>
      </c>
      <c r="W3188">
        <v>208.40913874585746</v>
      </c>
      <c r="AQ3188">
        <f>SMALL('Iter No Test'!$W$9:$W$5008,3186)</f>
        <v>238.80199723877811</v>
      </c>
      <c r="AR3188">
        <f>1/(COUNT('Iter No Test'!$W$9:$W$5008)-1)+$AR$3187</f>
        <v>0.63712742548508738</v>
      </c>
    </row>
    <row r="3189" spans="22:44">
      <c r="V3189">
        <v>3181</v>
      </c>
      <c r="W3189">
        <v>228.59247679156047</v>
      </c>
      <c r="AQ3189">
        <f>SMALL('Iter No Test'!$W$9:$W$5008,3187)</f>
        <v>239.02832967586454</v>
      </c>
      <c r="AR3189">
        <f>1/(COUNT('Iter No Test'!$W$9:$W$5008)-1)+$AR$3188</f>
        <v>0.63732746549308894</v>
      </c>
    </row>
    <row r="3190" spans="22:44">
      <c r="V3190">
        <v>3182</v>
      </c>
      <c r="W3190">
        <v>268.59903468992172</v>
      </c>
      <c r="AQ3190">
        <f>SMALL('Iter No Test'!$W$9:$W$5008,3188)</f>
        <v>239.04780924089437</v>
      </c>
      <c r="AR3190">
        <f>1/(COUNT('Iter No Test'!$W$9:$W$5008)-1)+$AR$3189</f>
        <v>0.6375275055010905</v>
      </c>
    </row>
    <row r="3191" spans="22:44">
      <c r="V3191">
        <v>3183</v>
      </c>
      <c r="W3191">
        <v>193.89445092766618</v>
      </c>
      <c r="AQ3191">
        <f>SMALL('Iter No Test'!$W$9:$W$5008,3189)</f>
        <v>239.10630192515791</v>
      </c>
      <c r="AR3191">
        <f>1/(COUNT('Iter No Test'!$W$9:$W$5008)-1)+$AR$3190</f>
        <v>0.63772754550909205</v>
      </c>
    </row>
    <row r="3192" spans="22:44">
      <c r="V3192">
        <v>3184</v>
      </c>
      <c r="W3192">
        <v>259.03896605125124</v>
      </c>
      <c r="AQ3192">
        <f>SMALL('Iter No Test'!$W$9:$W$5008,3190)</f>
        <v>239.42465812427943</v>
      </c>
      <c r="AR3192">
        <f>1/(COUNT('Iter No Test'!$W$9:$W$5008)-1)+$AR$3191</f>
        <v>0.63792758551709361</v>
      </c>
    </row>
    <row r="3193" spans="22:44">
      <c r="V3193">
        <v>3185</v>
      </c>
      <c r="W3193">
        <v>253.5993242843432</v>
      </c>
      <c r="AQ3193">
        <f>SMALL('Iter No Test'!$W$9:$W$5008,3191)</f>
        <v>239.44176094363348</v>
      </c>
      <c r="AR3193">
        <f>1/(COUNT('Iter No Test'!$W$9:$W$5008)-1)+$AR$3192</f>
        <v>0.63812762552509517</v>
      </c>
    </row>
    <row r="3194" spans="22:44">
      <c r="V3194">
        <v>3186</v>
      </c>
      <c r="W3194">
        <v>251.8301818622449</v>
      </c>
      <c r="AQ3194">
        <f>SMALL('Iter No Test'!$W$9:$W$5008,3192)</f>
        <v>239.66647444085757</v>
      </c>
      <c r="AR3194">
        <f>1/(COUNT('Iter No Test'!$W$9:$W$5008)-1)+$AR$3193</f>
        <v>0.63832766553309672</v>
      </c>
    </row>
    <row r="3195" spans="22:44">
      <c r="V3195">
        <v>3187</v>
      </c>
      <c r="W3195">
        <v>199.51895623853966</v>
      </c>
      <c r="AQ3195">
        <f>SMALL('Iter No Test'!$W$9:$W$5008,3193)</f>
        <v>239.7165755289175</v>
      </c>
      <c r="AR3195">
        <f>1/(COUNT('Iter No Test'!$W$9:$W$5008)-1)+$AR$3194</f>
        <v>0.63852770554109828</v>
      </c>
    </row>
    <row r="3196" spans="22:44">
      <c r="V3196">
        <v>3188</v>
      </c>
      <c r="W3196">
        <v>322.85995683223547</v>
      </c>
      <c r="AQ3196">
        <f>SMALL('Iter No Test'!$W$9:$W$5008,3194)</f>
        <v>239.81423570151006</v>
      </c>
      <c r="AR3196">
        <f>1/(COUNT('Iter No Test'!$W$9:$W$5008)-1)+$AR$3195</f>
        <v>0.63872774554909983</v>
      </c>
    </row>
    <row r="3197" spans="22:44">
      <c r="V3197">
        <v>3189</v>
      </c>
      <c r="W3197">
        <v>212.03293441777859</v>
      </c>
      <c r="AQ3197">
        <f>SMALL('Iter No Test'!$W$9:$W$5008,3195)</f>
        <v>239.82306670118837</v>
      </c>
      <c r="AR3197">
        <f>1/(COUNT('Iter No Test'!$W$9:$W$5008)-1)+$AR$3196</f>
        <v>0.63892778555710139</v>
      </c>
    </row>
    <row r="3198" spans="22:44">
      <c r="V3198">
        <v>3190</v>
      </c>
      <c r="W3198">
        <v>242.93998429592119</v>
      </c>
      <c r="AQ3198">
        <f>SMALL('Iter No Test'!$W$9:$W$5008,3196)</f>
        <v>239.82683448825708</v>
      </c>
      <c r="AR3198">
        <f>1/(COUNT('Iter No Test'!$W$9:$W$5008)-1)+$AR$3197</f>
        <v>0.63912782556510295</v>
      </c>
    </row>
    <row r="3199" spans="22:44">
      <c r="V3199">
        <v>3191</v>
      </c>
      <c r="W3199">
        <v>129.46124810915944</v>
      </c>
      <c r="AQ3199">
        <f>SMALL('Iter No Test'!$W$9:$W$5008,3197)</f>
        <v>239.93474298406656</v>
      </c>
      <c r="AR3199">
        <f>1/(COUNT('Iter No Test'!$W$9:$W$5008)-1)+$AR$3198</f>
        <v>0.6393278655731045</v>
      </c>
    </row>
    <row r="3200" spans="22:44">
      <c r="V3200">
        <v>3192</v>
      </c>
      <c r="W3200">
        <v>272.08060806461185</v>
      </c>
      <c r="AQ3200">
        <f>SMALL('Iter No Test'!$W$9:$W$5008,3198)</f>
        <v>239.94245059095164</v>
      </c>
      <c r="AR3200">
        <f>1/(COUNT('Iter No Test'!$W$9:$W$5008)-1)+$AR$3199</f>
        <v>0.63952790558110606</v>
      </c>
    </row>
    <row r="3201" spans="22:44">
      <c r="V3201">
        <v>3193</v>
      </c>
      <c r="W3201">
        <v>240.82564568223637</v>
      </c>
      <c r="AQ3201">
        <f>SMALL('Iter No Test'!$W$9:$W$5008,3199)</f>
        <v>239.98604588471392</v>
      </c>
      <c r="AR3201">
        <f>1/(COUNT('Iter No Test'!$W$9:$W$5008)-1)+$AR$3200</f>
        <v>0.63972794558910762</v>
      </c>
    </row>
    <row r="3202" spans="22:44">
      <c r="V3202">
        <v>3194</v>
      </c>
      <c r="W3202">
        <v>207.22565759842635</v>
      </c>
      <c r="AQ3202">
        <f>SMALL('Iter No Test'!$W$9:$W$5008,3200)</f>
        <v>239.99461673185354</v>
      </c>
      <c r="AR3202">
        <f>1/(COUNT('Iter No Test'!$W$9:$W$5008)-1)+$AR$3201</f>
        <v>0.63992798559710917</v>
      </c>
    </row>
    <row r="3203" spans="22:44">
      <c r="V3203">
        <v>3195</v>
      </c>
      <c r="W3203">
        <v>288.49962605445376</v>
      </c>
      <c r="AQ3203">
        <f>SMALL('Iter No Test'!$W$9:$W$5008,3201)</f>
        <v>240.04107050448792</v>
      </c>
      <c r="AR3203">
        <f>1/(COUNT('Iter No Test'!$W$9:$W$5008)-1)+$AR$3202</f>
        <v>0.64012802560511073</v>
      </c>
    </row>
    <row r="3204" spans="22:44">
      <c r="V3204">
        <v>3196</v>
      </c>
      <c r="W3204">
        <v>258.08920307597646</v>
      </c>
      <c r="AQ3204">
        <f>SMALL('Iter No Test'!$W$9:$W$5008,3202)</f>
        <v>240.11779921758583</v>
      </c>
      <c r="AR3204">
        <f>1/(COUNT('Iter No Test'!$W$9:$W$5008)-1)+$AR$3203</f>
        <v>0.64032806561311228</v>
      </c>
    </row>
    <row r="3205" spans="22:44">
      <c r="V3205">
        <v>3197</v>
      </c>
      <c r="W3205">
        <v>124.76885422042187</v>
      </c>
      <c r="AQ3205">
        <f>SMALL('Iter No Test'!$W$9:$W$5008,3203)</f>
        <v>240.13612294354036</v>
      </c>
      <c r="AR3205">
        <f>1/(COUNT('Iter No Test'!$W$9:$W$5008)-1)+$AR$3204</f>
        <v>0.64052810562111384</v>
      </c>
    </row>
    <row r="3206" spans="22:44">
      <c r="V3206">
        <v>3198</v>
      </c>
      <c r="W3206">
        <v>151.24381916569592</v>
      </c>
      <c r="AQ3206">
        <f>SMALL('Iter No Test'!$W$9:$W$5008,3204)</f>
        <v>240.20945271912413</v>
      </c>
      <c r="AR3206">
        <f>1/(COUNT('Iter No Test'!$W$9:$W$5008)-1)+$AR$3205</f>
        <v>0.6407281456291154</v>
      </c>
    </row>
    <row r="3207" spans="22:44">
      <c r="V3207">
        <v>3199</v>
      </c>
      <c r="W3207">
        <v>135.60139013211921</v>
      </c>
      <c r="AQ3207">
        <f>SMALL('Iter No Test'!$W$9:$W$5008,3205)</f>
        <v>240.21376665507631</v>
      </c>
      <c r="AR3207">
        <f>1/(COUNT('Iter No Test'!$W$9:$W$5008)-1)+$AR$3206</f>
        <v>0.64092818563711695</v>
      </c>
    </row>
    <row r="3208" spans="22:44">
      <c r="V3208">
        <v>3200</v>
      </c>
      <c r="W3208">
        <v>231.11888928648852</v>
      </c>
      <c r="AQ3208">
        <f>SMALL('Iter No Test'!$W$9:$W$5008,3206)</f>
        <v>240.51900244502912</v>
      </c>
      <c r="AR3208">
        <f>1/(COUNT('Iter No Test'!$W$9:$W$5008)-1)+$AR$3207</f>
        <v>0.64112822564511851</v>
      </c>
    </row>
    <row r="3209" spans="22:44">
      <c r="V3209">
        <v>3201</v>
      </c>
      <c r="W3209">
        <v>306.59956336980849</v>
      </c>
      <c r="AQ3209">
        <f>SMALL('Iter No Test'!$W$9:$W$5008,3207)</f>
        <v>240.53320682599718</v>
      </c>
      <c r="AR3209">
        <f>1/(COUNT('Iter No Test'!$W$9:$W$5008)-1)+$AR$3208</f>
        <v>0.64132826565312007</v>
      </c>
    </row>
    <row r="3210" spans="22:44">
      <c r="V3210">
        <v>3202</v>
      </c>
      <c r="W3210">
        <v>192.56343273379744</v>
      </c>
      <c r="AQ3210">
        <f>SMALL('Iter No Test'!$W$9:$W$5008,3208)</f>
        <v>240.60882481341326</v>
      </c>
      <c r="AR3210">
        <f>1/(COUNT('Iter No Test'!$W$9:$W$5008)-1)+$AR$3209</f>
        <v>0.64152830566112162</v>
      </c>
    </row>
    <row r="3211" spans="22:44">
      <c r="V3211">
        <v>3203</v>
      </c>
      <c r="W3211">
        <v>200.98319383367684</v>
      </c>
      <c r="AQ3211">
        <f>SMALL('Iter No Test'!$W$9:$W$5008,3209)</f>
        <v>240.66754076197401</v>
      </c>
      <c r="AR3211">
        <f>1/(COUNT('Iter No Test'!$W$9:$W$5008)-1)+$AR$3210</f>
        <v>0.64172834566912318</v>
      </c>
    </row>
    <row r="3212" spans="22:44">
      <c r="V3212">
        <v>3204</v>
      </c>
      <c r="W3212">
        <v>226.81643448643524</v>
      </c>
      <c r="AQ3212">
        <f>SMALL('Iter No Test'!$W$9:$W$5008,3210)</f>
        <v>240.70102360966422</v>
      </c>
      <c r="AR3212">
        <f>1/(COUNT('Iter No Test'!$W$9:$W$5008)-1)+$AR$3211</f>
        <v>0.64192838567712474</v>
      </c>
    </row>
    <row r="3213" spans="22:44">
      <c r="V3213">
        <v>3205</v>
      </c>
      <c r="W3213">
        <v>285.51528091867738</v>
      </c>
      <c r="AQ3213">
        <f>SMALL('Iter No Test'!$W$9:$W$5008,3211)</f>
        <v>240.7073584540243</v>
      </c>
      <c r="AR3213">
        <f>1/(COUNT('Iter No Test'!$W$9:$W$5008)-1)+$AR$3212</f>
        <v>0.64212842568512629</v>
      </c>
    </row>
    <row r="3214" spans="22:44">
      <c r="V3214">
        <v>3206</v>
      </c>
      <c r="W3214">
        <v>271.04237221965968</v>
      </c>
      <c r="AQ3214">
        <f>SMALL('Iter No Test'!$W$9:$W$5008,3212)</f>
        <v>240.76610374062724</v>
      </c>
      <c r="AR3214">
        <f>1/(COUNT('Iter No Test'!$W$9:$W$5008)-1)+$AR$3213</f>
        <v>0.64232846569312785</v>
      </c>
    </row>
    <row r="3215" spans="22:44">
      <c r="V3215">
        <v>3207</v>
      </c>
      <c r="W3215">
        <v>339.59547427651739</v>
      </c>
      <c r="AQ3215">
        <f>SMALL('Iter No Test'!$W$9:$W$5008,3213)</f>
        <v>240.78587987729881</v>
      </c>
      <c r="AR3215">
        <f>1/(COUNT('Iter No Test'!$W$9:$W$5008)-1)+$AR$3214</f>
        <v>0.6425285057011294</v>
      </c>
    </row>
    <row r="3216" spans="22:44">
      <c r="V3216">
        <v>3208</v>
      </c>
      <c r="W3216">
        <v>138.64315437815588</v>
      </c>
      <c r="AQ3216">
        <f>SMALL('Iter No Test'!$W$9:$W$5008,3214)</f>
        <v>240.82564568223637</v>
      </c>
      <c r="AR3216">
        <f>1/(COUNT('Iter No Test'!$W$9:$W$5008)-1)+$AR$3215</f>
        <v>0.64272854570913096</v>
      </c>
    </row>
    <row r="3217" spans="22:44">
      <c r="V3217">
        <v>3209</v>
      </c>
      <c r="W3217">
        <v>405.10805545079029</v>
      </c>
      <c r="AQ3217">
        <f>SMALL('Iter No Test'!$W$9:$W$5008,3215)</f>
        <v>240.85135850882358</v>
      </c>
      <c r="AR3217">
        <f>1/(COUNT('Iter No Test'!$W$9:$W$5008)-1)+$AR$3216</f>
        <v>0.64292858571713252</v>
      </c>
    </row>
    <row r="3218" spans="22:44">
      <c r="V3218">
        <v>3210</v>
      </c>
      <c r="W3218">
        <v>235.85242167630315</v>
      </c>
      <c r="AQ3218">
        <f>SMALL('Iter No Test'!$W$9:$W$5008,3216)</f>
        <v>240.95610856114914</v>
      </c>
      <c r="AR3218">
        <f>1/(COUNT('Iter No Test'!$W$9:$W$5008)-1)+$AR$3217</f>
        <v>0.64312862572513407</v>
      </c>
    </row>
    <row r="3219" spans="22:44">
      <c r="V3219">
        <v>3211</v>
      </c>
      <c r="W3219">
        <v>319.2839254336277</v>
      </c>
      <c r="AQ3219">
        <f>SMALL('Iter No Test'!$W$9:$W$5008,3217)</f>
        <v>241.04244507068586</v>
      </c>
      <c r="AR3219">
        <f>1/(COUNT('Iter No Test'!$W$9:$W$5008)-1)+$AR$3218</f>
        <v>0.64332866573313563</v>
      </c>
    </row>
    <row r="3220" spans="22:44">
      <c r="V3220">
        <v>3212</v>
      </c>
      <c r="W3220">
        <v>161.32792393595997</v>
      </c>
      <c r="AQ3220">
        <f>SMALL('Iter No Test'!$W$9:$W$5008,3218)</f>
        <v>241.04409812880644</v>
      </c>
      <c r="AR3220">
        <f>1/(COUNT('Iter No Test'!$W$9:$W$5008)-1)+$AR$3219</f>
        <v>0.64352870574113719</v>
      </c>
    </row>
    <row r="3221" spans="22:44">
      <c r="V3221">
        <v>3213</v>
      </c>
      <c r="W3221">
        <v>197.27899817953914</v>
      </c>
      <c r="AQ3221">
        <f>SMALL('Iter No Test'!$W$9:$W$5008,3219)</f>
        <v>241.04756143375161</v>
      </c>
      <c r="AR3221">
        <f>1/(COUNT('Iter No Test'!$W$9:$W$5008)-1)+$AR$3220</f>
        <v>0.64372874574913874</v>
      </c>
    </row>
    <row r="3222" spans="22:44">
      <c r="V3222">
        <v>3214</v>
      </c>
      <c r="W3222">
        <v>205.97849980610954</v>
      </c>
      <c r="AQ3222">
        <f>SMALL('Iter No Test'!$W$9:$W$5008,3220)</f>
        <v>241.16422303955699</v>
      </c>
      <c r="AR3222">
        <f>1/(COUNT('Iter No Test'!$W$9:$W$5008)-1)+$AR$3221</f>
        <v>0.6439287857571403</v>
      </c>
    </row>
    <row r="3223" spans="22:44">
      <c r="V3223">
        <v>3215</v>
      </c>
      <c r="W3223">
        <v>123.51671516738872</v>
      </c>
      <c r="AQ3223">
        <f>SMALL('Iter No Test'!$W$9:$W$5008,3221)</f>
        <v>241.23603976241958</v>
      </c>
      <c r="AR3223">
        <f>1/(COUNT('Iter No Test'!$W$9:$W$5008)-1)+$AR$3222</f>
        <v>0.64412882576514185</v>
      </c>
    </row>
    <row r="3224" spans="22:44">
      <c r="V3224">
        <v>3216</v>
      </c>
      <c r="W3224">
        <v>84.002149766492678</v>
      </c>
      <c r="AQ3224">
        <f>SMALL('Iter No Test'!$W$9:$W$5008,3222)</f>
        <v>241.25904261488895</v>
      </c>
      <c r="AR3224">
        <f>1/(COUNT('Iter No Test'!$W$9:$W$5008)-1)+$AR$3223</f>
        <v>0.64432886577314341</v>
      </c>
    </row>
    <row r="3225" spans="22:44">
      <c r="V3225">
        <v>3217</v>
      </c>
      <c r="W3225">
        <v>185.78066121120213</v>
      </c>
      <c r="AQ3225">
        <f>SMALL('Iter No Test'!$W$9:$W$5008,3223)</f>
        <v>241.28896642934905</v>
      </c>
      <c r="AR3225">
        <f>1/(COUNT('Iter No Test'!$W$9:$W$5008)-1)+$AR$3224</f>
        <v>0.64452890578114497</v>
      </c>
    </row>
    <row r="3226" spans="22:44">
      <c r="V3226">
        <v>3218</v>
      </c>
      <c r="W3226">
        <v>151.92381709354686</v>
      </c>
      <c r="AQ3226">
        <f>SMALL('Iter No Test'!$W$9:$W$5008,3224)</f>
        <v>241.30209790680473</v>
      </c>
      <c r="AR3226">
        <f>1/(COUNT('Iter No Test'!$W$9:$W$5008)-1)+$AR$3225</f>
        <v>0.64472894578914652</v>
      </c>
    </row>
    <row r="3227" spans="22:44">
      <c r="V3227">
        <v>3219</v>
      </c>
      <c r="W3227">
        <v>276.79616384606652</v>
      </c>
      <c r="AQ3227">
        <f>SMALL('Iter No Test'!$W$9:$W$5008,3225)</f>
        <v>241.33592076276815</v>
      </c>
      <c r="AR3227">
        <f>1/(COUNT('Iter No Test'!$W$9:$W$5008)-1)+$AR$3226</f>
        <v>0.64492898579714808</v>
      </c>
    </row>
    <row r="3228" spans="22:44">
      <c r="V3228">
        <v>3220</v>
      </c>
      <c r="W3228">
        <v>190.00022233465964</v>
      </c>
      <c r="AQ3228">
        <f>SMALL('Iter No Test'!$W$9:$W$5008,3226)</f>
        <v>241.35324426980856</v>
      </c>
      <c r="AR3228">
        <f>1/(COUNT('Iter No Test'!$W$9:$W$5008)-1)+$AR$3227</f>
        <v>0.64512902580514964</v>
      </c>
    </row>
    <row r="3229" spans="22:44">
      <c r="V3229">
        <v>3221</v>
      </c>
      <c r="W3229">
        <v>240.53320682599718</v>
      </c>
      <c r="AQ3229">
        <f>SMALL('Iter No Test'!$W$9:$W$5008,3227)</f>
        <v>241.43943249661692</v>
      </c>
      <c r="AR3229">
        <f>1/(COUNT('Iter No Test'!$W$9:$W$5008)-1)+$AR$3228</f>
        <v>0.64532906581315119</v>
      </c>
    </row>
    <row r="3230" spans="22:44">
      <c r="V3230">
        <v>3222</v>
      </c>
      <c r="W3230">
        <v>175.21184731044917</v>
      </c>
      <c r="AQ3230">
        <f>SMALL('Iter No Test'!$W$9:$W$5008,3228)</f>
        <v>241.46774575711376</v>
      </c>
      <c r="AR3230">
        <f>1/(COUNT('Iter No Test'!$W$9:$W$5008)-1)+$AR$3229</f>
        <v>0.64552910582115275</v>
      </c>
    </row>
    <row r="3231" spans="22:44">
      <c r="V3231">
        <v>3223</v>
      </c>
      <c r="W3231">
        <v>346.50944285222579</v>
      </c>
      <c r="AQ3231">
        <f>SMALL('Iter No Test'!$W$9:$W$5008,3229)</f>
        <v>241.53374343612677</v>
      </c>
      <c r="AR3231">
        <f>1/(COUNT('Iter No Test'!$W$9:$W$5008)-1)+$AR$3230</f>
        <v>0.64572914582915431</v>
      </c>
    </row>
    <row r="3232" spans="22:44">
      <c r="V3232">
        <v>3224</v>
      </c>
      <c r="W3232">
        <v>223.76992535538301</v>
      </c>
      <c r="AQ3232">
        <f>SMALL('Iter No Test'!$W$9:$W$5008,3230)</f>
        <v>241.59504227276022</v>
      </c>
      <c r="AR3232">
        <f>1/(COUNT('Iter No Test'!$W$9:$W$5008)-1)+$AR$3231</f>
        <v>0.64592918583715586</v>
      </c>
    </row>
    <row r="3233" spans="22:44">
      <c r="V3233">
        <v>3225</v>
      </c>
      <c r="W3233">
        <v>317.95230606076251</v>
      </c>
      <c r="AQ3233">
        <f>SMALL('Iter No Test'!$W$9:$W$5008,3231)</f>
        <v>241.66499868241942</v>
      </c>
      <c r="AR3233">
        <f>1/(COUNT('Iter No Test'!$W$9:$W$5008)-1)+$AR$3232</f>
        <v>0.64612922584515742</v>
      </c>
    </row>
    <row r="3234" spans="22:44">
      <c r="V3234">
        <v>3226</v>
      </c>
      <c r="W3234">
        <v>130.25845284598188</v>
      </c>
      <c r="AQ3234">
        <f>SMALL('Iter No Test'!$W$9:$W$5008,3232)</f>
        <v>241.79057521548427</v>
      </c>
      <c r="AR3234">
        <f>1/(COUNT('Iter No Test'!$W$9:$W$5008)-1)+$AR$3233</f>
        <v>0.64632926585315897</v>
      </c>
    </row>
    <row r="3235" spans="22:44">
      <c r="V3235">
        <v>3227</v>
      </c>
      <c r="W3235">
        <v>259.50317866136129</v>
      </c>
      <c r="AQ3235">
        <f>SMALL('Iter No Test'!$W$9:$W$5008,3233)</f>
        <v>241.83686785958071</v>
      </c>
      <c r="AR3235">
        <f>1/(COUNT('Iter No Test'!$W$9:$W$5008)-1)+$AR$3234</f>
        <v>0.64652930586116053</v>
      </c>
    </row>
    <row r="3236" spans="22:44">
      <c r="V3236">
        <v>3228</v>
      </c>
      <c r="W3236">
        <v>133.97545392118496</v>
      </c>
      <c r="AQ3236">
        <f>SMALL('Iter No Test'!$W$9:$W$5008,3234)</f>
        <v>241.91894134415841</v>
      </c>
      <c r="AR3236">
        <f>1/(COUNT('Iter No Test'!$W$9:$W$5008)-1)+$AR$3235</f>
        <v>0.64672934586916209</v>
      </c>
    </row>
    <row r="3237" spans="22:44">
      <c r="V3237">
        <v>3229</v>
      </c>
      <c r="W3237">
        <v>159.40868412588401</v>
      </c>
      <c r="AQ3237">
        <f>SMALL('Iter No Test'!$W$9:$W$5008,3235)</f>
        <v>241.95958009928708</v>
      </c>
      <c r="AR3237">
        <f>1/(COUNT('Iter No Test'!$W$9:$W$5008)-1)+$AR$3236</f>
        <v>0.64692938587716364</v>
      </c>
    </row>
    <row r="3238" spans="22:44">
      <c r="V3238">
        <v>3230</v>
      </c>
      <c r="W3238">
        <v>210.05628413306817</v>
      </c>
      <c r="AQ3238">
        <f>SMALL('Iter No Test'!$W$9:$W$5008,3236)</f>
        <v>242.26396107949984</v>
      </c>
      <c r="AR3238">
        <f>1/(COUNT('Iter No Test'!$W$9:$W$5008)-1)+$AR$3237</f>
        <v>0.6471294258851652</v>
      </c>
    </row>
    <row r="3239" spans="22:44">
      <c r="V3239">
        <v>3231</v>
      </c>
      <c r="W3239">
        <v>54.872841112177241</v>
      </c>
      <c r="AQ3239">
        <f>SMALL('Iter No Test'!$W$9:$W$5008,3237)</f>
        <v>242.26426600798908</v>
      </c>
      <c r="AR3239">
        <f>1/(COUNT('Iter No Test'!$W$9:$W$5008)-1)+$AR$3238</f>
        <v>0.64732946589316676</v>
      </c>
    </row>
    <row r="3240" spans="22:44">
      <c r="V3240">
        <v>3232</v>
      </c>
      <c r="W3240">
        <v>249.27583312098753</v>
      </c>
      <c r="AQ3240">
        <f>SMALL('Iter No Test'!$W$9:$W$5008,3238)</f>
        <v>242.32347614712566</v>
      </c>
      <c r="AR3240">
        <f>1/(COUNT('Iter No Test'!$W$9:$W$5008)-1)+$AR$3239</f>
        <v>0.64752950590116831</v>
      </c>
    </row>
    <row r="3241" spans="22:44">
      <c r="V3241">
        <v>3233</v>
      </c>
      <c r="W3241">
        <v>267.46514793232393</v>
      </c>
      <c r="AQ3241">
        <f>SMALL('Iter No Test'!$W$9:$W$5008,3239)</f>
        <v>242.32701681036207</v>
      </c>
      <c r="AR3241">
        <f>1/(COUNT('Iter No Test'!$W$9:$W$5008)-1)+$AR$3240</f>
        <v>0.64772954590916987</v>
      </c>
    </row>
    <row r="3242" spans="22:44">
      <c r="V3242">
        <v>3234</v>
      </c>
      <c r="W3242">
        <v>99.935396866270821</v>
      </c>
      <c r="AQ3242">
        <f>SMALL('Iter No Test'!$W$9:$W$5008,3240)</f>
        <v>242.37969828113137</v>
      </c>
      <c r="AR3242">
        <f>1/(COUNT('Iter No Test'!$W$9:$W$5008)-1)+$AR$3241</f>
        <v>0.64792958591717142</v>
      </c>
    </row>
    <row r="3243" spans="22:44">
      <c r="V3243">
        <v>3235</v>
      </c>
      <c r="W3243">
        <v>188.31102460688095</v>
      </c>
      <c r="AQ3243">
        <f>SMALL('Iter No Test'!$W$9:$W$5008,3241)</f>
        <v>242.47973988872059</v>
      </c>
      <c r="AR3243">
        <f>1/(COUNT('Iter No Test'!$W$9:$W$5008)-1)+$AR$3242</f>
        <v>0.64812962592517298</v>
      </c>
    </row>
    <row r="3244" spans="22:44">
      <c r="V3244">
        <v>3236</v>
      </c>
      <c r="W3244">
        <v>71.754283073058957</v>
      </c>
      <c r="AQ3244">
        <f>SMALL('Iter No Test'!$W$9:$W$5008,3242)</f>
        <v>242.53357698265046</v>
      </c>
      <c r="AR3244">
        <f>1/(COUNT('Iter No Test'!$W$9:$W$5008)-1)+$AR$3243</f>
        <v>0.64832966593317454</v>
      </c>
    </row>
    <row r="3245" spans="22:44">
      <c r="V3245">
        <v>3237</v>
      </c>
      <c r="W3245">
        <v>348.75058880501638</v>
      </c>
      <c r="AQ3245">
        <f>SMALL('Iter No Test'!$W$9:$W$5008,3243)</f>
        <v>242.53614282312606</v>
      </c>
      <c r="AR3245">
        <f>1/(COUNT('Iter No Test'!$W$9:$W$5008)-1)+$AR$3244</f>
        <v>0.64852970594117609</v>
      </c>
    </row>
    <row r="3246" spans="22:44">
      <c r="V3246">
        <v>3238</v>
      </c>
      <c r="W3246">
        <v>108.98332327877439</v>
      </c>
      <c r="AQ3246">
        <f>SMALL('Iter No Test'!$W$9:$W$5008,3244)</f>
        <v>242.56293619165174</v>
      </c>
      <c r="AR3246">
        <f>1/(COUNT('Iter No Test'!$W$9:$W$5008)-1)+$AR$3245</f>
        <v>0.64872974594917765</v>
      </c>
    </row>
    <row r="3247" spans="22:44">
      <c r="V3247">
        <v>3239</v>
      </c>
      <c r="W3247">
        <v>101.68761613762467</v>
      </c>
      <c r="AQ3247">
        <f>SMALL('Iter No Test'!$W$9:$W$5008,3245)</f>
        <v>242.60815512266046</v>
      </c>
      <c r="AR3247">
        <f>1/(COUNT('Iter No Test'!$W$9:$W$5008)-1)+$AR$3246</f>
        <v>0.64892978595717921</v>
      </c>
    </row>
    <row r="3248" spans="22:44">
      <c r="V3248">
        <v>3240</v>
      </c>
      <c r="W3248">
        <v>302.25468450246871</v>
      </c>
      <c r="AQ3248">
        <f>SMALL('Iter No Test'!$W$9:$W$5008,3246)</f>
        <v>242.61049287199478</v>
      </c>
      <c r="AR3248">
        <f>1/(COUNT('Iter No Test'!$W$9:$W$5008)-1)+$AR$3247</f>
        <v>0.64912982596518076</v>
      </c>
    </row>
    <row r="3249" spans="22:44">
      <c r="V3249">
        <v>3241</v>
      </c>
      <c r="W3249">
        <v>262.6817211958645</v>
      </c>
      <c r="AQ3249">
        <f>SMALL('Iter No Test'!$W$9:$W$5008,3247)</f>
        <v>242.64119542653498</v>
      </c>
      <c r="AR3249">
        <f>1/(COUNT('Iter No Test'!$W$9:$W$5008)-1)+$AR$3248</f>
        <v>0.64932986597318232</v>
      </c>
    </row>
    <row r="3250" spans="22:44">
      <c r="V3250">
        <v>3242</v>
      </c>
      <c r="W3250">
        <v>46.247503305452597</v>
      </c>
      <c r="AQ3250">
        <f>SMALL('Iter No Test'!$W$9:$W$5008,3248)</f>
        <v>242.67795420557991</v>
      </c>
      <c r="AR3250">
        <f>1/(COUNT('Iter No Test'!$W$9:$W$5008)-1)+$AR$3249</f>
        <v>0.64952990598118387</v>
      </c>
    </row>
    <row r="3251" spans="22:44">
      <c r="V3251">
        <v>3243</v>
      </c>
      <c r="W3251">
        <v>164.02419698666102</v>
      </c>
      <c r="AQ3251">
        <f>SMALL('Iter No Test'!$W$9:$W$5008,3249)</f>
        <v>242.72448446543561</v>
      </c>
      <c r="AR3251">
        <f>1/(COUNT('Iter No Test'!$W$9:$W$5008)-1)+$AR$3250</f>
        <v>0.64972994598918543</v>
      </c>
    </row>
    <row r="3252" spans="22:44">
      <c r="V3252">
        <v>3244</v>
      </c>
      <c r="W3252">
        <v>110.38593706271521</v>
      </c>
      <c r="AQ3252">
        <f>SMALL('Iter No Test'!$W$9:$W$5008,3250)</f>
        <v>242.80202756358435</v>
      </c>
      <c r="AR3252">
        <f>1/(COUNT('Iter No Test'!$W$9:$W$5008)-1)+$AR$3251</f>
        <v>0.64992998599718699</v>
      </c>
    </row>
    <row r="3253" spans="22:44">
      <c r="V3253">
        <v>3245</v>
      </c>
      <c r="W3253">
        <v>115.7979556035294</v>
      </c>
      <c r="AQ3253">
        <f>SMALL('Iter No Test'!$W$9:$W$5008,3251)</f>
        <v>242.81631417779238</v>
      </c>
      <c r="AR3253">
        <f>1/(COUNT('Iter No Test'!$W$9:$W$5008)-1)+$AR$3252</f>
        <v>0.65013002600518854</v>
      </c>
    </row>
    <row r="3254" spans="22:44">
      <c r="V3254">
        <v>3246</v>
      </c>
      <c r="W3254">
        <v>194.97822290318373</v>
      </c>
      <c r="AQ3254">
        <f>SMALL('Iter No Test'!$W$9:$W$5008,3252)</f>
        <v>242.84415233074878</v>
      </c>
      <c r="AR3254">
        <f>1/(COUNT('Iter No Test'!$W$9:$W$5008)-1)+$AR$3253</f>
        <v>0.6503300660131901</v>
      </c>
    </row>
    <row r="3255" spans="22:44">
      <c r="V3255">
        <v>3247</v>
      </c>
      <c r="W3255">
        <v>182.05806647550517</v>
      </c>
      <c r="AQ3255">
        <f>SMALL('Iter No Test'!$W$9:$W$5008,3253)</f>
        <v>242.86118427189609</v>
      </c>
      <c r="AR3255">
        <f>1/(COUNT('Iter No Test'!$W$9:$W$5008)-1)+$AR$3254</f>
        <v>0.65053010602119166</v>
      </c>
    </row>
    <row r="3256" spans="22:44">
      <c r="V3256">
        <v>3248</v>
      </c>
      <c r="W3256">
        <v>233.85093053494273</v>
      </c>
      <c r="AQ3256">
        <f>SMALL('Iter No Test'!$W$9:$W$5008,3254)</f>
        <v>242.93428946666606</v>
      </c>
      <c r="AR3256">
        <f>1/(COUNT('Iter No Test'!$W$9:$W$5008)-1)+$AR$3255</f>
        <v>0.65073014602919321</v>
      </c>
    </row>
    <row r="3257" spans="22:44">
      <c r="V3257">
        <v>3249</v>
      </c>
      <c r="W3257">
        <v>146.2550055337561</v>
      </c>
      <c r="AQ3257">
        <f>SMALL('Iter No Test'!$W$9:$W$5008,3255)</f>
        <v>242.93998429592119</v>
      </c>
      <c r="AR3257">
        <f>1/(COUNT('Iter No Test'!$W$9:$W$5008)-1)+$AR$3256</f>
        <v>0.65093018603719477</v>
      </c>
    </row>
    <row r="3258" spans="22:44">
      <c r="V3258">
        <v>3250</v>
      </c>
      <c r="W3258">
        <v>296.41910906457917</v>
      </c>
      <c r="AQ3258">
        <f>SMALL('Iter No Test'!$W$9:$W$5008,3256)</f>
        <v>242.99214973349569</v>
      </c>
      <c r="AR3258">
        <f>1/(COUNT('Iter No Test'!$W$9:$W$5008)-1)+$AR$3257</f>
        <v>0.65113022604519633</v>
      </c>
    </row>
    <row r="3259" spans="22:44">
      <c r="V3259">
        <v>3251</v>
      </c>
      <c r="W3259">
        <v>167.13943090625003</v>
      </c>
      <c r="AQ3259">
        <f>SMALL('Iter No Test'!$W$9:$W$5008,3257)</f>
        <v>243.04672815311358</v>
      </c>
      <c r="AR3259">
        <f>1/(COUNT('Iter No Test'!$W$9:$W$5008)-1)+$AR$3258</f>
        <v>0.65133026605319788</v>
      </c>
    </row>
    <row r="3260" spans="22:44">
      <c r="V3260">
        <v>3252</v>
      </c>
      <c r="W3260">
        <v>52.950853540905612</v>
      </c>
      <c r="AQ3260">
        <f>SMALL('Iter No Test'!$W$9:$W$5008,3258)</f>
        <v>243.06834322397981</v>
      </c>
      <c r="AR3260">
        <f>1/(COUNT('Iter No Test'!$W$9:$W$5008)-1)+$AR$3259</f>
        <v>0.65153030606119944</v>
      </c>
    </row>
    <row r="3261" spans="22:44">
      <c r="V3261">
        <v>3253</v>
      </c>
      <c r="W3261">
        <v>250.19268825264226</v>
      </c>
      <c r="AQ3261">
        <f>SMALL('Iter No Test'!$W$9:$W$5008,3259)</f>
        <v>243.16380634270388</v>
      </c>
      <c r="AR3261">
        <f>1/(COUNT('Iter No Test'!$W$9:$W$5008)-1)+$AR$3260</f>
        <v>0.65173034606920099</v>
      </c>
    </row>
    <row r="3262" spans="22:44">
      <c r="V3262">
        <v>3254</v>
      </c>
      <c r="W3262">
        <v>154.54023244386264</v>
      </c>
      <c r="AQ3262">
        <f>SMALL('Iter No Test'!$W$9:$W$5008,3260)</f>
        <v>243.16990381070946</v>
      </c>
      <c r="AR3262">
        <f>1/(COUNT('Iter No Test'!$W$9:$W$5008)-1)+$AR$3261</f>
        <v>0.65193038607720255</v>
      </c>
    </row>
    <row r="3263" spans="22:44">
      <c r="V3263">
        <v>3255</v>
      </c>
      <c r="W3263">
        <v>219.34826149704142</v>
      </c>
      <c r="AQ3263">
        <f>SMALL('Iter No Test'!$W$9:$W$5008,3261)</f>
        <v>243.19209853508886</v>
      </c>
      <c r="AR3263">
        <f>1/(COUNT('Iter No Test'!$W$9:$W$5008)-1)+$AR$3262</f>
        <v>0.65213042608520411</v>
      </c>
    </row>
    <row r="3264" spans="22:44">
      <c r="V3264">
        <v>3256</v>
      </c>
      <c r="W3264">
        <v>139.92000588221015</v>
      </c>
      <c r="AQ3264">
        <f>SMALL('Iter No Test'!$W$9:$W$5008,3262)</f>
        <v>243.20790976982451</v>
      </c>
      <c r="AR3264">
        <f>1/(COUNT('Iter No Test'!$W$9:$W$5008)-1)+$AR$3263</f>
        <v>0.65233046609320566</v>
      </c>
    </row>
    <row r="3265" spans="22:44">
      <c r="V3265">
        <v>3257</v>
      </c>
      <c r="W3265">
        <v>164.9939617864602</v>
      </c>
      <c r="AQ3265">
        <f>SMALL('Iter No Test'!$W$9:$W$5008,3263)</f>
        <v>243.2168639340031</v>
      </c>
      <c r="AR3265">
        <f>1/(COUNT('Iter No Test'!$W$9:$W$5008)-1)+$AR$3264</f>
        <v>0.65253050610120722</v>
      </c>
    </row>
    <row r="3266" spans="22:44">
      <c r="V3266">
        <v>3258</v>
      </c>
      <c r="W3266">
        <v>238.06434109610109</v>
      </c>
      <c r="AQ3266">
        <f>SMALL('Iter No Test'!$W$9:$W$5008,3264)</f>
        <v>243.30516742789467</v>
      </c>
      <c r="AR3266">
        <f>1/(COUNT('Iter No Test'!$W$9:$W$5008)-1)+$AR$3265</f>
        <v>0.65273054610920878</v>
      </c>
    </row>
    <row r="3267" spans="22:44">
      <c r="V3267">
        <v>3259</v>
      </c>
      <c r="W3267">
        <v>197.49239981878534</v>
      </c>
      <c r="AQ3267">
        <f>SMALL('Iter No Test'!$W$9:$W$5008,3265)</f>
        <v>243.41755016939931</v>
      </c>
      <c r="AR3267">
        <f>1/(COUNT('Iter No Test'!$W$9:$W$5008)-1)+$AR$3266</f>
        <v>0.65293058611721033</v>
      </c>
    </row>
    <row r="3268" spans="22:44">
      <c r="V3268">
        <v>3260</v>
      </c>
      <c r="W3268">
        <v>472.03811261205556</v>
      </c>
      <c r="AQ3268">
        <f>SMALL('Iter No Test'!$W$9:$W$5008,3266)</f>
        <v>243.48079244353764</v>
      </c>
      <c r="AR3268">
        <f>1/(COUNT('Iter No Test'!$W$9:$W$5008)-1)+$AR$3267</f>
        <v>0.65313062612521189</v>
      </c>
    </row>
    <row r="3269" spans="22:44">
      <c r="V3269">
        <v>3261</v>
      </c>
      <c r="W3269">
        <v>278.0903591025056</v>
      </c>
      <c r="AQ3269">
        <f>SMALL('Iter No Test'!$W$9:$W$5008,3267)</f>
        <v>243.50662306980462</v>
      </c>
      <c r="AR3269">
        <f>1/(COUNT('Iter No Test'!$W$9:$W$5008)-1)+$AR$3268</f>
        <v>0.65333066613321344</v>
      </c>
    </row>
    <row r="3270" spans="22:44">
      <c r="V3270">
        <v>3262</v>
      </c>
      <c r="W3270">
        <v>140.4323278224947</v>
      </c>
      <c r="AQ3270">
        <f>SMALL('Iter No Test'!$W$9:$W$5008,3268)</f>
        <v>243.54868581146144</v>
      </c>
      <c r="AR3270">
        <f>1/(COUNT('Iter No Test'!$W$9:$W$5008)-1)+$AR$3269</f>
        <v>0.653530706141215</v>
      </c>
    </row>
    <row r="3271" spans="22:44">
      <c r="V3271">
        <v>3263</v>
      </c>
      <c r="W3271">
        <v>218.01388439475392</v>
      </c>
      <c r="AQ3271">
        <f>SMALL('Iter No Test'!$W$9:$W$5008,3269)</f>
        <v>243.60135529335483</v>
      </c>
      <c r="AR3271">
        <f>1/(COUNT('Iter No Test'!$W$9:$W$5008)-1)+$AR$3270</f>
        <v>0.65373074614921656</v>
      </c>
    </row>
    <row r="3272" spans="22:44">
      <c r="V3272">
        <v>3264</v>
      </c>
      <c r="W3272">
        <v>104.60664291528862</v>
      </c>
      <c r="AQ3272">
        <f>SMALL('Iter No Test'!$W$9:$W$5008,3270)</f>
        <v>243.64816702028472</v>
      </c>
      <c r="AR3272">
        <f>1/(COUNT('Iter No Test'!$W$9:$W$5008)-1)+$AR$3271</f>
        <v>0.65393078615721811</v>
      </c>
    </row>
    <row r="3273" spans="22:44">
      <c r="V3273">
        <v>3265</v>
      </c>
      <c r="W3273">
        <v>332.14468819537615</v>
      </c>
      <c r="AQ3273">
        <f>SMALL('Iter No Test'!$W$9:$W$5008,3271)</f>
        <v>243.65544886286739</v>
      </c>
      <c r="AR3273">
        <f>1/(COUNT('Iter No Test'!$W$9:$W$5008)-1)+$AR$3272</f>
        <v>0.65413082616521967</v>
      </c>
    </row>
    <row r="3274" spans="22:44">
      <c r="V3274">
        <v>3266</v>
      </c>
      <c r="W3274">
        <v>84.16983804593805</v>
      </c>
      <c r="AQ3274">
        <f>SMALL('Iter No Test'!$W$9:$W$5008,3272)</f>
        <v>243.87154120636418</v>
      </c>
      <c r="AR3274">
        <f>1/(COUNT('Iter No Test'!$W$9:$W$5008)-1)+$AR$3273</f>
        <v>0.65433086617322123</v>
      </c>
    </row>
    <row r="3275" spans="22:44">
      <c r="V3275">
        <v>3267</v>
      </c>
      <c r="W3275">
        <v>208.19983654960856</v>
      </c>
      <c r="AQ3275">
        <f>SMALL('Iter No Test'!$W$9:$W$5008,3273)</f>
        <v>243.87299168356731</v>
      </c>
      <c r="AR3275">
        <f>1/(COUNT('Iter No Test'!$W$9:$W$5008)-1)+$AR$3274</f>
        <v>0.65453090618122278</v>
      </c>
    </row>
    <row r="3276" spans="22:44">
      <c r="V3276">
        <v>3268</v>
      </c>
      <c r="W3276">
        <v>62.078421567418715</v>
      </c>
      <c r="AQ3276">
        <f>SMALL('Iter No Test'!$W$9:$W$5008,3274)</f>
        <v>243.91031778729638</v>
      </c>
      <c r="AR3276">
        <f>1/(COUNT('Iter No Test'!$W$9:$W$5008)-1)+$AR$3275</f>
        <v>0.65473094618922434</v>
      </c>
    </row>
    <row r="3277" spans="22:44">
      <c r="V3277">
        <v>3269</v>
      </c>
      <c r="W3277">
        <v>185.04309060655675</v>
      </c>
      <c r="AQ3277">
        <f>SMALL('Iter No Test'!$W$9:$W$5008,3275)</f>
        <v>243.9643625302721</v>
      </c>
      <c r="AR3277">
        <f>1/(COUNT('Iter No Test'!$W$9:$W$5008)-1)+$AR$3276</f>
        <v>0.6549309861972259</v>
      </c>
    </row>
    <row r="3278" spans="22:44">
      <c r="V3278">
        <v>3270</v>
      </c>
      <c r="W3278">
        <v>384.85287715530922</v>
      </c>
      <c r="AQ3278">
        <f>SMALL('Iter No Test'!$W$9:$W$5008,3276)</f>
        <v>243.97194337206108</v>
      </c>
      <c r="AR3278">
        <f>1/(COUNT('Iter No Test'!$W$9:$W$5008)-1)+$AR$3277</f>
        <v>0.65513102620522745</v>
      </c>
    </row>
    <row r="3279" spans="22:44">
      <c r="V3279">
        <v>3271</v>
      </c>
      <c r="W3279">
        <v>220.88998441776374</v>
      </c>
      <c r="AQ3279">
        <f>SMALL('Iter No Test'!$W$9:$W$5008,3277)</f>
        <v>243.97613347424337</v>
      </c>
      <c r="AR3279">
        <f>1/(COUNT('Iter No Test'!$W$9:$W$5008)-1)+$AR$3278</f>
        <v>0.65533106621322901</v>
      </c>
    </row>
    <row r="3280" spans="22:44">
      <c r="V3280">
        <v>3272</v>
      </c>
      <c r="W3280">
        <v>262.50462604832188</v>
      </c>
      <c r="AQ3280">
        <f>SMALL('Iter No Test'!$W$9:$W$5008,3278)</f>
        <v>244.0055619595866</v>
      </c>
      <c r="AR3280">
        <f>1/(COUNT('Iter No Test'!$W$9:$W$5008)-1)+$AR$3279</f>
        <v>0.65553110622123056</v>
      </c>
    </row>
    <row r="3281" spans="22:44">
      <c r="V3281">
        <v>3273</v>
      </c>
      <c r="W3281">
        <v>71.941958450486041</v>
      </c>
      <c r="AQ3281">
        <f>SMALL('Iter No Test'!$W$9:$W$5008,3279)</f>
        <v>244.0832285701442</v>
      </c>
      <c r="AR3281">
        <f>1/(COUNT('Iter No Test'!$W$9:$W$5008)-1)+$AR$3280</f>
        <v>0.65573114622923212</v>
      </c>
    </row>
    <row r="3282" spans="22:44">
      <c r="V3282">
        <v>3274</v>
      </c>
      <c r="W3282">
        <v>138.13885047321719</v>
      </c>
      <c r="AQ3282">
        <f>SMALL('Iter No Test'!$W$9:$W$5008,3280)</f>
        <v>244.15653062909382</v>
      </c>
      <c r="AR3282">
        <f>1/(COUNT('Iter No Test'!$W$9:$W$5008)-1)+$AR$3281</f>
        <v>0.65593118623723368</v>
      </c>
    </row>
    <row r="3283" spans="22:44">
      <c r="V3283">
        <v>3275</v>
      </c>
      <c r="W3283">
        <v>221.40224929318362</v>
      </c>
      <c r="AQ3283">
        <f>SMALL('Iter No Test'!$W$9:$W$5008,3281)</f>
        <v>244.16286179119476</v>
      </c>
      <c r="AR3283">
        <f>1/(COUNT('Iter No Test'!$W$9:$W$5008)-1)+$AR$3282</f>
        <v>0.65613122624523523</v>
      </c>
    </row>
    <row r="3284" spans="22:44">
      <c r="V3284">
        <v>3276</v>
      </c>
      <c r="W3284">
        <v>190.14729052114757</v>
      </c>
      <c r="AQ3284">
        <f>SMALL('Iter No Test'!$W$9:$W$5008,3282)</f>
        <v>244.19752000672753</v>
      </c>
      <c r="AR3284">
        <f>1/(COUNT('Iter No Test'!$W$9:$W$5008)-1)+$AR$3283</f>
        <v>0.65633126625323679</v>
      </c>
    </row>
    <row r="3285" spans="22:44">
      <c r="V3285">
        <v>3277</v>
      </c>
      <c r="W3285">
        <v>241.83686785958071</v>
      </c>
      <c r="AQ3285">
        <f>SMALL('Iter No Test'!$W$9:$W$5008,3283)</f>
        <v>244.25260837450233</v>
      </c>
      <c r="AR3285">
        <f>1/(COUNT('Iter No Test'!$W$9:$W$5008)-1)+$AR$3284</f>
        <v>0.65653130626123835</v>
      </c>
    </row>
    <row r="3286" spans="22:44">
      <c r="V3286">
        <v>3278</v>
      </c>
      <c r="W3286">
        <v>269.27766664557339</v>
      </c>
      <c r="AQ3286">
        <f>SMALL('Iter No Test'!$W$9:$W$5008,3284)</f>
        <v>244.26204065904076</v>
      </c>
      <c r="AR3286">
        <f>1/(COUNT('Iter No Test'!$W$9:$W$5008)-1)+$AR$3285</f>
        <v>0.6567313462692399</v>
      </c>
    </row>
    <row r="3287" spans="22:44">
      <c r="V3287">
        <v>3279</v>
      </c>
      <c r="W3287">
        <v>211.90796122643138</v>
      </c>
      <c r="AQ3287">
        <f>SMALL('Iter No Test'!$W$9:$W$5008,3285)</f>
        <v>244.27460773758946</v>
      </c>
      <c r="AR3287">
        <f>1/(COUNT('Iter No Test'!$W$9:$W$5008)-1)+$AR$3286</f>
        <v>0.65693138627724146</v>
      </c>
    </row>
    <row r="3288" spans="22:44">
      <c r="V3288">
        <v>3280</v>
      </c>
      <c r="W3288">
        <v>125.5266566434135</v>
      </c>
      <c r="AQ3288">
        <f>SMALL('Iter No Test'!$W$9:$W$5008,3286)</f>
        <v>244.28708236737523</v>
      </c>
      <c r="AR3288">
        <f>1/(COUNT('Iter No Test'!$W$9:$W$5008)-1)+$AR$3287</f>
        <v>0.65713142628524301</v>
      </c>
    </row>
    <row r="3289" spans="22:44">
      <c r="V3289">
        <v>3281</v>
      </c>
      <c r="W3289">
        <v>289.91359164314338</v>
      </c>
      <c r="AQ3289">
        <f>SMALL('Iter No Test'!$W$9:$W$5008,3287)</f>
        <v>244.29459784690303</v>
      </c>
      <c r="AR3289">
        <f>1/(COUNT('Iter No Test'!$W$9:$W$5008)-1)+$AR$3288</f>
        <v>0.65733146629324457</v>
      </c>
    </row>
    <row r="3290" spans="22:44">
      <c r="V3290">
        <v>3282</v>
      </c>
      <c r="W3290">
        <v>161.63917028749745</v>
      </c>
      <c r="AQ3290">
        <f>SMALL('Iter No Test'!$W$9:$W$5008,3288)</f>
        <v>244.30072552221023</v>
      </c>
      <c r="AR3290">
        <f>1/(COUNT('Iter No Test'!$W$9:$W$5008)-1)+$AR$3289</f>
        <v>0.65753150630124613</v>
      </c>
    </row>
    <row r="3291" spans="22:44">
      <c r="V3291">
        <v>3283</v>
      </c>
      <c r="W3291">
        <v>179.23247336527197</v>
      </c>
      <c r="AQ3291">
        <f>SMALL('Iter No Test'!$W$9:$W$5008,3289)</f>
        <v>244.31133605403596</v>
      </c>
      <c r="AR3291">
        <f>1/(COUNT('Iter No Test'!$W$9:$W$5008)-1)+$AR$3290</f>
        <v>0.65773154630924768</v>
      </c>
    </row>
    <row r="3292" spans="22:44">
      <c r="V3292">
        <v>3284</v>
      </c>
      <c r="W3292">
        <v>264.29335157519074</v>
      </c>
      <c r="AQ3292">
        <f>SMALL('Iter No Test'!$W$9:$W$5008,3290)</f>
        <v>244.35728180535165</v>
      </c>
      <c r="AR3292">
        <f>1/(COUNT('Iter No Test'!$W$9:$W$5008)-1)+$AR$3291</f>
        <v>0.65793158631724924</v>
      </c>
    </row>
    <row r="3293" spans="22:44">
      <c r="V3293">
        <v>3285</v>
      </c>
      <c r="W3293">
        <v>125.16842273720017</v>
      </c>
      <c r="AQ3293">
        <f>SMALL('Iter No Test'!$W$9:$W$5008,3291)</f>
        <v>244.37659946362308</v>
      </c>
      <c r="AR3293">
        <f>1/(COUNT('Iter No Test'!$W$9:$W$5008)-1)+$AR$3292</f>
        <v>0.6581316263252508</v>
      </c>
    </row>
    <row r="3294" spans="22:44">
      <c r="V3294">
        <v>3286</v>
      </c>
      <c r="W3294">
        <v>126.74539004502802</v>
      </c>
      <c r="AQ3294">
        <f>SMALL('Iter No Test'!$W$9:$W$5008,3292)</f>
        <v>244.44433363310168</v>
      </c>
      <c r="AR3294">
        <f>1/(COUNT('Iter No Test'!$W$9:$W$5008)-1)+$AR$3293</f>
        <v>0.65833166633325235</v>
      </c>
    </row>
    <row r="3295" spans="22:44">
      <c r="V3295">
        <v>3287</v>
      </c>
      <c r="W3295">
        <v>237.35663573455037</v>
      </c>
      <c r="AQ3295">
        <f>SMALL('Iter No Test'!$W$9:$W$5008,3293)</f>
        <v>244.49211608536115</v>
      </c>
      <c r="AR3295">
        <f>1/(COUNT('Iter No Test'!$W$9:$W$5008)-1)+$AR$3294</f>
        <v>0.65853170634125391</v>
      </c>
    </row>
    <row r="3296" spans="22:44">
      <c r="V3296">
        <v>3288</v>
      </c>
      <c r="W3296">
        <v>516.99148041495766</v>
      </c>
      <c r="AQ3296">
        <f>SMALL('Iter No Test'!$W$9:$W$5008,3294)</f>
        <v>244.57468766138732</v>
      </c>
      <c r="AR3296">
        <f>1/(COUNT('Iter No Test'!$W$9:$W$5008)-1)+$AR$3295</f>
        <v>0.65873174634925546</v>
      </c>
    </row>
    <row r="3297" spans="22:44">
      <c r="V3297">
        <v>3289</v>
      </c>
      <c r="W3297">
        <v>234.21984874486145</v>
      </c>
      <c r="AQ3297">
        <f>SMALL('Iter No Test'!$W$9:$W$5008,3295)</f>
        <v>244.57984113962445</v>
      </c>
      <c r="AR3297">
        <f>1/(COUNT('Iter No Test'!$W$9:$W$5008)-1)+$AR$3296</f>
        <v>0.65893178635725702</v>
      </c>
    </row>
    <row r="3298" spans="22:44">
      <c r="V3298">
        <v>3290</v>
      </c>
      <c r="W3298">
        <v>59.999477900759885</v>
      </c>
      <c r="AQ3298">
        <f>SMALL('Iter No Test'!$W$9:$W$5008,3296)</f>
        <v>244.6128979523497</v>
      </c>
      <c r="AR3298">
        <f>1/(COUNT('Iter No Test'!$W$9:$W$5008)-1)+$AR$3297</f>
        <v>0.65913182636525858</v>
      </c>
    </row>
    <row r="3299" spans="22:44">
      <c r="V3299">
        <v>3291</v>
      </c>
      <c r="W3299">
        <v>103.32604559686885</v>
      </c>
      <c r="AQ3299">
        <f>SMALL('Iter No Test'!$W$9:$W$5008,3297)</f>
        <v>244.70551757291335</v>
      </c>
      <c r="AR3299">
        <f>1/(COUNT('Iter No Test'!$W$9:$W$5008)-1)+$AR$3298</f>
        <v>0.65933186637326013</v>
      </c>
    </row>
    <row r="3300" spans="22:44">
      <c r="V3300">
        <v>3292</v>
      </c>
      <c r="W3300">
        <v>389.36439369817009</v>
      </c>
      <c r="AQ3300">
        <f>SMALL('Iter No Test'!$W$9:$W$5008,3298)</f>
        <v>244.76539979829178</v>
      </c>
      <c r="AR3300">
        <f>1/(COUNT('Iter No Test'!$W$9:$W$5008)-1)+$AR$3299</f>
        <v>0.65953190638126169</v>
      </c>
    </row>
    <row r="3301" spans="22:44">
      <c r="V3301">
        <v>3293</v>
      </c>
      <c r="W3301">
        <v>275.45846188735561</v>
      </c>
      <c r="AQ3301">
        <f>SMALL('Iter No Test'!$W$9:$W$5008,3299)</f>
        <v>244.77285778616411</v>
      </c>
      <c r="AR3301">
        <f>1/(COUNT('Iter No Test'!$W$9:$W$5008)-1)+$AR$3300</f>
        <v>0.65973194638926325</v>
      </c>
    </row>
    <row r="3302" spans="22:44">
      <c r="V3302">
        <v>3294</v>
      </c>
      <c r="W3302">
        <v>152.34948387801359</v>
      </c>
      <c r="AQ3302">
        <f>SMALL('Iter No Test'!$W$9:$W$5008,3300)</f>
        <v>244.8405421056392</v>
      </c>
      <c r="AR3302">
        <f>1/(COUNT('Iter No Test'!$W$9:$W$5008)-1)+$AR$3301</f>
        <v>0.6599319863972648</v>
      </c>
    </row>
    <row r="3303" spans="22:44">
      <c r="V3303">
        <v>3295</v>
      </c>
      <c r="W3303">
        <v>146.18828396208636</v>
      </c>
      <c r="AQ3303">
        <f>SMALL('Iter No Test'!$W$9:$W$5008,3301)</f>
        <v>245.03493410627297</v>
      </c>
      <c r="AR3303">
        <f>1/(COUNT('Iter No Test'!$W$9:$W$5008)-1)+$AR$3302</f>
        <v>0.66013202640526636</v>
      </c>
    </row>
    <row r="3304" spans="22:44">
      <c r="V3304">
        <v>3296</v>
      </c>
      <c r="W3304">
        <v>32.123352950117891</v>
      </c>
      <c r="AQ3304">
        <f>SMALL('Iter No Test'!$W$9:$W$5008,3302)</f>
        <v>245.08234309897551</v>
      </c>
      <c r="AR3304">
        <f>1/(COUNT('Iter No Test'!$W$9:$W$5008)-1)+$AR$3303</f>
        <v>0.66033206641326792</v>
      </c>
    </row>
    <row r="3305" spans="22:44">
      <c r="V3305">
        <v>3297</v>
      </c>
      <c r="W3305">
        <v>205.0474396288931</v>
      </c>
      <c r="AQ3305">
        <f>SMALL('Iter No Test'!$W$9:$W$5008,3303)</f>
        <v>245.08275573485059</v>
      </c>
      <c r="AR3305">
        <f>1/(COUNT('Iter No Test'!$W$9:$W$5008)-1)+$AR$3304</f>
        <v>0.66053210642126947</v>
      </c>
    </row>
    <row r="3306" spans="22:44">
      <c r="V3306">
        <v>3298</v>
      </c>
      <c r="W3306">
        <v>244.26204065904076</v>
      </c>
      <c r="AQ3306">
        <f>SMALL('Iter No Test'!$W$9:$W$5008,3304)</f>
        <v>245.1327088775829</v>
      </c>
      <c r="AR3306">
        <f>1/(COUNT('Iter No Test'!$W$9:$W$5008)-1)+$AR$3305</f>
        <v>0.66073214642927103</v>
      </c>
    </row>
    <row r="3307" spans="22:44">
      <c r="V3307">
        <v>3299</v>
      </c>
      <c r="W3307">
        <v>217.80501328899877</v>
      </c>
      <c r="AQ3307">
        <f>SMALL('Iter No Test'!$W$9:$W$5008,3305)</f>
        <v>245.14748514777594</v>
      </c>
      <c r="AR3307">
        <f>1/(COUNT('Iter No Test'!$W$9:$W$5008)-1)+$AR$3306</f>
        <v>0.66093218643727258</v>
      </c>
    </row>
    <row r="3308" spans="22:44">
      <c r="V3308">
        <v>3300</v>
      </c>
      <c r="W3308">
        <v>179.08765388666839</v>
      </c>
      <c r="AQ3308">
        <f>SMALL('Iter No Test'!$W$9:$W$5008,3306)</f>
        <v>245.18483208975749</v>
      </c>
      <c r="AR3308">
        <f>1/(COUNT('Iter No Test'!$W$9:$W$5008)-1)+$AR$3307</f>
        <v>0.66113222644527414</v>
      </c>
    </row>
    <row r="3309" spans="22:44">
      <c r="V3309">
        <v>3301</v>
      </c>
      <c r="W3309">
        <v>334.61226188349553</v>
      </c>
      <c r="AQ3309">
        <f>SMALL('Iter No Test'!$W$9:$W$5008,3307)</f>
        <v>245.23295405883673</v>
      </c>
      <c r="AR3309">
        <f>1/(COUNT('Iter No Test'!$W$9:$W$5008)-1)+$AR$3308</f>
        <v>0.6613322664532757</v>
      </c>
    </row>
    <row r="3310" spans="22:44">
      <c r="V3310">
        <v>3302</v>
      </c>
      <c r="W3310">
        <v>297.07057492494977</v>
      </c>
      <c r="AQ3310">
        <f>SMALL('Iter No Test'!$W$9:$W$5008,3308)</f>
        <v>245.44024726372913</v>
      </c>
      <c r="AR3310">
        <f>1/(COUNT('Iter No Test'!$W$9:$W$5008)-1)+$AR$3309</f>
        <v>0.66153230646127725</v>
      </c>
    </row>
    <row r="3311" spans="22:44">
      <c r="V3311">
        <v>3303</v>
      </c>
      <c r="W3311">
        <v>241.04409812880644</v>
      </c>
      <c r="AQ3311">
        <f>SMALL('Iter No Test'!$W$9:$W$5008,3309)</f>
        <v>245.49674319092006</v>
      </c>
      <c r="AR3311">
        <f>1/(COUNT('Iter No Test'!$W$9:$W$5008)-1)+$AR$3310</f>
        <v>0.66173234646927881</v>
      </c>
    </row>
    <row r="3312" spans="22:44">
      <c r="V3312">
        <v>3304</v>
      </c>
      <c r="W3312">
        <v>244.76539979829178</v>
      </c>
      <c r="AQ3312">
        <f>SMALL('Iter No Test'!$W$9:$W$5008,3310)</f>
        <v>245.51546281231876</v>
      </c>
      <c r="AR3312">
        <f>1/(COUNT('Iter No Test'!$W$9:$W$5008)-1)+$AR$3311</f>
        <v>0.66193238647728037</v>
      </c>
    </row>
    <row r="3313" spans="22:44">
      <c r="V3313">
        <v>3305</v>
      </c>
      <c r="W3313">
        <v>289.854164228576</v>
      </c>
      <c r="AQ3313">
        <f>SMALL('Iter No Test'!$W$9:$W$5008,3311)</f>
        <v>245.58801020750437</v>
      </c>
      <c r="AR3313">
        <f>1/(COUNT('Iter No Test'!$W$9:$W$5008)-1)+$AR$3312</f>
        <v>0.66213242648528192</v>
      </c>
    </row>
    <row r="3314" spans="22:44">
      <c r="V3314">
        <v>3306</v>
      </c>
      <c r="W3314">
        <v>199.03865872172543</v>
      </c>
      <c r="AQ3314">
        <f>SMALL('Iter No Test'!$W$9:$W$5008,3312)</f>
        <v>245.73838374316657</v>
      </c>
      <c r="AR3314">
        <f>1/(COUNT('Iter No Test'!$W$9:$W$5008)-1)+$AR$3313</f>
        <v>0.66233246649328348</v>
      </c>
    </row>
    <row r="3315" spans="22:44">
      <c r="V3315">
        <v>3307</v>
      </c>
      <c r="W3315">
        <v>328.61056116515238</v>
      </c>
      <c r="AQ3315">
        <f>SMALL('Iter No Test'!$W$9:$W$5008,3313)</f>
        <v>245.80996725190315</v>
      </c>
      <c r="AR3315">
        <f>1/(COUNT('Iter No Test'!$W$9:$W$5008)-1)+$AR$3314</f>
        <v>0.66253250650128503</v>
      </c>
    </row>
    <row r="3316" spans="22:44">
      <c r="V3316">
        <v>3308</v>
      </c>
      <c r="W3316">
        <v>242.93428946666606</v>
      </c>
      <c r="AQ3316">
        <f>SMALL('Iter No Test'!$W$9:$W$5008,3314)</f>
        <v>245.93980239509565</v>
      </c>
      <c r="AR3316">
        <f>1/(COUNT('Iter No Test'!$W$9:$W$5008)-1)+$AR$3315</f>
        <v>0.66273254650928659</v>
      </c>
    </row>
    <row r="3317" spans="22:44">
      <c r="V3317">
        <v>3309</v>
      </c>
      <c r="W3317">
        <v>317.05468413750356</v>
      </c>
      <c r="AQ3317">
        <f>SMALL('Iter No Test'!$W$9:$W$5008,3315)</f>
        <v>245.96965600629215</v>
      </c>
      <c r="AR3317">
        <f>1/(COUNT('Iter No Test'!$W$9:$W$5008)-1)+$AR$3316</f>
        <v>0.66293258651728815</v>
      </c>
    </row>
    <row r="3318" spans="22:44">
      <c r="V3318">
        <v>3310</v>
      </c>
      <c r="W3318">
        <v>105.99023761263255</v>
      </c>
      <c r="AQ3318">
        <f>SMALL('Iter No Test'!$W$9:$W$5008,3316)</f>
        <v>246.015874130529</v>
      </c>
      <c r="AR3318">
        <f>1/(COUNT('Iter No Test'!$W$9:$W$5008)-1)+$AR$3317</f>
        <v>0.6631326265252897</v>
      </c>
    </row>
    <row r="3319" spans="22:44">
      <c r="V3319">
        <v>3311</v>
      </c>
      <c r="W3319">
        <v>231.64835174468806</v>
      </c>
      <c r="AQ3319">
        <f>SMALL('Iter No Test'!$W$9:$W$5008,3317)</f>
        <v>246.02596987874131</v>
      </c>
      <c r="AR3319">
        <f>1/(COUNT('Iter No Test'!$W$9:$W$5008)-1)+$AR$3318</f>
        <v>0.66333266653329126</v>
      </c>
    </row>
    <row r="3320" spans="22:44">
      <c r="V3320">
        <v>3312</v>
      </c>
      <c r="W3320">
        <v>87.62935259182791</v>
      </c>
      <c r="AQ3320">
        <f>SMALL('Iter No Test'!$W$9:$W$5008,3318)</f>
        <v>246.03171293705179</v>
      </c>
      <c r="AR3320">
        <f>1/(COUNT('Iter No Test'!$W$9:$W$5008)-1)+$AR$3319</f>
        <v>0.66353270654129282</v>
      </c>
    </row>
    <row r="3321" spans="22:44">
      <c r="V3321">
        <v>3313</v>
      </c>
      <c r="W3321">
        <v>357.81289291498024</v>
      </c>
      <c r="AQ3321">
        <f>SMALL('Iter No Test'!$W$9:$W$5008,3319)</f>
        <v>246.0698663452329</v>
      </c>
      <c r="AR3321">
        <f>1/(COUNT('Iter No Test'!$W$9:$W$5008)-1)+$AR$3320</f>
        <v>0.66373274654929437</v>
      </c>
    </row>
    <row r="3322" spans="22:44">
      <c r="V3322">
        <v>3314</v>
      </c>
      <c r="W3322">
        <v>186.61997622164503</v>
      </c>
      <c r="AQ3322">
        <f>SMALL('Iter No Test'!$W$9:$W$5008,3320)</f>
        <v>246.26673822306023</v>
      </c>
      <c r="AR3322">
        <f>1/(COUNT('Iter No Test'!$W$9:$W$5008)-1)+$AR$3321</f>
        <v>0.66393278655729593</v>
      </c>
    </row>
    <row r="3323" spans="22:44">
      <c r="V3323">
        <v>3315</v>
      </c>
      <c r="W3323">
        <v>220.8954959880671</v>
      </c>
      <c r="AQ3323">
        <f>SMALL('Iter No Test'!$W$9:$W$5008,3321)</f>
        <v>246.26890978815757</v>
      </c>
      <c r="AR3323">
        <f>1/(COUNT('Iter No Test'!$W$9:$W$5008)-1)+$AR$3322</f>
        <v>0.66413282656529748</v>
      </c>
    </row>
    <row r="3324" spans="22:44">
      <c r="V3324">
        <v>3316</v>
      </c>
      <c r="W3324">
        <v>154.97856631532639</v>
      </c>
      <c r="AQ3324">
        <f>SMALL('Iter No Test'!$W$9:$W$5008,3322)</f>
        <v>246.30421877695059</v>
      </c>
      <c r="AR3324">
        <f>1/(COUNT('Iter No Test'!$W$9:$W$5008)-1)+$AR$3323</f>
        <v>0.66433286657329904</v>
      </c>
    </row>
    <row r="3325" spans="22:44">
      <c r="V3325">
        <v>3317</v>
      </c>
      <c r="W3325">
        <v>353.23827370542006</v>
      </c>
      <c r="AQ3325">
        <f>SMALL('Iter No Test'!$W$9:$W$5008,3323)</f>
        <v>246.42259495674023</v>
      </c>
      <c r="AR3325">
        <f>1/(COUNT('Iter No Test'!$W$9:$W$5008)-1)+$AR$3324</f>
        <v>0.6645329065813006</v>
      </c>
    </row>
    <row r="3326" spans="22:44">
      <c r="V3326">
        <v>3318</v>
      </c>
      <c r="W3326">
        <v>219.36156408133121</v>
      </c>
      <c r="AQ3326">
        <f>SMALL('Iter No Test'!$W$9:$W$5008,3324)</f>
        <v>246.43960613188503</v>
      </c>
      <c r="AR3326">
        <f>1/(COUNT('Iter No Test'!$W$9:$W$5008)-1)+$AR$3325</f>
        <v>0.66473294658930215</v>
      </c>
    </row>
    <row r="3327" spans="22:44">
      <c r="V3327">
        <v>3319</v>
      </c>
      <c r="W3327">
        <v>143.06739621725876</v>
      </c>
      <c r="AQ3327">
        <f>SMALL('Iter No Test'!$W$9:$W$5008,3325)</f>
        <v>246.45443221092967</v>
      </c>
      <c r="AR3327">
        <f>1/(COUNT('Iter No Test'!$W$9:$W$5008)-1)+$AR$3326</f>
        <v>0.66493298659730371</v>
      </c>
    </row>
    <row r="3328" spans="22:44">
      <c r="V3328">
        <v>3320</v>
      </c>
      <c r="W3328">
        <v>155.38413578694346</v>
      </c>
      <c r="AQ3328">
        <f>SMALL('Iter No Test'!$W$9:$W$5008,3326)</f>
        <v>246.54601638472028</v>
      </c>
      <c r="AR3328">
        <f>1/(COUNT('Iter No Test'!$W$9:$W$5008)-1)+$AR$3327</f>
        <v>0.66513302660530527</v>
      </c>
    </row>
    <row r="3329" spans="22:44">
      <c r="V3329">
        <v>3321</v>
      </c>
      <c r="W3329">
        <v>166.17255527361581</v>
      </c>
      <c r="AQ3329">
        <f>SMALL('Iter No Test'!$W$9:$W$5008,3327)</f>
        <v>246.61605606286869</v>
      </c>
      <c r="AR3329">
        <f>1/(COUNT('Iter No Test'!$W$9:$W$5008)-1)+$AR$3328</f>
        <v>0.66533306661330682</v>
      </c>
    </row>
    <row r="3330" spans="22:44">
      <c r="V3330">
        <v>3322</v>
      </c>
      <c r="W3330">
        <v>157.2314516946135</v>
      </c>
      <c r="AQ3330">
        <f>SMALL('Iter No Test'!$W$9:$W$5008,3328)</f>
        <v>246.65929128328975</v>
      </c>
      <c r="AR3330">
        <f>1/(COUNT('Iter No Test'!$W$9:$W$5008)-1)+$AR$3329</f>
        <v>0.66553310662130838</v>
      </c>
    </row>
    <row r="3331" spans="22:44">
      <c r="V3331">
        <v>3323</v>
      </c>
      <c r="W3331">
        <v>222.1371831417583</v>
      </c>
      <c r="AQ3331">
        <f>SMALL('Iter No Test'!$W$9:$W$5008,3329)</f>
        <v>246.71322099008458</v>
      </c>
      <c r="AR3331">
        <f>1/(COUNT('Iter No Test'!$W$9:$W$5008)-1)+$AR$3330</f>
        <v>0.66573314662930994</v>
      </c>
    </row>
    <row r="3332" spans="22:44">
      <c r="V3332">
        <v>3324</v>
      </c>
      <c r="W3332">
        <v>214.16237407650181</v>
      </c>
      <c r="AQ3332">
        <f>SMALL('Iter No Test'!$W$9:$W$5008,3330)</f>
        <v>246.77796485868984</v>
      </c>
      <c r="AR3332">
        <f>1/(COUNT('Iter No Test'!$W$9:$W$5008)-1)+$AR$3331</f>
        <v>0.66593318663731149</v>
      </c>
    </row>
    <row r="3333" spans="22:44">
      <c r="V3333">
        <v>3325</v>
      </c>
      <c r="W3333">
        <v>211.49259918546991</v>
      </c>
      <c r="AQ3333">
        <f>SMALL('Iter No Test'!$W$9:$W$5008,3331)</f>
        <v>246.78909926354351</v>
      </c>
      <c r="AR3333">
        <f>1/(COUNT('Iter No Test'!$W$9:$W$5008)-1)+$AR$3332</f>
        <v>0.66613322664531305</v>
      </c>
    </row>
    <row r="3334" spans="22:44">
      <c r="V3334">
        <v>3326</v>
      </c>
      <c r="W3334">
        <v>231.94677130902778</v>
      </c>
      <c r="AQ3334">
        <f>SMALL('Iter No Test'!$W$9:$W$5008,3332)</f>
        <v>246.79326453060307</v>
      </c>
      <c r="AR3334">
        <f>1/(COUNT('Iter No Test'!$W$9:$W$5008)-1)+$AR$3333</f>
        <v>0.6663332666533146</v>
      </c>
    </row>
    <row r="3335" spans="22:44">
      <c r="V3335">
        <v>3327</v>
      </c>
      <c r="W3335">
        <v>199.06074539273402</v>
      </c>
      <c r="AQ3335">
        <f>SMALL('Iter No Test'!$W$9:$W$5008,3333)</f>
        <v>246.81860027606089</v>
      </c>
      <c r="AR3335">
        <f>1/(COUNT('Iter No Test'!$W$9:$W$5008)-1)+$AR$3334</f>
        <v>0.66653330666131616</v>
      </c>
    </row>
    <row r="3336" spans="22:44">
      <c r="V3336">
        <v>3328</v>
      </c>
      <c r="W3336">
        <v>462.80107293355263</v>
      </c>
      <c r="AQ3336">
        <f>SMALL('Iter No Test'!$W$9:$W$5008,3334)</f>
        <v>246.82982258123852</v>
      </c>
      <c r="AR3336">
        <f>1/(COUNT('Iter No Test'!$W$9:$W$5008)-1)+$AR$3335</f>
        <v>0.66673334666931772</v>
      </c>
    </row>
    <row r="3337" spans="22:44">
      <c r="V3337">
        <v>3329</v>
      </c>
      <c r="W3337">
        <v>239.81423570151006</v>
      </c>
      <c r="AQ3337">
        <f>SMALL('Iter No Test'!$W$9:$W$5008,3335)</f>
        <v>246.87391078758191</v>
      </c>
      <c r="AR3337">
        <f>1/(COUNT('Iter No Test'!$W$9:$W$5008)-1)+$AR$3336</f>
        <v>0.66693338667731927</v>
      </c>
    </row>
    <row r="3338" spans="22:44">
      <c r="V3338">
        <v>3330</v>
      </c>
      <c r="W3338">
        <v>63.960779611918412</v>
      </c>
      <c r="AQ3338">
        <f>SMALL('Iter No Test'!$W$9:$W$5008,3336)</f>
        <v>246.91998870740744</v>
      </c>
      <c r="AR3338">
        <f>1/(COUNT('Iter No Test'!$W$9:$W$5008)-1)+$AR$3337</f>
        <v>0.66713342668532083</v>
      </c>
    </row>
    <row r="3339" spans="22:44">
      <c r="V3339">
        <v>3331</v>
      </c>
      <c r="W3339">
        <v>223.55841019844397</v>
      </c>
      <c r="AQ3339">
        <f>SMALL('Iter No Test'!$W$9:$W$5008,3337)</f>
        <v>246.99249947256527</v>
      </c>
      <c r="AR3339">
        <f>1/(COUNT('Iter No Test'!$W$9:$W$5008)-1)+$AR$3338</f>
        <v>0.66733346669332239</v>
      </c>
    </row>
    <row r="3340" spans="22:44">
      <c r="V3340">
        <v>3332</v>
      </c>
      <c r="W3340">
        <v>114.40064271218395</v>
      </c>
      <c r="AQ3340">
        <f>SMALL('Iter No Test'!$W$9:$W$5008,3338)</f>
        <v>246.9951802728479</v>
      </c>
      <c r="AR3340">
        <f>1/(COUNT('Iter No Test'!$W$9:$W$5008)-1)+$AR$3339</f>
        <v>0.66753350670132394</v>
      </c>
    </row>
    <row r="3341" spans="22:44">
      <c r="V3341">
        <v>3333</v>
      </c>
      <c r="W3341">
        <v>203.27344657168624</v>
      </c>
      <c r="AQ3341">
        <f>SMALL('Iter No Test'!$W$9:$W$5008,3339)</f>
        <v>247.01203330420381</v>
      </c>
      <c r="AR3341">
        <f>1/(COUNT('Iter No Test'!$W$9:$W$5008)-1)+$AR$3340</f>
        <v>0.6677335467093255</v>
      </c>
    </row>
    <row r="3342" spans="22:44">
      <c r="V3342">
        <v>3334</v>
      </c>
      <c r="W3342">
        <v>344.44474775748006</v>
      </c>
      <c r="AQ3342">
        <f>SMALL('Iter No Test'!$W$9:$W$5008,3340)</f>
        <v>247.02189739093075</v>
      </c>
      <c r="AR3342">
        <f>1/(COUNT('Iter No Test'!$W$9:$W$5008)-1)+$AR$3341</f>
        <v>0.66793358671732705</v>
      </c>
    </row>
    <row r="3343" spans="22:44">
      <c r="V3343">
        <v>3335</v>
      </c>
      <c r="W3343">
        <v>196.90804797333655</v>
      </c>
      <c r="AQ3343">
        <f>SMALL('Iter No Test'!$W$9:$W$5008,3341)</f>
        <v>247.02532372548126</v>
      </c>
      <c r="AR3343">
        <f>1/(COUNT('Iter No Test'!$W$9:$W$5008)-1)+$AR$3342</f>
        <v>0.66813362672532861</v>
      </c>
    </row>
    <row r="3344" spans="22:44">
      <c r="V3344">
        <v>3336</v>
      </c>
      <c r="W3344">
        <v>209.04621578942593</v>
      </c>
      <c r="AQ3344">
        <f>SMALL('Iter No Test'!$W$9:$W$5008,3342)</f>
        <v>247.07329534906825</v>
      </c>
      <c r="AR3344">
        <f>1/(COUNT('Iter No Test'!$W$9:$W$5008)-1)+$AR$3343</f>
        <v>0.66833366673333017</v>
      </c>
    </row>
    <row r="3345" spans="22:44">
      <c r="V3345">
        <v>3337</v>
      </c>
      <c r="W3345">
        <v>80.412398873678811</v>
      </c>
      <c r="AQ3345">
        <f>SMALL('Iter No Test'!$W$9:$W$5008,3343)</f>
        <v>247.09488173838409</v>
      </c>
      <c r="AR3345">
        <f>1/(COUNT('Iter No Test'!$W$9:$W$5008)-1)+$AR$3344</f>
        <v>0.66853370674133172</v>
      </c>
    </row>
    <row r="3346" spans="22:44">
      <c r="V3346">
        <v>3338</v>
      </c>
      <c r="W3346">
        <v>67.68703009354536</v>
      </c>
      <c r="AQ3346">
        <f>SMALL('Iter No Test'!$W$9:$W$5008,3344)</f>
        <v>247.14660620643821</v>
      </c>
      <c r="AR3346">
        <f>1/(COUNT('Iter No Test'!$W$9:$W$5008)-1)+$AR$3345</f>
        <v>0.66873374674933328</v>
      </c>
    </row>
    <row r="3347" spans="22:44">
      <c r="V3347">
        <v>3339</v>
      </c>
      <c r="W3347">
        <v>271.40437608757003</v>
      </c>
      <c r="AQ3347">
        <f>SMALL('Iter No Test'!$W$9:$W$5008,3345)</f>
        <v>247.1742932947659</v>
      </c>
      <c r="AR3347">
        <f>1/(COUNT('Iter No Test'!$W$9:$W$5008)-1)+$AR$3346</f>
        <v>0.66893378675733484</v>
      </c>
    </row>
    <row r="3348" spans="22:44">
      <c r="V3348">
        <v>3340</v>
      </c>
      <c r="W3348">
        <v>333.99094301977948</v>
      </c>
      <c r="AQ3348">
        <f>SMALL('Iter No Test'!$W$9:$W$5008,3346)</f>
        <v>247.18916175708432</v>
      </c>
      <c r="AR3348">
        <f>1/(COUNT('Iter No Test'!$W$9:$W$5008)-1)+$AR$3347</f>
        <v>0.66913382676533639</v>
      </c>
    </row>
    <row r="3349" spans="22:44">
      <c r="V3349">
        <v>3341</v>
      </c>
      <c r="W3349">
        <v>88.420427618290915</v>
      </c>
      <c r="AQ3349">
        <f>SMALL('Iter No Test'!$W$9:$W$5008,3347)</f>
        <v>247.20191920758589</v>
      </c>
      <c r="AR3349">
        <f>1/(COUNT('Iter No Test'!$W$9:$W$5008)-1)+$AR$3348</f>
        <v>0.66933386677333795</v>
      </c>
    </row>
    <row r="3350" spans="22:44">
      <c r="V3350">
        <v>3342</v>
      </c>
      <c r="W3350">
        <v>312.54992380554148</v>
      </c>
      <c r="AQ3350">
        <f>SMALL('Iter No Test'!$W$9:$W$5008,3348)</f>
        <v>247.26152917412122</v>
      </c>
      <c r="AR3350">
        <f>1/(COUNT('Iter No Test'!$W$9:$W$5008)-1)+$AR$3349</f>
        <v>0.66953390678133951</v>
      </c>
    </row>
    <row r="3351" spans="22:44">
      <c r="V3351">
        <v>3343</v>
      </c>
      <c r="W3351">
        <v>255.45730349037279</v>
      </c>
      <c r="AQ3351">
        <f>SMALL('Iter No Test'!$W$9:$W$5008,3349)</f>
        <v>247.26304268117539</v>
      </c>
      <c r="AR3351">
        <f>1/(COUNT('Iter No Test'!$W$9:$W$5008)-1)+$AR$3350</f>
        <v>0.66973394678934106</v>
      </c>
    </row>
    <row r="3352" spans="22:44">
      <c r="V3352">
        <v>3344</v>
      </c>
      <c r="W3352">
        <v>411.46046628480553</v>
      </c>
      <c r="AQ3352">
        <f>SMALL('Iter No Test'!$W$9:$W$5008,3350)</f>
        <v>247.29056789835755</v>
      </c>
      <c r="AR3352">
        <f>1/(COUNT('Iter No Test'!$W$9:$W$5008)-1)+$AR$3351</f>
        <v>0.66993398679734262</v>
      </c>
    </row>
    <row r="3353" spans="22:44">
      <c r="V3353">
        <v>3345</v>
      </c>
      <c r="W3353">
        <v>372.64259861633525</v>
      </c>
      <c r="AQ3353">
        <f>SMALL('Iter No Test'!$W$9:$W$5008,3351)</f>
        <v>247.3703827968892</v>
      </c>
      <c r="AR3353">
        <f>1/(COUNT('Iter No Test'!$W$9:$W$5008)-1)+$AR$3352</f>
        <v>0.67013402680534417</v>
      </c>
    </row>
    <row r="3354" spans="22:44">
      <c r="V3354">
        <v>3346</v>
      </c>
      <c r="W3354">
        <v>288.11327525738614</v>
      </c>
      <c r="AQ3354">
        <f>SMALL('Iter No Test'!$W$9:$W$5008,3352)</f>
        <v>247.3713296397072</v>
      </c>
      <c r="AR3354">
        <f>1/(COUNT('Iter No Test'!$W$9:$W$5008)-1)+$AR$3353</f>
        <v>0.67033406681334573</v>
      </c>
    </row>
    <row r="3355" spans="22:44">
      <c r="V3355">
        <v>3347</v>
      </c>
      <c r="W3355">
        <v>146.82316604053034</v>
      </c>
      <c r="AQ3355">
        <f>SMALL('Iter No Test'!$W$9:$W$5008,3353)</f>
        <v>247.37513848613511</v>
      </c>
      <c r="AR3355">
        <f>1/(COUNT('Iter No Test'!$W$9:$W$5008)-1)+$AR$3354</f>
        <v>0.67053410682134729</v>
      </c>
    </row>
    <row r="3356" spans="22:44">
      <c r="V3356">
        <v>3348</v>
      </c>
      <c r="W3356">
        <v>313.41214064124301</v>
      </c>
      <c r="AQ3356">
        <f>SMALL('Iter No Test'!$W$9:$W$5008,3354)</f>
        <v>247.39052630706595</v>
      </c>
      <c r="AR3356">
        <f>1/(COUNT('Iter No Test'!$W$9:$W$5008)-1)+$AR$3355</f>
        <v>0.67073414682934884</v>
      </c>
    </row>
    <row r="3357" spans="22:44">
      <c r="V3357">
        <v>3349</v>
      </c>
      <c r="W3357">
        <v>250.25895311947338</v>
      </c>
      <c r="AQ3357">
        <f>SMALL('Iter No Test'!$W$9:$W$5008,3355)</f>
        <v>247.40075520957927</v>
      </c>
      <c r="AR3357">
        <f>1/(COUNT('Iter No Test'!$W$9:$W$5008)-1)+$AR$3356</f>
        <v>0.6709341868373504</v>
      </c>
    </row>
    <row r="3358" spans="22:44">
      <c r="V3358">
        <v>3350</v>
      </c>
      <c r="W3358">
        <v>158.82915657670867</v>
      </c>
      <c r="AQ3358">
        <f>SMALL('Iter No Test'!$W$9:$W$5008,3356)</f>
        <v>247.61375199232234</v>
      </c>
      <c r="AR3358">
        <f>1/(COUNT('Iter No Test'!$W$9:$W$5008)-1)+$AR$3357</f>
        <v>0.67113422684535196</v>
      </c>
    </row>
    <row r="3359" spans="22:44">
      <c r="V3359">
        <v>3351</v>
      </c>
      <c r="W3359">
        <v>287.59127120545861</v>
      </c>
      <c r="AQ3359">
        <f>SMALL('Iter No Test'!$W$9:$W$5008,3357)</f>
        <v>247.81917408433324</v>
      </c>
      <c r="AR3359">
        <f>1/(COUNT('Iter No Test'!$W$9:$W$5008)-1)+$AR$3358</f>
        <v>0.67133426685335351</v>
      </c>
    </row>
    <row r="3360" spans="22:44">
      <c r="V3360">
        <v>3352</v>
      </c>
      <c r="W3360">
        <v>324.52577999481537</v>
      </c>
      <c r="AQ3360">
        <f>SMALL('Iter No Test'!$W$9:$W$5008,3358)</f>
        <v>247.90022192112122</v>
      </c>
      <c r="AR3360">
        <f>1/(COUNT('Iter No Test'!$W$9:$W$5008)-1)+$AR$3359</f>
        <v>0.67153430686135507</v>
      </c>
    </row>
    <row r="3361" spans="22:44">
      <c r="V3361">
        <v>3353</v>
      </c>
      <c r="W3361">
        <v>139.45100214103809</v>
      </c>
      <c r="AQ3361">
        <f>SMALL('Iter No Test'!$W$9:$W$5008,3359)</f>
        <v>247.99653210677425</v>
      </c>
      <c r="AR3361">
        <f>1/(COUNT('Iter No Test'!$W$9:$W$5008)-1)+$AR$3360</f>
        <v>0.67173434686935662</v>
      </c>
    </row>
    <row r="3362" spans="22:44">
      <c r="V3362">
        <v>3354</v>
      </c>
      <c r="W3362">
        <v>188.97012608126812</v>
      </c>
      <c r="AQ3362">
        <f>SMALL('Iter No Test'!$W$9:$W$5008,3360)</f>
        <v>248.03206499474663</v>
      </c>
      <c r="AR3362">
        <f>1/(COUNT('Iter No Test'!$W$9:$W$5008)-1)+$AR$3361</f>
        <v>0.67193438687735818</v>
      </c>
    </row>
    <row r="3363" spans="22:44">
      <c r="V3363">
        <v>3355</v>
      </c>
      <c r="W3363">
        <v>200.57153950923572</v>
      </c>
      <c r="AQ3363">
        <f>SMALL('Iter No Test'!$W$9:$W$5008,3361)</f>
        <v>248.18171519488035</v>
      </c>
      <c r="AR3363">
        <f>1/(COUNT('Iter No Test'!$W$9:$W$5008)-1)+$AR$3362</f>
        <v>0.67213442688535974</v>
      </c>
    </row>
    <row r="3364" spans="22:44">
      <c r="V3364">
        <v>3356</v>
      </c>
      <c r="W3364">
        <v>178.79332792505346</v>
      </c>
      <c r="AQ3364">
        <f>SMALL('Iter No Test'!$W$9:$W$5008,3362)</f>
        <v>248.20317860719013</v>
      </c>
      <c r="AR3364">
        <f>1/(COUNT('Iter No Test'!$W$9:$W$5008)-1)+$AR$3363</f>
        <v>0.67233446689336129</v>
      </c>
    </row>
    <row r="3365" spans="22:44">
      <c r="V3365">
        <v>3357</v>
      </c>
      <c r="W3365">
        <v>239.93474298406656</v>
      </c>
      <c r="AQ3365">
        <f>SMALL('Iter No Test'!$W$9:$W$5008,3363)</f>
        <v>248.29706208026903</v>
      </c>
      <c r="AR3365">
        <f>1/(COUNT('Iter No Test'!$W$9:$W$5008)-1)+$AR$3364</f>
        <v>0.67253450690136285</v>
      </c>
    </row>
    <row r="3366" spans="22:44">
      <c r="V3366">
        <v>3358</v>
      </c>
      <c r="W3366">
        <v>137.71233561611044</v>
      </c>
      <c r="AQ3366">
        <f>SMALL('Iter No Test'!$W$9:$W$5008,3364)</f>
        <v>248.30279766510697</v>
      </c>
      <c r="AR3366">
        <f>1/(COUNT('Iter No Test'!$W$9:$W$5008)-1)+$AR$3365</f>
        <v>0.67273454690936441</v>
      </c>
    </row>
    <row r="3367" spans="22:44">
      <c r="V3367">
        <v>3359</v>
      </c>
      <c r="W3367">
        <v>176.11275989470641</v>
      </c>
      <c r="AQ3367">
        <f>SMALL('Iter No Test'!$W$9:$W$5008,3365)</f>
        <v>248.36591335036684</v>
      </c>
      <c r="AR3367">
        <f>1/(COUNT('Iter No Test'!$W$9:$W$5008)-1)+$AR$3366</f>
        <v>0.67293458691736596</v>
      </c>
    </row>
    <row r="3368" spans="22:44">
      <c r="V3368">
        <v>3360</v>
      </c>
      <c r="W3368">
        <v>137.08359878738975</v>
      </c>
      <c r="AQ3368">
        <f>SMALL('Iter No Test'!$W$9:$W$5008,3366)</f>
        <v>248.44563968904561</v>
      </c>
      <c r="AR3368">
        <f>1/(COUNT('Iter No Test'!$W$9:$W$5008)-1)+$AR$3367</f>
        <v>0.67313462692536752</v>
      </c>
    </row>
    <row r="3369" spans="22:44">
      <c r="V3369">
        <v>3361</v>
      </c>
      <c r="W3369">
        <v>257.71875200987864</v>
      </c>
      <c r="AQ3369">
        <f>SMALL('Iter No Test'!$W$9:$W$5008,3367)</f>
        <v>248.48715150168775</v>
      </c>
      <c r="AR3369">
        <f>1/(COUNT('Iter No Test'!$W$9:$W$5008)-1)+$AR$3368</f>
        <v>0.67333466693336907</v>
      </c>
    </row>
    <row r="3370" spans="22:44">
      <c r="V3370">
        <v>3362</v>
      </c>
      <c r="W3370">
        <v>211.76956641846326</v>
      </c>
      <c r="AQ3370">
        <f>SMALL('Iter No Test'!$W$9:$W$5008,3368)</f>
        <v>248.49056372282044</v>
      </c>
      <c r="AR3370">
        <f>1/(COUNT('Iter No Test'!$W$9:$W$5008)-1)+$AR$3369</f>
        <v>0.67353470694137063</v>
      </c>
    </row>
    <row r="3371" spans="22:44">
      <c r="V3371">
        <v>3363</v>
      </c>
      <c r="W3371">
        <v>329.86110787429322</v>
      </c>
      <c r="AQ3371">
        <f>SMALL('Iter No Test'!$W$9:$W$5008,3369)</f>
        <v>248.58088224327651</v>
      </c>
      <c r="AR3371">
        <f>1/(COUNT('Iter No Test'!$W$9:$W$5008)-1)+$AR$3370</f>
        <v>0.67373474694937219</v>
      </c>
    </row>
    <row r="3372" spans="22:44">
      <c r="V3372">
        <v>3364</v>
      </c>
      <c r="W3372">
        <v>160.22330924935306</v>
      </c>
      <c r="AQ3372">
        <f>SMALL('Iter No Test'!$W$9:$W$5008,3370)</f>
        <v>248.60634785799002</v>
      </c>
      <c r="AR3372">
        <f>1/(COUNT('Iter No Test'!$W$9:$W$5008)-1)+$AR$3371</f>
        <v>0.67393478695737374</v>
      </c>
    </row>
    <row r="3373" spans="22:44">
      <c r="V3373">
        <v>3365</v>
      </c>
      <c r="W3373">
        <v>184.51582873985143</v>
      </c>
      <c r="AQ3373">
        <f>SMALL('Iter No Test'!$W$9:$W$5008,3371)</f>
        <v>248.70940073116756</v>
      </c>
      <c r="AR3373">
        <f>1/(COUNT('Iter No Test'!$W$9:$W$5008)-1)+$AR$3372</f>
        <v>0.6741348269653753</v>
      </c>
    </row>
    <row r="3374" spans="22:44">
      <c r="V3374">
        <v>3366</v>
      </c>
      <c r="W3374">
        <v>246.9951802728479</v>
      </c>
      <c r="AQ3374">
        <f>SMALL('Iter No Test'!$W$9:$W$5008,3372)</f>
        <v>248.7588597864135</v>
      </c>
      <c r="AR3374">
        <f>1/(COUNT('Iter No Test'!$W$9:$W$5008)-1)+$AR$3373</f>
        <v>0.67433486697337686</v>
      </c>
    </row>
    <row r="3375" spans="22:44">
      <c r="V3375">
        <v>3367</v>
      </c>
      <c r="W3375">
        <v>221.79862723512161</v>
      </c>
      <c r="AQ3375">
        <f>SMALL('Iter No Test'!$W$9:$W$5008,3373)</f>
        <v>248.82907404298834</v>
      </c>
      <c r="AR3375">
        <f>1/(COUNT('Iter No Test'!$W$9:$W$5008)-1)+$AR$3374</f>
        <v>0.67453490698137841</v>
      </c>
    </row>
    <row r="3376" spans="22:44">
      <c r="V3376">
        <v>3368</v>
      </c>
      <c r="W3376">
        <v>39.27277743874447</v>
      </c>
      <c r="AQ3376">
        <f>SMALL('Iter No Test'!$W$9:$W$5008,3374)</f>
        <v>248.85055775794279</v>
      </c>
      <c r="AR3376">
        <f>1/(COUNT('Iter No Test'!$W$9:$W$5008)-1)+$AR$3375</f>
        <v>0.67473494698937997</v>
      </c>
    </row>
    <row r="3377" spans="22:44">
      <c r="V3377">
        <v>3369</v>
      </c>
      <c r="W3377">
        <v>209.86585079030019</v>
      </c>
      <c r="AQ3377">
        <f>SMALL('Iter No Test'!$W$9:$W$5008,3375)</f>
        <v>248.86493571982683</v>
      </c>
      <c r="AR3377">
        <f>1/(COUNT('Iter No Test'!$W$9:$W$5008)-1)+$AR$3376</f>
        <v>0.67493498699738153</v>
      </c>
    </row>
    <row r="3378" spans="22:44">
      <c r="V3378">
        <v>3370</v>
      </c>
      <c r="W3378">
        <v>270.06045045865767</v>
      </c>
      <c r="AQ3378">
        <f>SMALL('Iter No Test'!$W$9:$W$5008,3376)</f>
        <v>248.89411906492137</v>
      </c>
      <c r="AR3378">
        <f>1/(COUNT('Iter No Test'!$W$9:$W$5008)-1)+$AR$3377</f>
        <v>0.67513502700538308</v>
      </c>
    </row>
    <row r="3379" spans="22:44">
      <c r="V3379">
        <v>3371</v>
      </c>
      <c r="W3379">
        <v>155.36017277642875</v>
      </c>
      <c r="AQ3379">
        <f>SMALL('Iter No Test'!$W$9:$W$5008,3377)</f>
        <v>249.00852557421862</v>
      </c>
      <c r="AR3379">
        <f>1/(COUNT('Iter No Test'!$W$9:$W$5008)-1)+$AR$3378</f>
        <v>0.67533506701338464</v>
      </c>
    </row>
    <row r="3380" spans="22:44">
      <c r="V3380">
        <v>3372</v>
      </c>
      <c r="W3380">
        <v>67.218390858227195</v>
      </c>
      <c r="AQ3380">
        <f>SMALL('Iter No Test'!$W$9:$W$5008,3378)</f>
        <v>249.04847574404752</v>
      </c>
      <c r="AR3380">
        <f>1/(COUNT('Iter No Test'!$W$9:$W$5008)-1)+$AR$3379</f>
        <v>0.67553510702138619</v>
      </c>
    </row>
    <row r="3381" spans="22:44">
      <c r="V3381">
        <v>3373</v>
      </c>
      <c r="W3381">
        <v>280.24674745183415</v>
      </c>
      <c r="AQ3381">
        <f>SMALL('Iter No Test'!$W$9:$W$5008,3379)</f>
        <v>249.08964618705065</v>
      </c>
      <c r="AR3381">
        <f>1/(COUNT('Iter No Test'!$W$9:$W$5008)-1)+$AR$3380</f>
        <v>0.67573514702938775</v>
      </c>
    </row>
    <row r="3382" spans="22:44">
      <c r="V3382">
        <v>3374</v>
      </c>
      <c r="W3382">
        <v>154.67905129334937</v>
      </c>
      <c r="AQ3382">
        <f>SMALL('Iter No Test'!$W$9:$W$5008,3380)</f>
        <v>249.11739558928781</v>
      </c>
      <c r="AR3382">
        <f>1/(COUNT('Iter No Test'!$W$9:$W$5008)-1)+$AR$3381</f>
        <v>0.67593518703738931</v>
      </c>
    </row>
    <row r="3383" spans="22:44">
      <c r="V3383">
        <v>3375</v>
      </c>
      <c r="W3383">
        <v>328.29875073128284</v>
      </c>
      <c r="AQ3383">
        <f>SMALL('Iter No Test'!$W$9:$W$5008,3381)</f>
        <v>249.12626110754951</v>
      </c>
      <c r="AR3383">
        <f>1/(COUNT('Iter No Test'!$W$9:$W$5008)-1)+$AR$3382</f>
        <v>0.67613522704539086</v>
      </c>
    </row>
    <row r="3384" spans="22:44">
      <c r="V3384">
        <v>3376</v>
      </c>
      <c r="W3384">
        <v>237.32776313738154</v>
      </c>
      <c r="AQ3384">
        <f>SMALL('Iter No Test'!$W$9:$W$5008,3382)</f>
        <v>249.13417704803362</v>
      </c>
      <c r="AR3384">
        <f>1/(COUNT('Iter No Test'!$W$9:$W$5008)-1)+$AR$3383</f>
        <v>0.67633526705339242</v>
      </c>
    </row>
    <row r="3385" spans="22:44">
      <c r="V3385">
        <v>3377</v>
      </c>
      <c r="W3385">
        <v>242.53614282312606</v>
      </c>
      <c r="AQ3385">
        <f>SMALL('Iter No Test'!$W$9:$W$5008,3383)</f>
        <v>249.1409264789024</v>
      </c>
      <c r="AR3385">
        <f>1/(COUNT('Iter No Test'!$W$9:$W$5008)-1)+$AR$3384</f>
        <v>0.67653530706139398</v>
      </c>
    </row>
    <row r="3386" spans="22:44">
      <c r="V3386">
        <v>3378</v>
      </c>
      <c r="W3386">
        <v>295.94649645548498</v>
      </c>
      <c r="AQ3386">
        <f>SMALL('Iter No Test'!$W$9:$W$5008,3384)</f>
        <v>249.19477635945213</v>
      </c>
      <c r="AR3386">
        <f>1/(COUNT('Iter No Test'!$W$9:$W$5008)-1)+$AR$3385</f>
        <v>0.67673534706939553</v>
      </c>
    </row>
    <row r="3387" spans="22:44">
      <c r="V3387">
        <v>3379</v>
      </c>
      <c r="W3387">
        <v>159.78466305383631</v>
      </c>
      <c r="AQ3387">
        <f>SMALL('Iter No Test'!$W$9:$W$5008,3385)</f>
        <v>249.24958241890096</v>
      </c>
      <c r="AR3387">
        <f>1/(COUNT('Iter No Test'!$W$9:$W$5008)-1)+$AR$3386</f>
        <v>0.67693538707739709</v>
      </c>
    </row>
    <row r="3388" spans="22:44">
      <c r="V3388">
        <v>3380</v>
      </c>
      <c r="W3388">
        <v>136.77936157010103</v>
      </c>
      <c r="AQ3388">
        <f>SMALL('Iter No Test'!$W$9:$W$5008,3386)</f>
        <v>249.25159403821459</v>
      </c>
      <c r="AR3388">
        <f>1/(COUNT('Iter No Test'!$W$9:$W$5008)-1)+$AR$3387</f>
        <v>0.67713542708539864</v>
      </c>
    </row>
    <row r="3389" spans="22:44">
      <c r="V3389">
        <v>3381</v>
      </c>
      <c r="W3389">
        <v>227.73318496536496</v>
      </c>
      <c r="AQ3389">
        <f>SMALL('Iter No Test'!$W$9:$W$5008,3387)</f>
        <v>249.26401660081106</v>
      </c>
      <c r="AR3389">
        <f>1/(COUNT('Iter No Test'!$W$9:$W$5008)-1)+$AR$3388</f>
        <v>0.6773354670934002</v>
      </c>
    </row>
    <row r="3390" spans="22:44">
      <c r="V3390">
        <v>3382</v>
      </c>
      <c r="W3390">
        <v>307.53829045259658</v>
      </c>
      <c r="AQ3390">
        <f>SMALL('Iter No Test'!$W$9:$W$5008,3388)</f>
        <v>249.27583312098753</v>
      </c>
      <c r="AR3390">
        <f>1/(COUNT('Iter No Test'!$W$9:$W$5008)-1)+$AR$3389</f>
        <v>0.67753550710140176</v>
      </c>
    </row>
    <row r="3391" spans="22:44">
      <c r="V3391">
        <v>3383</v>
      </c>
      <c r="W3391">
        <v>99.315974131778361</v>
      </c>
      <c r="AQ3391">
        <f>SMALL('Iter No Test'!$W$9:$W$5008,3389)</f>
        <v>249.31447902319442</v>
      </c>
      <c r="AR3391">
        <f>1/(COUNT('Iter No Test'!$W$9:$W$5008)-1)+$AR$3390</f>
        <v>0.67773554710940331</v>
      </c>
    </row>
    <row r="3392" spans="22:44">
      <c r="V3392">
        <v>3384</v>
      </c>
      <c r="W3392">
        <v>234.87957136242107</v>
      </c>
      <c r="AQ3392">
        <f>SMALL('Iter No Test'!$W$9:$W$5008,3390)</f>
        <v>249.32352186228985</v>
      </c>
      <c r="AR3392">
        <f>1/(COUNT('Iter No Test'!$W$9:$W$5008)-1)+$AR$3391</f>
        <v>0.67793558711740487</v>
      </c>
    </row>
    <row r="3393" spans="22:44">
      <c r="V3393">
        <v>3385</v>
      </c>
      <c r="W3393">
        <v>186.09715170059667</v>
      </c>
      <c r="AQ3393">
        <f>SMALL('Iter No Test'!$W$9:$W$5008,3391)</f>
        <v>249.35603580569637</v>
      </c>
      <c r="AR3393">
        <f>1/(COUNT('Iter No Test'!$W$9:$W$5008)-1)+$AR$3392</f>
        <v>0.67813562712540643</v>
      </c>
    </row>
    <row r="3394" spans="22:44">
      <c r="V3394">
        <v>3386</v>
      </c>
      <c r="W3394">
        <v>253.70780704432818</v>
      </c>
      <c r="AQ3394">
        <f>SMALL('Iter No Test'!$W$9:$W$5008,3392)</f>
        <v>249.40856340057059</v>
      </c>
      <c r="AR3394">
        <f>1/(COUNT('Iter No Test'!$W$9:$W$5008)-1)+$AR$3393</f>
        <v>0.67833566713340798</v>
      </c>
    </row>
    <row r="3395" spans="22:44">
      <c r="V3395">
        <v>3387</v>
      </c>
      <c r="W3395">
        <v>193.91028498941853</v>
      </c>
      <c r="AQ3395">
        <f>SMALL('Iter No Test'!$W$9:$W$5008,3393)</f>
        <v>249.58403351154504</v>
      </c>
      <c r="AR3395">
        <f>1/(COUNT('Iter No Test'!$W$9:$W$5008)-1)+$AR$3394</f>
        <v>0.67853570714140954</v>
      </c>
    </row>
    <row r="3396" spans="22:44">
      <c r="V3396">
        <v>3388</v>
      </c>
      <c r="W3396">
        <v>42.099247758047099</v>
      </c>
      <c r="AQ3396">
        <f>SMALL('Iter No Test'!$W$9:$W$5008,3394)</f>
        <v>249.65368412231442</v>
      </c>
      <c r="AR3396">
        <f>1/(COUNT('Iter No Test'!$W$9:$W$5008)-1)+$AR$3395</f>
        <v>0.67873574714941109</v>
      </c>
    </row>
    <row r="3397" spans="22:44">
      <c r="V3397">
        <v>3389</v>
      </c>
      <c r="W3397">
        <v>205.8199153211705</v>
      </c>
      <c r="AQ3397">
        <f>SMALL('Iter No Test'!$W$9:$W$5008,3395)</f>
        <v>249.84335551751226</v>
      </c>
      <c r="AR3397">
        <f>1/(COUNT('Iter No Test'!$W$9:$W$5008)-1)+$AR$3396</f>
        <v>0.67893578715741265</v>
      </c>
    </row>
    <row r="3398" spans="22:44">
      <c r="V3398">
        <v>3390</v>
      </c>
      <c r="W3398">
        <v>191.11879893709016</v>
      </c>
      <c r="AQ3398">
        <f>SMALL('Iter No Test'!$W$9:$W$5008,3396)</f>
        <v>249.85623594345313</v>
      </c>
      <c r="AR3398">
        <f>1/(COUNT('Iter No Test'!$W$9:$W$5008)-1)+$AR$3397</f>
        <v>0.67913582716541421</v>
      </c>
    </row>
    <row r="3399" spans="22:44">
      <c r="V3399">
        <v>3391</v>
      </c>
      <c r="W3399">
        <v>147.83445323583823</v>
      </c>
      <c r="AQ3399">
        <f>SMALL('Iter No Test'!$W$9:$W$5008,3397)</f>
        <v>250.01218702521686</v>
      </c>
      <c r="AR3399">
        <f>1/(COUNT('Iter No Test'!$W$9:$W$5008)-1)+$AR$3398</f>
        <v>0.67933586717341576</v>
      </c>
    </row>
    <row r="3400" spans="22:44">
      <c r="V3400">
        <v>3392</v>
      </c>
      <c r="W3400">
        <v>203.3335571626892</v>
      </c>
      <c r="AQ3400">
        <f>SMALL('Iter No Test'!$W$9:$W$5008,3398)</f>
        <v>250.03112534311143</v>
      </c>
      <c r="AR3400">
        <f>1/(COUNT('Iter No Test'!$W$9:$W$5008)-1)+$AR$3399</f>
        <v>0.67953590718141732</v>
      </c>
    </row>
    <row r="3401" spans="22:44">
      <c r="V3401">
        <v>3393</v>
      </c>
      <c r="W3401">
        <v>382.74878676126434</v>
      </c>
      <c r="AQ3401">
        <f>SMALL('Iter No Test'!$W$9:$W$5008,3399)</f>
        <v>250.0708334209331</v>
      </c>
      <c r="AR3401">
        <f>1/(COUNT('Iter No Test'!$W$9:$W$5008)-1)+$AR$3400</f>
        <v>0.67973594718941888</v>
      </c>
    </row>
    <row r="3402" spans="22:44">
      <c r="V3402">
        <v>3394</v>
      </c>
      <c r="W3402">
        <v>161.85785276498729</v>
      </c>
      <c r="AQ3402">
        <f>SMALL('Iter No Test'!$W$9:$W$5008,3400)</f>
        <v>250.08292370721739</v>
      </c>
      <c r="AR3402">
        <f>1/(COUNT('Iter No Test'!$W$9:$W$5008)-1)+$AR$3401</f>
        <v>0.67993598719742043</v>
      </c>
    </row>
    <row r="3403" spans="22:44">
      <c r="V3403">
        <v>3395</v>
      </c>
      <c r="W3403">
        <v>182.44130515309593</v>
      </c>
      <c r="AQ3403">
        <f>SMALL('Iter No Test'!$W$9:$W$5008,3401)</f>
        <v>250.10606338043019</v>
      </c>
      <c r="AR3403">
        <f>1/(COUNT('Iter No Test'!$W$9:$W$5008)-1)+$AR$3402</f>
        <v>0.68013602720542199</v>
      </c>
    </row>
    <row r="3404" spans="22:44">
      <c r="V3404">
        <v>3396</v>
      </c>
      <c r="W3404">
        <v>280.98765205260401</v>
      </c>
      <c r="AQ3404">
        <f>SMALL('Iter No Test'!$W$9:$W$5008,3402)</f>
        <v>250.19268825264226</v>
      </c>
      <c r="AR3404">
        <f>1/(COUNT('Iter No Test'!$W$9:$W$5008)-1)+$AR$3403</f>
        <v>0.68033606721342355</v>
      </c>
    </row>
    <row r="3405" spans="22:44">
      <c r="V3405">
        <v>3397</v>
      </c>
      <c r="W3405">
        <v>218.10429974255479</v>
      </c>
      <c r="AQ3405">
        <f>SMALL('Iter No Test'!$W$9:$W$5008,3403)</f>
        <v>250.19852485186303</v>
      </c>
      <c r="AR3405">
        <f>1/(COUNT('Iter No Test'!$W$9:$W$5008)-1)+$AR$3404</f>
        <v>0.6805361072214251</v>
      </c>
    </row>
    <row r="3406" spans="22:44">
      <c r="V3406">
        <v>3398</v>
      </c>
      <c r="W3406">
        <v>158.25442453856527</v>
      </c>
      <c r="AQ3406">
        <f>SMALL('Iter No Test'!$W$9:$W$5008,3404)</f>
        <v>250.20485710365588</v>
      </c>
      <c r="AR3406">
        <f>1/(COUNT('Iter No Test'!$W$9:$W$5008)-1)+$AR$3405</f>
        <v>0.68073614722942666</v>
      </c>
    </row>
    <row r="3407" spans="22:44">
      <c r="V3407">
        <v>3399</v>
      </c>
      <c r="W3407">
        <v>301.86308663747604</v>
      </c>
      <c r="AQ3407">
        <f>SMALL('Iter No Test'!$W$9:$W$5008,3405)</f>
        <v>250.25895311947338</v>
      </c>
      <c r="AR3407">
        <f>1/(COUNT('Iter No Test'!$W$9:$W$5008)-1)+$AR$3406</f>
        <v>0.68093618723742821</v>
      </c>
    </row>
    <row r="3408" spans="22:44">
      <c r="V3408">
        <v>3400</v>
      </c>
      <c r="W3408">
        <v>263.13421945347966</v>
      </c>
      <c r="AQ3408">
        <f>SMALL('Iter No Test'!$W$9:$W$5008,3406)</f>
        <v>250.26603512108935</v>
      </c>
      <c r="AR3408">
        <f>1/(COUNT('Iter No Test'!$W$9:$W$5008)-1)+$AR$3407</f>
        <v>0.68113622724542977</v>
      </c>
    </row>
    <row r="3409" spans="22:44">
      <c r="V3409">
        <v>3401</v>
      </c>
      <c r="W3409">
        <v>116.9026452630448</v>
      </c>
      <c r="AQ3409">
        <f>SMALL('Iter No Test'!$W$9:$W$5008,3407)</f>
        <v>250.33468508107916</v>
      </c>
      <c r="AR3409">
        <f>1/(COUNT('Iter No Test'!$W$9:$W$5008)-1)+$AR$3408</f>
        <v>0.68133626725343133</v>
      </c>
    </row>
    <row r="3410" spans="22:44">
      <c r="V3410">
        <v>3402</v>
      </c>
      <c r="W3410">
        <v>272.59695226507932</v>
      </c>
      <c r="AQ3410">
        <f>SMALL('Iter No Test'!$W$9:$W$5008,3408)</f>
        <v>250.38870950881332</v>
      </c>
      <c r="AR3410">
        <f>1/(COUNT('Iter No Test'!$W$9:$W$5008)-1)+$AR$3409</f>
        <v>0.68153630726143288</v>
      </c>
    </row>
    <row r="3411" spans="22:44">
      <c r="V3411">
        <v>3403</v>
      </c>
      <c r="W3411">
        <v>298.18842779295517</v>
      </c>
      <c r="AQ3411">
        <f>SMALL('Iter No Test'!$W$9:$W$5008,3409)</f>
        <v>250.389335437489</v>
      </c>
      <c r="AR3411">
        <f>1/(COUNT('Iter No Test'!$W$9:$W$5008)-1)+$AR$3410</f>
        <v>0.68173634726943444</v>
      </c>
    </row>
    <row r="3412" spans="22:44">
      <c r="V3412">
        <v>3404</v>
      </c>
      <c r="W3412">
        <v>219.5398587449063</v>
      </c>
      <c r="AQ3412">
        <f>SMALL('Iter No Test'!$W$9:$W$5008,3410)</f>
        <v>250.44192320461929</v>
      </c>
      <c r="AR3412">
        <f>1/(COUNT('Iter No Test'!$W$9:$W$5008)-1)+$AR$3411</f>
        <v>0.681936387277436</v>
      </c>
    </row>
    <row r="3413" spans="22:44">
      <c r="V3413">
        <v>3405</v>
      </c>
      <c r="W3413">
        <v>384.84665228608083</v>
      </c>
      <c r="AQ3413">
        <f>SMALL('Iter No Test'!$W$9:$W$5008,3411)</f>
        <v>250.44883920578678</v>
      </c>
      <c r="AR3413">
        <f>1/(COUNT('Iter No Test'!$W$9:$W$5008)-1)+$AR$3412</f>
        <v>0.68213642728543755</v>
      </c>
    </row>
    <row r="3414" spans="22:44">
      <c r="V3414">
        <v>3406</v>
      </c>
      <c r="W3414">
        <v>335.93420258477806</v>
      </c>
      <c r="AQ3414">
        <f>SMALL('Iter No Test'!$W$9:$W$5008,3412)</f>
        <v>250.46390073238553</v>
      </c>
      <c r="AR3414">
        <f>1/(COUNT('Iter No Test'!$W$9:$W$5008)-1)+$AR$3413</f>
        <v>0.68233646729343911</v>
      </c>
    </row>
    <row r="3415" spans="22:44">
      <c r="V3415">
        <v>3407</v>
      </c>
      <c r="W3415">
        <v>254.50761314233492</v>
      </c>
      <c r="AQ3415">
        <f>SMALL('Iter No Test'!$W$9:$W$5008,3413)</f>
        <v>250.56111785583215</v>
      </c>
      <c r="AR3415">
        <f>1/(COUNT('Iter No Test'!$W$9:$W$5008)-1)+$AR$3414</f>
        <v>0.68253650730144066</v>
      </c>
    </row>
    <row r="3416" spans="22:44">
      <c r="V3416">
        <v>3408</v>
      </c>
      <c r="W3416">
        <v>242.60815512266046</v>
      </c>
      <c r="AQ3416">
        <f>SMALL('Iter No Test'!$W$9:$W$5008,3414)</f>
        <v>250.56137782894839</v>
      </c>
      <c r="AR3416">
        <f>1/(COUNT('Iter No Test'!$W$9:$W$5008)-1)+$AR$3415</f>
        <v>0.68273654730944222</v>
      </c>
    </row>
    <row r="3417" spans="22:44">
      <c r="V3417">
        <v>3409</v>
      </c>
      <c r="W3417">
        <v>247.39052630706595</v>
      </c>
      <c r="AQ3417">
        <f>SMALL('Iter No Test'!$W$9:$W$5008,3415)</f>
        <v>250.58159464493036</v>
      </c>
      <c r="AR3417">
        <f>1/(COUNT('Iter No Test'!$W$9:$W$5008)-1)+$AR$3416</f>
        <v>0.68293658731744378</v>
      </c>
    </row>
    <row r="3418" spans="22:44">
      <c r="V3418">
        <v>3410</v>
      </c>
      <c r="W3418">
        <v>136.67330631104383</v>
      </c>
      <c r="AQ3418">
        <f>SMALL('Iter No Test'!$W$9:$W$5008,3416)</f>
        <v>250.72890984395065</v>
      </c>
      <c r="AR3418">
        <f>1/(COUNT('Iter No Test'!$W$9:$W$5008)-1)+$AR$3417</f>
        <v>0.68313662732544533</v>
      </c>
    </row>
    <row r="3419" spans="22:44">
      <c r="V3419">
        <v>3411</v>
      </c>
      <c r="W3419">
        <v>84.338756926171982</v>
      </c>
      <c r="AQ3419">
        <f>SMALL('Iter No Test'!$W$9:$W$5008,3417)</f>
        <v>250.78383700066027</v>
      </c>
      <c r="AR3419">
        <f>1/(COUNT('Iter No Test'!$W$9:$W$5008)-1)+$AR$3418</f>
        <v>0.68333666733344689</v>
      </c>
    </row>
    <row r="3420" spans="22:44">
      <c r="V3420">
        <v>3412</v>
      </c>
      <c r="W3420">
        <v>258.0036398327801</v>
      </c>
      <c r="AQ3420">
        <f>SMALL('Iter No Test'!$W$9:$W$5008,3418)</f>
        <v>250.79947137556522</v>
      </c>
      <c r="AR3420">
        <f>1/(COUNT('Iter No Test'!$W$9:$W$5008)-1)+$AR$3419</f>
        <v>0.68353670734144845</v>
      </c>
    </row>
    <row r="3421" spans="22:44">
      <c r="V3421">
        <v>3413</v>
      </c>
      <c r="W3421">
        <v>228.53259066754009</v>
      </c>
      <c r="AQ3421">
        <f>SMALL('Iter No Test'!$W$9:$W$5008,3419)</f>
        <v>250.84760993901054</v>
      </c>
      <c r="AR3421">
        <f>1/(COUNT('Iter No Test'!$W$9:$W$5008)-1)+$AR$3420</f>
        <v>0.68373674734945</v>
      </c>
    </row>
    <row r="3422" spans="22:44">
      <c r="V3422">
        <v>3414</v>
      </c>
      <c r="W3422">
        <v>288.98519173348546</v>
      </c>
      <c r="AQ3422">
        <f>SMALL('Iter No Test'!$W$9:$W$5008,3420)</f>
        <v>250.94502334333899</v>
      </c>
      <c r="AR3422">
        <f>1/(COUNT('Iter No Test'!$W$9:$W$5008)-1)+$AR$3421</f>
        <v>0.68393678735745156</v>
      </c>
    </row>
    <row r="3423" spans="22:44">
      <c r="V3423">
        <v>3415</v>
      </c>
      <c r="W3423">
        <v>195.992113371454</v>
      </c>
      <c r="AQ3423">
        <f>SMALL('Iter No Test'!$W$9:$W$5008,3421)</f>
        <v>251.07458615246037</v>
      </c>
      <c r="AR3423">
        <f>1/(COUNT('Iter No Test'!$W$9:$W$5008)-1)+$AR$3422</f>
        <v>0.68413682736545312</v>
      </c>
    </row>
    <row r="3424" spans="22:44">
      <c r="V3424">
        <v>3416</v>
      </c>
      <c r="W3424">
        <v>79.812192918207629</v>
      </c>
      <c r="AQ3424">
        <f>SMALL('Iter No Test'!$W$9:$W$5008,3422)</f>
        <v>251.11481212295479</v>
      </c>
      <c r="AR3424">
        <f>1/(COUNT('Iter No Test'!$W$9:$W$5008)-1)+$AR$3423</f>
        <v>0.68433686737345467</v>
      </c>
    </row>
    <row r="3425" spans="22:44">
      <c r="V3425">
        <v>3417</v>
      </c>
      <c r="W3425">
        <v>201.88257962403679</v>
      </c>
      <c r="AQ3425">
        <f>SMALL('Iter No Test'!$W$9:$W$5008,3423)</f>
        <v>251.17660760833488</v>
      </c>
      <c r="AR3425">
        <f>1/(COUNT('Iter No Test'!$W$9:$W$5008)-1)+$AR$3424</f>
        <v>0.68453690738145623</v>
      </c>
    </row>
    <row r="3426" spans="22:44">
      <c r="V3426">
        <v>3418</v>
      </c>
      <c r="W3426">
        <v>246.81860027606089</v>
      </c>
      <c r="AQ3426">
        <f>SMALL('Iter No Test'!$W$9:$W$5008,3424)</f>
        <v>251.21093759414009</v>
      </c>
      <c r="AR3426">
        <f>1/(COUNT('Iter No Test'!$W$9:$W$5008)-1)+$AR$3425</f>
        <v>0.68473694738945778</v>
      </c>
    </row>
    <row r="3427" spans="22:44">
      <c r="V3427">
        <v>3419</v>
      </c>
      <c r="W3427">
        <v>234.01439004601974</v>
      </c>
      <c r="AQ3427">
        <f>SMALL('Iter No Test'!$W$9:$W$5008,3425)</f>
        <v>251.25989375695119</v>
      </c>
      <c r="AR3427">
        <f>1/(COUNT('Iter No Test'!$W$9:$W$5008)-1)+$AR$3426</f>
        <v>0.68493698739745934</v>
      </c>
    </row>
    <row r="3428" spans="22:44">
      <c r="V3428">
        <v>3420</v>
      </c>
      <c r="W3428">
        <v>89.024920439614306</v>
      </c>
      <c r="AQ3428">
        <f>SMALL('Iter No Test'!$W$9:$W$5008,3426)</f>
        <v>251.27599884016999</v>
      </c>
      <c r="AR3428">
        <f>1/(COUNT('Iter No Test'!$W$9:$W$5008)-1)+$AR$3427</f>
        <v>0.6851370274054609</v>
      </c>
    </row>
    <row r="3429" spans="22:44">
      <c r="V3429">
        <v>3421</v>
      </c>
      <c r="W3429">
        <v>127.65530064077731</v>
      </c>
      <c r="AQ3429">
        <f>SMALL('Iter No Test'!$W$9:$W$5008,3427)</f>
        <v>251.32997445204703</v>
      </c>
      <c r="AR3429">
        <f>1/(COUNT('Iter No Test'!$W$9:$W$5008)-1)+$AR$3428</f>
        <v>0.68533706741346245</v>
      </c>
    </row>
    <row r="3430" spans="22:44">
      <c r="V3430">
        <v>3422</v>
      </c>
      <c r="W3430">
        <v>233.71697710319714</v>
      </c>
      <c r="AQ3430">
        <f>SMALL('Iter No Test'!$W$9:$W$5008,3428)</f>
        <v>251.33435669274235</v>
      </c>
      <c r="AR3430">
        <f>1/(COUNT('Iter No Test'!$W$9:$W$5008)-1)+$AR$3429</f>
        <v>0.68553710742146401</v>
      </c>
    </row>
    <row r="3431" spans="22:44">
      <c r="V3431">
        <v>3423</v>
      </c>
      <c r="W3431">
        <v>242.53357698265046</v>
      </c>
      <c r="AQ3431">
        <f>SMALL('Iter No Test'!$W$9:$W$5008,3429)</f>
        <v>251.34468498689466</v>
      </c>
      <c r="AR3431">
        <f>1/(COUNT('Iter No Test'!$W$9:$W$5008)-1)+$AR$3430</f>
        <v>0.68573714742946557</v>
      </c>
    </row>
    <row r="3432" spans="22:44">
      <c r="V3432">
        <v>3424</v>
      </c>
      <c r="W3432">
        <v>260.10358360761438</v>
      </c>
      <c r="AQ3432">
        <f>SMALL('Iter No Test'!$W$9:$W$5008,3430)</f>
        <v>251.42882049382715</v>
      </c>
      <c r="AR3432">
        <f>1/(COUNT('Iter No Test'!$W$9:$W$5008)-1)+$AR$3431</f>
        <v>0.68593718743746712</v>
      </c>
    </row>
    <row r="3433" spans="22:44">
      <c r="V3433">
        <v>3425</v>
      </c>
      <c r="W3433">
        <v>172.33153728773306</v>
      </c>
      <c r="AQ3433">
        <f>SMALL('Iter No Test'!$W$9:$W$5008,3431)</f>
        <v>251.45602156163807</v>
      </c>
      <c r="AR3433">
        <f>1/(COUNT('Iter No Test'!$W$9:$W$5008)-1)+$AR$3432</f>
        <v>0.68613722744546868</v>
      </c>
    </row>
    <row r="3434" spans="22:44">
      <c r="V3434">
        <v>3426</v>
      </c>
      <c r="W3434">
        <v>186.31010227059434</v>
      </c>
      <c r="AQ3434">
        <f>SMALL('Iter No Test'!$W$9:$W$5008,3432)</f>
        <v>251.46505074412454</v>
      </c>
      <c r="AR3434">
        <f>1/(COUNT('Iter No Test'!$W$9:$W$5008)-1)+$AR$3433</f>
        <v>0.68633726745347023</v>
      </c>
    </row>
    <row r="3435" spans="22:44">
      <c r="V3435">
        <v>3427</v>
      </c>
      <c r="W3435">
        <v>207.64505053263457</v>
      </c>
      <c r="AQ3435">
        <f>SMALL('Iter No Test'!$W$9:$W$5008,3433)</f>
        <v>251.47248582021507</v>
      </c>
      <c r="AR3435">
        <f>1/(COUNT('Iter No Test'!$W$9:$W$5008)-1)+$AR$3434</f>
        <v>0.68653730746147179</v>
      </c>
    </row>
    <row r="3436" spans="22:44">
      <c r="V3436">
        <v>3428</v>
      </c>
      <c r="W3436">
        <v>394.98044428237353</v>
      </c>
      <c r="AQ3436">
        <f>SMALL('Iter No Test'!$W$9:$W$5008,3434)</f>
        <v>251.54078435576301</v>
      </c>
      <c r="AR3436">
        <f>1/(COUNT('Iter No Test'!$W$9:$W$5008)-1)+$AR$3435</f>
        <v>0.68673734746947335</v>
      </c>
    </row>
    <row r="3437" spans="22:44">
      <c r="V3437">
        <v>3429</v>
      </c>
      <c r="W3437">
        <v>211.39606023087629</v>
      </c>
      <c r="AQ3437">
        <f>SMALL('Iter No Test'!$W$9:$W$5008,3435)</f>
        <v>251.64770496060058</v>
      </c>
      <c r="AR3437">
        <f>1/(COUNT('Iter No Test'!$W$9:$W$5008)-1)+$AR$3436</f>
        <v>0.6869373874774749</v>
      </c>
    </row>
    <row r="3438" spans="22:44">
      <c r="V3438">
        <v>3430</v>
      </c>
      <c r="W3438">
        <v>381.51144573689737</v>
      </c>
      <c r="AQ3438">
        <f>SMALL('Iter No Test'!$W$9:$W$5008,3436)</f>
        <v>251.66293323502222</v>
      </c>
      <c r="AR3438">
        <f>1/(COUNT('Iter No Test'!$W$9:$W$5008)-1)+$AR$3437</f>
        <v>0.68713742748547646</v>
      </c>
    </row>
    <row r="3439" spans="22:44">
      <c r="V3439">
        <v>3431</v>
      </c>
      <c r="W3439">
        <v>238.00694567236985</v>
      </c>
      <c r="AQ3439">
        <f>SMALL('Iter No Test'!$W$9:$W$5008,3437)</f>
        <v>251.76478651954241</v>
      </c>
      <c r="AR3439">
        <f>1/(COUNT('Iter No Test'!$W$9:$W$5008)-1)+$AR$3438</f>
        <v>0.68733746749347802</v>
      </c>
    </row>
    <row r="3440" spans="22:44">
      <c r="V3440">
        <v>3432</v>
      </c>
      <c r="W3440">
        <v>206.48253778501066</v>
      </c>
      <c r="AQ3440">
        <f>SMALL('Iter No Test'!$W$9:$W$5008,3438)</f>
        <v>251.8301818622449</v>
      </c>
      <c r="AR3440">
        <f>1/(COUNT('Iter No Test'!$W$9:$W$5008)-1)+$AR$3439</f>
        <v>0.68753750750147957</v>
      </c>
    </row>
    <row r="3441" spans="22:44">
      <c r="V3441">
        <v>3433</v>
      </c>
      <c r="W3441">
        <v>179.13306398616081</v>
      </c>
      <c r="AQ3441">
        <f>SMALL('Iter No Test'!$W$9:$W$5008,3439)</f>
        <v>251.9539129734448</v>
      </c>
      <c r="AR3441">
        <f>1/(COUNT('Iter No Test'!$W$9:$W$5008)-1)+$AR$3440</f>
        <v>0.68773754750948113</v>
      </c>
    </row>
    <row r="3442" spans="22:44">
      <c r="V3442">
        <v>3434</v>
      </c>
      <c r="W3442">
        <v>376.82192979347769</v>
      </c>
      <c r="AQ3442">
        <f>SMALL('Iter No Test'!$W$9:$W$5008,3440)</f>
        <v>252.05869611746391</v>
      </c>
      <c r="AR3442">
        <f>1/(COUNT('Iter No Test'!$W$9:$W$5008)-1)+$AR$3441</f>
        <v>0.68793758751748268</v>
      </c>
    </row>
    <row r="3443" spans="22:44">
      <c r="V3443">
        <v>3435</v>
      </c>
      <c r="W3443">
        <v>281.3208114268233</v>
      </c>
      <c r="AQ3443">
        <f>SMALL('Iter No Test'!$W$9:$W$5008,3441)</f>
        <v>252.0882785666756</v>
      </c>
      <c r="AR3443">
        <f>1/(COUNT('Iter No Test'!$W$9:$W$5008)-1)+$AR$3442</f>
        <v>0.68813762752548424</v>
      </c>
    </row>
    <row r="3444" spans="22:44">
      <c r="V3444">
        <v>3436</v>
      </c>
      <c r="W3444">
        <v>160.31438320202096</v>
      </c>
      <c r="AQ3444">
        <f>SMALL('Iter No Test'!$W$9:$W$5008,3442)</f>
        <v>252.15565504317425</v>
      </c>
      <c r="AR3444">
        <f>1/(COUNT('Iter No Test'!$W$9:$W$5008)-1)+$AR$3443</f>
        <v>0.6883376675334858</v>
      </c>
    </row>
    <row r="3445" spans="22:44">
      <c r="V3445">
        <v>3437</v>
      </c>
      <c r="W3445">
        <v>310.02601119375277</v>
      </c>
      <c r="AQ3445">
        <f>SMALL('Iter No Test'!$W$9:$W$5008,3443)</f>
        <v>252.15873169609233</v>
      </c>
      <c r="AR3445">
        <f>1/(COUNT('Iter No Test'!$W$9:$W$5008)-1)+$AR$3444</f>
        <v>0.68853770754148735</v>
      </c>
    </row>
    <row r="3446" spans="22:44">
      <c r="V3446">
        <v>3438</v>
      </c>
      <c r="W3446">
        <v>231.6204422144242</v>
      </c>
      <c r="AQ3446">
        <f>SMALL('Iter No Test'!$W$9:$W$5008,3444)</f>
        <v>252.27367290109859</v>
      </c>
      <c r="AR3446">
        <f>1/(COUNT('Iter No Test'!$W$9:$W$5008)-1)+$AR$3445</f>
        <v>0.68873774754948891</v>
      </c>
    </row>
    <row r="3447" spans="22:44">
      <c r="V3447">
        <v>3439</v>
      </c>
      <c r="W3447">
        <v>63.854759604229912</v>
      </c>
      <c r="AQ3447">
        <f>SMALL('Iter No Test'!$W$9:$W$5008,3445)</f>
        <v>252.2811072396992</v>
      </c>
      <c r="AR3447">
        <f>1/(COUNT('Iter No Test'!$W$9:$W$5008)-1)+$AR$3446</f>
        <v>0.68893778755749047</v>
      </c>
    </row>
    <row r="3448" spans="22:44">
      <c r="V3448">
        <v>3440</v>
      </c>
      <c r="W3448">
        <v>195.23298088016537</v>
      </c>
      <c r="AQ3448">
        <f>SMALL('Iter No Test'!$W$9:$W$5008,3446)</f>
        <v>252.32728395046402</v>
      </c>
      <c r="AR3448">
        <f>1/(COUNT('Iter No Test'!$W$9:$W$5008)-1)+$AR$3447</f>
        <v>0.68913782756549202</v>
      </c>
    </row>
    <row r="3449" spans="22:44">
      <c r="V3449">
        <v>3441</v>
      </c>
      <c r="W3449">
        <v>131.37784038911354</v>
      </c>
      <c r="AQ3449">
        <f>SMALL('Iter No Test'!$W$9:$W$5008,3447)</f>
        <v>252.32869661454529</v>
      </c>
      <c r="AR3449">
        <f>1/(COUNT('Iter No Test'!$W$9:$W$5008)-1)+$AR$3448</f>
        <v>0.68933786757349358</v>
      </c>
    </row>
    <row r="3450" spans="22:44">
      <c r="V3450">
        <v>3442</v>
      </c>
      <c r="W3450">
        <v>249.19477635945213</v>
      </c>
      <c r="AQ3450">
        <f>SMALL('Iter No Test'!$W$9:$W$5008,3448)</f>
        <v>252.37195061240027</v>
      </c>
      <c r="AR3450">
        <f>1/(COUNT('Iter No Test'!$W$9:$W$5008)-1)+$AR$3449</f>
        <v>0.68953790758149514</v>
      </c>
    </row>
    <row r="3451" spans="22:44">
      <c r="V3451">
        <v>3443</v>
      </c>
      <c r="W3451">
        <v>113.67815426096556</v>
      </c>
      <c r="AQ3451">
        <f>SMALL('Iter No Test'!$W$9:$W$5008,3449)</f>
        <v>252.38040156383269</v>
      </c>
      <c r="AR3451">
        <f>1/(COUNT('Iter No Test'!$W$9:$W$5008)-1)+$AR$3450</f>
        <v>0.68973794758949669</v>
      </c>
    </row>
    <row r="3452" spans="22:44">
      <c r="V3452">
        <v>3444</v>
      </c>
      <c r="W3452">
        <v>246.45443221092967</v>
      </c>
      <c r="AQ3452">
        <f>SMALL('Iter No Test'!$W$9:$W$5008,3450)</f>
        <v>252.38758875738469</v>
      </c>
      <c r="AR3452">
        <f>1/(COUNT('Iter No Test'!$W$9:$W$5008)-1)+$AR$3451</f>
        <v>0.68993798759749825</v>
      </c>
    </row>
    <row r="3453" spans="22:44">
      <c r="V3453">
        <v>3445</v>
      </c>
      <c r="W3453">
        <v>349.16703049243057</v>
      </c>
      <c r="AQ3453">
        <f>SMALL('Iter No Test'!$W$9:$W$5008,3451)</f>
        <v>252.40929457525621</v>
      </c>
      <c r="AR3453">
        <f>1/(COUNT('Iter No Test'!$W$9:$W$5008)-1)+$AR$3452</f>
        <v>0.6901380276054998</v>
      </c>
    </row>
    <row r="3454" spans="22:44">
      <c r="V3454">
        <v>3446</v>
      </c>
      <c r="W3454">
        <v>89.976043413543366</v>
      </c>
      <c r="AQ3454">
        <f>SMALL('Iter No Test'!$W$9:$W$5008,3452)</f>
        <v>252.46398631897063</v>
      </c>
      <c r="AR3454">
        <f>1/(COUNT('Iter No Test'!$W$9:$W$5008)-1)+$AR$3453</f>
        <v>0.69033806761350136</v>
      </c>
    </row>
    <row r="3455" spans="22:44">
      <c r="V3455">
        <v>3447</v>
      </c>
      <c r="W3455">
        <v>188.22666464206208</v>
      </c>
      <c r="AQ3455">
        <f>SMALL('Iter No Test'!$W$9:$W$5008,3453)</f>
        <v>252.60587018480874</v>
      </c>
      <c r="AR3455">
        <f>1/(COUNT('Iter No Test'!$W$9:$W$5008)-1)+$AR$3454</f>
        <v>0.69053810762150292</v>
      </c>
    </row>
    <row r="3456" spans="22:44">
      <c r="V3456">
        <v>3448</v>
      </c>
      <c r="W3456">
        <v>225.77258037951117</v>
      </c>
      <c r="AQ3456">
        <f>SMALL('Iter No Test'!$W$9:$W$5008,3454)</f>
        <v>252.62302447525954</v>
      </c>
      <c r="AR3456">
        <f>1/(COUNT('Iter No Test'!$W$9:$W$5008)-1)+$AR$3455</f>
        <v>0.69073814762950447</v>
      </c>
    </row>
    <row r="3457" spans="22:44">
      <c r="V3457">
        <v>3449</v>
      </c>
      <c r="W3457">
        <v>120.76508187806155</v>
      </c>
      <c r="AQ3457">
        <f>SMALL('Iter No Test'!$W$9:$W$5008,3455)</f>
        <v>252.7523691632795</v>
      </c>
      <c r="AR3457">
        <f>1/(COUNT('Iter No Test'!$W$9:$W$5008)-1)+$AR$3456</f>
        <v>0.69093818763750603</v>
      </c>
    </row>
    <row r="3458" spans="22:44">
      <c r="V3458">
        <v>3450</v>
      </c>
      <c r="W3458">
        <v>313.23656770004266</v>
      </c>
      <c r="AQ3458">
        <f>SMALL('Iter No Test'!$W$9:$W$5008,3456)</f>
        <v>252.84478555862464</v>
      </c>
      <c r="AR3458">
        <f>1/(COUNT('Iter No Test'!$W$9:$W$5008)-1)+$AR$3457</f>
        <v>0.69113822764550759</v>
      </c>
    </row>
    <row r="3459" spans="22:44">
      <c r="V3459">
        <v>3451</v>
      </c>
      <c r="W3459">
        <v>131.37627880403184</v>
      </c>
      <c r="AQ3459">
        <f>SMALL('Iter No Test'!$W$9:$W$5008,3457)</f>
        <v>252.85798184272369</v>
      </c>
      <c r="AR3459">
        <f>1/(COUNT('Iter No Test'!$W$9:$W$5008)-1)+$AR$3458</f>
        <v>0.69133826765350914</v>
      </c>
    </row>
    <row r="3460" spans="22:44">
      <c r="V3460">
        <v>3452</v>
      </c>
      <c r="W3460">
        <v>263.14188738792723</v>
      </c>
      <c r="AQ3460">
        <f>SMALL('Iter No Test'!$W$9:$W$5008,3458)</f>
        <v>252.87101723553366</v>
      </c>
      <c r="AR3460">
        <f>1/(COUNT('Iter No Test'!$W$9:$W$5008)-1)+$AR$3459</f>
        <v>0.6915383076615107</v>
      </c>
    </row>
    <row r="3461" spans="22:44">
      <c r="V3461">
        <v>3453</v>
      </c>
      <c r="W3461">
        <v>280.60866716587691</v>
      </c>
      <c r="AQ3461">
        <f>SMALL('Iter No Test'!$W$9:$W$5008,3459)</f>
        <v>252.99658230661336</v>
      </c>
      <c r="AR3461">
        <f>1/(COUNT('Iter No Test'!$W$9:$W$5008)-1)+$AR$3460</f>
        <v>0.69173834766951225</v>
      </c>
    </row>
    <row r="3462" spans="22:44">
      <c r="V3462">
        <v>3454</v>
      </c>
      <c r="W3462">
        <v>134.05786719639542</v>
      </c>
      <c r="AQ3462">
        <f>SMALL('Iter No Test'!$W$9:$W$5008,3460)</f>
        <v>253.02553744763568</v>
      </c>
      <c r="AR3462">
        <f>1/(COUNT('Iter No Test'!$W$9:$W$5008)-1)+$AR$3461</f>
        <v>0.69193838767751381</v>
      </c>
    </row>
    <row r="3463" spans="22:44">
      <c r="V3463">
        <v>3455</v>
      </c>
      <c r="W3463">
        <v>92.631990531759286</v>
      </c>
      <c r="AQ3463">
        <f>SMALL('Iter No Test'!$W$9:$W$5008,3461)</f>
        <v>253.0296687086429</v>
      </c>
      <c r="AR3463">
        <f>1/(COUNT('Iter No Test'!$W$9:$W$5008)-1)+$AR$3462</f>
        <v>0.69213842768551537</v>
      </c>
    </row>
    <row r="3464" spans="22:44">
      <c r="V3464">
        <v>3456</v>
      </c>
      <c r="W3464">
        <v>324.31204471421893</v>
      </c>
      <c r="AQ3464">
        <f>SMALL('Iter No Test'!$W$9:$W$5008,3462)</f>
        <v>253.14186812903969</v>
      </c>
      <c r="AR3464">
        <f>1/(COUNT('Iter No Test'!$W$9:$W$5008)-1)+$AR$3463</f>
        <v>0.69233846769351692</v>
      </c>
    </row>
    <row r="3465" spans="22:44">
      <c r="V3465">
        <v>3457</v>
      </c>
      <c r="W3465">
        <v>88.800466170276437</v>
      </c>
      <c r="AQ3465">
        <f>SMALL('Iter No Test'!$W$9:$W$5008,3463)</f>
        <v>253.14643685106347</v>
      </c>
      <c r="AR3465">
        <f>1/(COUNT('Iter No Test'!$W$9:$W$5008)-1)+$AR$3464</f>
        <v>0.69253850770151848</v>
      </c>
    </row>
    <row r="3466" spans="22:44">
      <c r="V3466">
        <v>3458</v>
      </c>
      <c r="W3466">
        <v>81.039781545257966</v>
      </c>
      <c r="AQ3466">
        <f>SMALL('Iter No Test'!$W$9:$W$5008,3464)</f>
        <v>253.17397685387922</v>
      </c>
      <c r="AR3466">
        <f>1/(COUNT('Iter No Test'!$W$9:$W$5008)-1)+$AR$3465</f>
        <v>0.69273854770952004</v>
      </c>
    </row>
    <row r="3467" spans="22:44">
      <c r="V3467">
        <v>3459</v>
      </c>
      <c r="W3467">
        <v>232.1356020906662</v>
      </c>
      <c r="AQ3467">
        <f>SMALL('Iter No Test'!$W$9:$W$5008,3465)</f>
        <v>253.20691044748736</v>
      </c>
      <c r="AR3467">
        <f>1/(COUNT('Iter No Test'!$W$9:$W$5008)-1)+$AR$3466</f>
        <v>0.69293858771752159</v>
      </c>
    </row>
    <row r="3468" spans="22:44">
      <c r="V3468">
        <v>3460</v>
      </c>
      <c r="W3468">
        <v>136.65744542550374</v>
      </c>
      <c r="AQ3468">
        <f>SMALL('Iter No Test'!$W$9:$W$5008,3466)</f>
        <v>253.45417526866225</v>
      </c>
      <c r="AR3468">
        <f>1/(COUNT('Iter No Test'!$W$9:$W$5008)-1)+$AR$3467</f>
        <v>0.69313862772552315</v>
      </c>
    </row>
    <row r="3469" spans="22:44">
      <c r="V3469">
        <v>3461</v>
      </c>
      <c r="W3469">
        <v>101.14560816395056</v>
      </c>
      <c r="AQ3469">
        <f>SMALL('Iter No Test'!$W$9:$W$5008,3467)</f>
        <v>253.47041516652118</v>
      </c>
      <c r="AR3469">
        <f>1/(COUNT('Iter No Test'!$W$9:$W$5008)-1)+$AR$3468</f>
        <v>0.69333866773352471</v>
      </c>
    </row>
    <row r="3470" spans="22:44">
      <c r="V3470">
        <v>3462</v>
      </c>
      <c r="W3470">
        <v>137.24935597178387</v>
      </c>
      <c r="AQ3470">
        <f>SMALL('Iter No Test'!$W$9:$W$5008,3468)</f>
        <v>253.47851719366412</v>
      </c>
      <c r="AR3470">
        <f>1/(COUNT('Iter No Test'!$W$9:$W$5008)-1)+$AR$3469</f>
        <v>0.69353870774152626</v>
      </c>
    </row>
    <row r="3471" spans="22:44">
      <c r="V3471">
        <v>3463</v>
      </c>
      <c r="W3471">
        <v>156.84108377342949</v>
      </c>
      <c r="AQ3471">
        <f>SMALL('Iter No Test'!$W$9:$W$5008,3469)</f>
        <v>253.56542453724651</v>
      </c>
      <c r="AR3471">
        <f>1/(COUNT('Iter No Test'!$W$9:$W$5008)-1)+$AR$3470</f>
        <v>0.69373874774952782</v>
      </c>
    </row>
    <row r="3472" spans="22:44">
      <c r="V3472">
        <v>3464</v>
      </c>
      <c r="W3472">
        <v>174.71051125417767</v>
      </c>
      <c r="AQ3472">
        <f>SMALL('Iter No Test'!$W$9:$W$5008,3470)</f>
        <v>253.5993242843432</v>
      </c>
      <c r="AR3472">
        <f>1/(COUNT('Iter No Test'!$W$9:$W$5008)-1)+$AR$3471</f>
        <v>0.69393878775752937</v>
      </c>
    </row>
    <row r="3473" spans="22:44">
      <c r="V3473">
        <v>3465</v>
      </c>
      <c r="W3473">
        <v>257.90901064491703</v>
      </c>
      <c r="AQ3473">
        <f>SMALL('Iter No Test'!$W$9:$W$5008,3471)</f>
        <v>253.64861414272377</v>
      </c>
      <c r="AR3473">
        <f>1/(COUNT('Iter No Test'!$W$9:$W$5008)-1)+$AR$3472</f>
        <v>0.69413882776553093</v>
      </c>
    </row>
    <row r="3474" spans="22:44">
      <c r="V3474">
        <v>3466</v>
      </c>
      <c r="W3474">
        <v>303.09619796435129</v>
      </c>
      <c r="AQ3474">
        <f>SMALL('Iter No Test'!$W$9:$W$5008,3472)</f>
        <v>253.67714661509976</v>
      </c>
      <c r="AR3474">
        <f>1/(COUNT('Iter No Test'!$W$9:$W$5008)-1)+$AR$3473</f>
        <v>0.69433886777353249</v>
      </c>
    </row>
    <row r="3475" spans="22:44">
      <c r="V3475">
        <v>3467</v>
      </c>
      <c r="W3475">
        <v>331.62331532289579</v>
      </c>
      <c r="AQ3475">
        <f>SMALL('Iter No Test'!$W$9:$W$5008,3473)</f>
        <v>253.70085873772405</v>
      </c>
      <c r="AR3475">
        <f>1/(COUNT('Iter No Test'!$W$9:$W$5008)-1)+$AR$3474</f>
        <v>0.69453890778153404</v>
      </c>
    </row>
    <row r="3476" spans="22:44">
      <c r="V3476">
        <v>3468</v>
      </c>
      <c r="W3476">
        <v>232.32592545841248</v>
      </c>
      <c r="AQ3476">
        <f>SMALL('Iter No Test'!$W$9:$W$5008,3474)</f>
        <v>253.70780704432818</v>
      </c>
      <c r="AR3476">
        <f>1/(COUNT('Iter No Test'!$W$9:$W$5008)-1)+$AR$3475</f>
        <v>0.6947389477895356</v>
      </c>
    </row>
    <row r="3477" spans="22:44">
      <c r="V3477">
        <v>3469</v>
      </c>
      <c r="W3477">
        <v>290.94873491651765</v>
      </c>
      <c r="AQ3477">
        <f>SMALL('Iter No Test'!$W$9:$W$5008,3475)</f>
        <v>253.72755952529229</v>
      </c>
      <c r="AR3477">
        <f>1/(COUNT('Iter No Test'!$W$9:$W$5008)-1)+$AR$3476</f>
        <v>0.69493898779753716</v>
      </c>
    </row>
    <row r="3478" spans="22:44">
      <c r="V3478">
        <v>3470</v>
      </c>
      <c r="W3478">
        <v>207.34932844549016</v>
      </c>
      <c r="AQ3478">
        <f>SMALL('Iter No Test'!$W$9:$W$5008,3476)</f>
        <v>253.76677248963421</v>
      </c>
      <c r="AR3478">
        <f>1/(COUNT('Iter No Test'!$W$9:$W$5008)-1)+$AR$3477</f>
        <v>0.69513902780553871</v>
      </c>
    </row>
    <row r="3479" spans="22:44">
      <c r="V3479">
        <v>3471</v>
      </c>
      <c r="W3479">
        <v>310.72402145074773</v>
      </c>
      <c r="AQ3479">
        <f>SMALL('Iter No Test'!$W$9:$W$5008,3477)</f>
        <v>253.87439806795572</v>
      </c>
      <c r="AR3479">
        <f>1/(COUNT('Iter No Test'!$W$9:$W$5008)-1)+$AR$3478</f>
        <v>0.69533906781354027</v>
      </c>
    </row>
    <row r="3480" spans="22:44">
      <c r="V3480">
        <v>3472</v>
      </c>
      <c r="W3480">
        <v>185.81435548608712</v>
      </c>
      <c r="AQ3480">
        <f>SMALL('Iter No Test'!$W$9:$W$5008,3478)</f>
        <v>253.91291619968229</v>
      </c>
      <c r="AR3480">
        <f>1/(COUNT('Iter No Test'!$W$9:$W$5008)-1)+$AR$3479</f>
        <v>0.69553910782154182</v>
      </c>
    </row>
    <row r="3481" spans="22:44">
      <c r="V3481">
        <v>3473</v>
      </c>
      <c r="W3481">
        <v>119.64275021882477</v>
      </c>
      <c r="AQ3481">
        <f>SMALL('Iter No Test'!$W$9:$W$5008,3479)</f>
        <v>253.95243555676839</v>
      </c>
      <c r="AR3481">
        <f>1/(COUNT('Iter No Test'!$W$9:$W$5008)-1)+$AR$3480</f>
        <v>0.69573914782954338</v>
      </c>
    </row>
    <row r="3482" spans="22:44">
      <c r="V3482">
        <v>3474</v>
      </c>
      <c r="W3482">
        <v>250.79947137556522</v>
      </c>
      <c r="AQ3482">
        <f>SMALL('Iter No Test'!$W$9:$W$5008,3480)</f>
        <v>253.96724863274648</v>
      </c>
      <c r="AR3482">
        <f>1/(COUNT('Iter No Test'!$W$9:$W$5008)-1)+$AR$3481</f>
        <v>0.69593918783754494</v>
      </c>
    </row>
    <row r="3483" spans="22:44">
      <c r="V3483">
        <v>3475</v>
      </c>
      <c r="W3483">
        <v>341.51716642449617</v>
      </c>
      <c r="AQ3483">
        <f>SMALL('Iter No Test'!$W$9:$W$5008,3481)</f>
        <v>253.98726548533187</v>
      </c>
      <c r="AR3483">
        <f>1/(COUNT('Iter No Test'!$W$9:$W$5008)-1)+$AR$3482</f>
        <v>0.69613922784554649</v>
      </c>
    </row>
    <row r="3484" spans="22:44">
      <c r="V3484">
        <v>3476</v>
      </c>
      <c r="W3484">
        <v>153.22493120126796</v>
      </c>
      <c r="AQ3484">
        <f>SMALL('Iter No Test'!$W$9:$W$5008,3482)</f>
        <v>254.01079249220095</v>
      </c>
      <c r="AR3484">
        <f>1/(COUNT('Iter No Test'!$W$9:$W$5008)-1)+$AR$3483</f>
        <v>0.69633926785354805</v>
      </c>
    </row>
    <row r="3485" spans="22:44">
      <c r="V3485">
        <v>3477</v>
      </c>
      <c r="W3485">
        <v>213.82189232579344</v>
      </c>
      <c r="AQ3485">
        <f>SMALL('Iter No Test'!$W$9:$W$5008,3483)</f>
        <v>254.04954277312279</v>
      </c>
      <c r="AR3485">
        <f>1/(COUNT('Iter No Test'!$W$9:$W$5008)-1)+$AR$3484</f>
        <v>0.69653930786154961</v>
      </c>
    </row>
    <row r="3486" spans="22:44">
      <c r="V3486">
        <v>3478</v>
      </c>
      <c r="W3486">
        <v>286.85442008448535</v>
      </c>
      <c r="AQ3486">
        <f>SMALL('Iter No Test'!$W$9:$W$5008,3484)</f>
        <v>254.07916839896603</v>
      </c>
      <c r="AR3486">
        <f>1/(COUNT('Iter No Test'!$W$9:$W$5008)-1)+$AR$3485</f>
        <v>0.69673934786955116</v>
      </c>
    </row>
    <row r="3487" spans="22:44">
      <c r="V3487">
        <v>3479</v>
      </c>
      <c r="W3487">
        <v>139.82880098912582</v>
      </c>
      <c r="AQ3487">
        <f>SMALL('Iter No Test'!$W$9:$W$5008,3485)</f>
        <v>254.12311034829997</v>
      </c>
      <c r="AR3487">
        <f>1/(COUNT('Iter No Test'!$W$9:$W$5008)-1)+$AR$3486</f>
        <v>0.69693938787755272</v>
      </c>
    </row>
    <row r="3488" spans="22:44">
      <c r="V3488">
        <v>3480</v>
      </c>
      <c r="W3488">
        <v>199.13583322728573</v>
      </c>
      <c r="AQ3488">
        <f>SMALL('Iter No Test'!$W$9:$W$5008,3486)</f>
        <v>254.21290166225657</v>
      </c>
      <c r="AR3488">
        <f>1/(COUNT('Iter No Test'!$W$9:$W$5008)-1)+$AR$3487</f>
        <v>0.69713942788555427</v>
      </c>
    </row>
    <row r="3489" spans="22:44">
      <c r="V3489">
        <v>3481</v>
      </c>
      <c r="W3489">
        <v>206.603800368522</v>
      </c>
      <c r="AQ3489">
        <f>SMALL('Iter No Test'!$W$9:$W$5008,3487)</f>
        <v>254.23796451554441</v>
      </c>
      <c r="AR3489">
        <f>1/(COUNT('Iter No Test'!$W$9:$W$5008)-1)+$AR$3488</f>
        <v>0.69733946789355583</v>
      </c>
    </row>
    <row r="3490" spans="22:44">
      <c r="V3490">
        <v>3482</v>
      </c>
      <c r="W3490">
        <v>234.92149712568437</v>
      </c>
      <c r="AQ3490">
        <f>SMALL('Iter No Test'!$W$9:$W$5008,3488)</f>
        <v>254.26210147963513</v>
      </c>
      <c r="AR3490">
        <f>1/(COUNT('Iter No Test'!$W$9:$W$5008)-1)+$AR$3489</f>
        <v>0.69753950790155739</v>
      </c>
    </row>
    <row r="3491" spans="22:44">
      <c r="V3491">
        <v>3483</v>
      </c>
      <c r="W3491">
        <v>216.21101425083265</v>
      </c>
      <c r="AQ3491">
        <f>SMALL('Iter No Test'!$W$9:$W$5008,3489)</f>
        <v>254.36193321902368</v>
      </c>
      <c r="AR3491">
        <f>1/(COUNT('Iter No Test'!$W$9:$W$5008)-1)+$AR$3490</f>
        <v>0.69773954790955894</v>
      </c>
    </row>
    <row r="3492" spans="22:44">
      <c r="V3492">
        <v>3484</v>
      </c>
      <c r="W3492">
        <v>158.27570483127298</v>
      </c>
      <c r="AQ3492">
        <f>SMALL('Iter No Test'!$W$9:$W$5008,3490)</f>
        <v>254.42219449437209</v>
      </c>
      <c r="AR3492">
        <f>1/(COUNT('Iter No Test'!$W$9:$W$5008)-1)+$AR$3491</f>
        <v>0.6979395879175605</v>
      </c>
    </row>
    <row r="3493" spans="22:44">
      <c r="V3493">
        <v>3485</v>
      </c>
      <c r="W3493">
        <v>105.64683958622032</v>
      </c>
      <c r="AQ3493">
        <f>SMALL('Iter No Test'!$W$9:$W$5008,3491)</f>
        <v>254.4562463081713</v>
      </c>
      <c r="AR3493">
        <f>1/(COUNT('Iter No Test'!$W$9:$W$5008)-1)+$AR$3492</f>
        <v>0.69813962792556206</v>
      </c>
    </row>
    <row r="3494" spans="22:44">
      <c r="V3494">
        <v>3486</v>
      </c>
      <c r="W3494">
        <v>113.87967263377098</v>
      </c>
      <c r="AQ3494">
        <f>SMALL('Iter No Test'!$W$9:$W$5008,3492)</f>
        <v>254.45809347331885</v>
      </c>
      <c r="AR3494">
        <f>1/(COUNT('Iter No Test'!$W$9:$W$5008)-1)+$AR$3493</f>
        <v>0.69833966793356361</v>
      </c>
    </row>
    <row r="3495" spans="22:44">
      <c r="V3495">
        <v>3487</v>
      </c>
      <c r="W3495">
        <v>330.27491404279704</v>
      </c>
      <c r="AQ3495">
        <f>SMALL('Iter No Test'!$W$9:$W$5008,3493)</f>
        <v>254.50761314233492</v>
      </c>
      <c r="AR3495">
        <f>1/(COUNT('Iter No Test'!$W$9:$W$5008)-1)+$AR$3494</f>
        <v>0.69853970794156517</v>
      </c>
    </row>
    <row r="3496" spans="22:44">
      <c r="V3496">
        <v>3488</v>
      </c>
      <c r="W3496">
        <v>231.45719646066937</v>
      </c>
      <c r="AQ3496">
        <f>SMALL('Iter No Test'!$W$9:$W$5008,3494)</f>
        <v>254.52462354661952</v>
      </c>
      <c r="AR3496">
        <f>1/(COUNT('Iter No Test'!$W$9:$W$5008)-1)+$AR$3495</f>
        <v>0.69873974794956673</v>
      </c>
    </row>
    <row r="3497" spans="22:44">
      <c r="V3497">
        <v>3489</v>
      </c>
      <c r="W3497">
        <v>153.02053694842937</v>
      </c>
      <c r="AQ3497">
        <f>SMALL('Iter No Test'!$W$9:$W$5008,3495)</f>
        <v>254.55693107298862</v>
      </c>
      <c r="AR3497">
        <f>1/(COUNT('Iter No Test'!$W$9:$W$5008)-1)+$AR$3496</f>
        <v>0.69893978795756828</v>
      </c>
    </row>
    <row r="3498" spans="22:44">
      <c r="V3498">
        <v>3490</v>
      </c>
      <c r="W3498">
        <v>111.395332693505</v>
      </c>
      <c r="AQ3498">
        <f>SMALL('Iter No Test'!$W$9:$W$5008,3496)</f>
        <v>254.57007551972939</v>
      </c>
      <c r="AR3498">
        <f>1/(COUNT('Iter No Test'!$W$9:$W$5008)-1)+$AR$3497</f>
        <v>0.69913982796556984</v>
      </c>
    </row>
    <row r="3499" spans="22:44">
      <c r="V3499">
        <v>3491</v>
      </c>
      <c r="W3499">
        <v>330.97313531809516</v>
      </c>
      <c r="AQ3499">
        <f>SMALL('Iter No Test'!$W$9:$W$5008,3497)</f>
        <v>254.63693453734433</v>
      </c>
      <c r="AR3499">
        <f>1/(COUNT('Iter No Test'!$W$9:$W$5008)-1)+$AR$3498</f>
        <v>0.69933986797357139</v>
      </c>
    </row>
    <row r="3500" spans="22:44">
      <c r="V3500">
        <v>3492</v>
      </c>
      <c r="W3500">
        <v>277.92826749313542</v>
      </c>
      <c r="AQ3500">
        <f>SMALL('Iter No Test'!$W$9:$W$5008,3498)</f>
        <v>254.747194267731</v>
      </c>
      <c r="AR3500">
        <f>1/(COUNT('Iter No Test'!$W$9:$W$5008)-1)+$AR$3499</f>
        <v>0.69953990798157295</v>
      </c>
    </row>
    <row r="3501" spans="22:44">
      <c r="V3501">
        <v>3493</v>
      </c>
      <c r="W3501">
        <v>322.231394803787</v>
      </c>
      <c r="AQ3501">
        <f>SMALL('Iter No Test'!$W$9:$W$5008,3499)</f>
        <v>254.78721384495398</v>
      </c>
      <c r="AR3501">
        <f>1/(COUNT('Iter No Test'!$W$9:$W$5008)-1)+$AR$3500</f>
        <v>0.69973994798957451</v>
      </c>
    </row>
    <row r="3502" spans="22:44">
      <c r="V3502">
        <v>3494</v>
      </c>
      <c r="W3502">
        <v>332.68303890067239</v>
      </c>
      <c r="AQ3502">
        <f>SMALL('Iter No Test'!$W$9:$W$5008,3500)</f>
        <v>254.82135316486566</v>
      </c>
      <c r="AR3502">
        <f>1/(COUNT('Iter No Test'!$W$9:$W$5008)-1)+$AR$3501</f>
        <v>0.69993998799757606</v>
      </c>
    </row>
    <row r="3503" spans="22:44">
      <c r="V3503">
        <v>3495</v>
      </c>
      <c r="W3503">
        <v>45.938698927979502</v>
      </c>
      <c r="AQ3503">
        <f>SMALL('Iter No Test'!$W$9:$W$5008,3501)</f>
        <v>254.98778516860932</v>
      </c>
      <c r="AR3503">
        <f>1/(COUNT('Iter No Test'!$W$9:$W$5008)-1)+$AR$3502</f>
        <v>0.70014002800557762</v>
      </c>
    </row>
    <row r="3504" spans="22:44">
      <c r="V3504">
        <v>3496</v>
      </c>
      <c r="W3504">
        <v>264.02430451821465</v>
      </c>
      <c r="AQ3504">
        <f>SMALL('Iter No Test'!$W$9:$W$5008,3502)</f>
        <v>255.12661993499387</v>
      </c>
      <c r="AR3504">
        <f>1/(COUNT('Iter No Test'!$W$9:$W$5008)-1)+$AR$3503</f>
        <v>0.70034006801357918</v>
      </c>
    </row>
    <row r="3505" spans="22:44">
      <c r="V3505">
        <v>3497</v>
      </c>
      <c r="W3505">
        <v>395.19049830002507</v>
      </c>
      <c r="AQ3505">
        <f>SMALL('Iter No Test'!$W$9:$W$5008,3503)</f>
        <v>255.17474196338645</v>
      </c>
      <c r="AR3505">
        <f>1/(COUNT('Iter No Test'!$W$9:$W$5008)-1)+$AR$3504</f>
        <v>0.70054010802158073</v>
      </c>
    </row>
    <row r="3506" spans="22:44">
      <c r="V3506">
        <v>3498</v>
      </c>
      <c r="W3506">
        <v>373.40225527050336</v>
      </c>
      <c r="AQ3506">
        <f>SMALL('Iter No Test'!$W$9:$W$5008,3504)</f>
        <v>255.23629634971959</v>
      </c>
      <c r="AR3506">
        <f>1/(COUNT('Iter No Test'!$W$9:$W$5008)-1)+$AR$3505</f>
        <v>0.70074014802958229</v>
      </c>
    </row>
    <row r="3507" spans="22:44">
      <c r="V3507">
        <v>3499</v>
      </c>
      <c r="W3507">
        <v>118.8649411887952</v>
      </c>
      <c r="AQ3507">
        <f>SMALL('Iter No Test'!$W$9:$W$5008,3505)</f>
        <v>255.27148892343257</v>
      </c>
      <c r="AR3507">
        <f>1/(COUNT('Iter No Test'!$W$9:$W$5008)-1)+$AR$3506</f>
        <v>0.70094018803758384</v>
      </c>
    </row>
    <row r="3508" spans="22:44">
      <c r="V3508">
        <v>3500</v>
      </c>
      <c r="W3508">
        <v>366.82175358694968</v>
      </c>
      <c r="AQ3508">
        <f>SMALL('Iter No Test'!$W$9:$W$5008,3506)</f>
        <v>255.30532029078864</v>
      </c>
      <c r="AR3508">
        <f>1/(COUNT('Iter No Test'!$W$9:$W$5008)-1)+$AR$3507</f>
        <v>0.7011402280455854</v>
      </c>
    </row>
    <row r="3509" spans="22:44">
      <c r="V3509">
        <v>3501</v>
      </c>
      <c r="W3509">
        <v>317.91920291205253</v>
      </c>
      <c r="AQ3509">
        <f>SMALL('Iter No Test'!$W$9:$W$5008,3507)</f>
        <v>255.33999064415281</v>
      </c>
      <c r="AR3509">
        <f>1/(COUNT('Iter No Test'!$W$9:$W$5008)-1)+$AR$3508</f>
        <v>0.70134026805358696</v>
      </c>
    </row>
    <row r="3510" spans="22:44">
      <c r="V3510">
        <v>3502</v>
      </c>
      <c r="W3510">
        <v>163.08642332282642</v>
      </c>
      <c r="AQ3510">
        <f>SMALL('Iter No Test'!$W$9:$W$5008,3508)</f>
        <v>255.42192045198675</v>
      </c>
      <c r="AR3510">
        <f>1/(COUNT('Iter No Test'!$W$9:$W$5008)-1)+$AR$3509</f>
        <v>0.70154030806158851</v>
      </c>
    </row>
    <row r="3511" spans="22:44">
      <c r="V3511">
        <v>3503</v>
      </c>
      <c r="W3511">
        <v>126.79431769639118</v>
      </c>
      <c r="AQ3511">
        <f>SMALL('Iter No Test'!$W$9:$W$5008,3509)</f>
        <v>255.42347450873436</v>
      </c>
      <c r="AR3511">
        <f>1/(COUNT('Iter No Test'!$W$9:$W$5008)-1)+$AR$3510</f>
        <v>0.70174034806959007</v>
      </c>
    </row>
    <row r="3512" spans="22:44">
      <c r="V3512">
        <v>3504</v>
      </c>
      <c r="W3512">
        <v>247.3713296397072</v>
      </c>
      <c r="AQ3512">
        <f>SMALL('Iter No Test'!$W$9:$W$5008,3510)</f>
        <v>255.45730349037279</v>
      </c>
      <c r="AR3512">
        <f>1/(COUNT('Iter No Test'!$W$9:$W$5008)-1)+$AR$3511</f>
        <v>0.70194038807759163</v>
      </c>
    </row>
    <row r="3513" spans="22:44">
      <c r="V3513">
        <v>3505</v>
      </c>
      <c r="W3513">
        <v>260.07408797528547</v>
      </c>
      <c r="AQ3513">
        <f>SMALL('Iter No Test'!$W$9:$W$5008,3511)</f>
        <v>255.644264948022</v>
      </c>
      <c r="AR3513">
        <f>1/(COUNT('Iter No Test'!$W$9:$W$5008)-1)+$AR$3512</f>
        <v>0.70214042808559318</v>
      </c>
    </row>
    <row r="3514" spans="22:44">
      <c r="V3514">
        <v>3506</v>
      </c>
      <c r="W3514">
        <v>286.31330094574787</v>
      </c>
      <c r="AQ3514">
        <f>SMALL('Iter No Test'!$W$9:$W$5008,3512)</f>
        <v>255.71800643130436</v>
      </c>
      <c r="AR3514">
        <f>1/(COUNT('Iter No Test'!$W$9:$W$5008)-1)+$AR$3513</f>
        <v>0.70234046809359474</v>
      </c>
    </row>
    <row r="3515" spans="22:44">
      <c r="V3515">
        <v>3507</v>
      </c>
      <c r="W3515">
        <v>120.28493718406244</v>
      </c>
      <c r="AQ3515">
        <f>SMALL('Iter No Test'!$W$9:$W$5008,3513)</f>
        <v>255.73614929177387</v>
      </c>
      <c r="AR3515">
        <f>1/(COUNT('Iter No Test'!$W$9:$W$5008)-1)+$AR$3514</f>
        <v>0.70254050810159629</v>
      </c>
    </row>
    <row r="3516" spans="22:44">
      <c r="V3516">
        <v>3508</v>
      </c>
      <c r="W3516">
        <v>306.85666167367981</v>
      </c>
      <c r="AQ3516">
        <f>SMALL('Iter No Test'!$W$9:$W$5008,3514)</f>
        <v>255.80914825352158</v>
      </c>
      <c r="AR3516">
        <f>1/(COUNT('Iter No Test'!$W$9:$W$5008)-1)+$AR$3515</f>
        <v>0.70274054810959785</v>
      </c>
    </row>
    <row r="3517" spans="22:44">
      <c r="V3517">
        <v>3509</v>
      </c>
      <c r="W3517">
        <v>305.26128280182718</v>
      </c>
      <c r="AQ3517">
        <f>SMALL('Iter No Test'!$W$9:$W$5008,3515)</f>
        <v>255.85591217357234</v>
      </c>
      <c r="AR3517">
        <f>1/(COUNT('Iter No Test'!$W$9:$W$5008)-1)+$AR$3516</f>
        <v>0.70294058811759941</v>
      </c>
    </row>
    <row r="3518" spans="22:44">
      <c r="V3518">
        <v>3510</v>
      </c>
      <c r="W3518">
        <v>128.67141464208737</v>
      </c>
      <c r="AQ3518">
        <f>SMALL('Iter No Test'!$W$9:$W$5008,3516)</f>
        <v>255.86213466910783</v>
      </c>
      <c r="AR3518">
        <f>1/(COUNT('Iter No Test'!$W$9:$W$5008)-1)+$AR$3517</f>
        <v>0.70314062812560096</v>
      </c>
    </row>
    <row r="3519" spans="22:44">
      <c r="V3519">
        <v>3511</v>
      </c>
      <c r="W3519">
        <v>168.44284516157077</v>
      </c>
      <c r="AQ3519">
        <f>SMALL('Iter No Test'!$W$9:$W$5008,3517)</f>
        <v>255.86459799204928</v>
      </c>
      <c r="AR3519">
        <f>1/(COUNT('Iter No Test'!$W$9:$W$5008)-1)+$AR$3518</f>
        <v>0.70334066813360252</v>
      </c>
    </row>
    <row r="3520" spans="22:44">
      <c r="V3520">
        <v>3512</v>
      </c>
      <c r="W3520">
        <v>313.3876081942326</v>
      </c>
      <c r="AQ3520">
        <f>SMALL('Iter No Test'!$W$9:$W$5008,3518)</f>
        <v>255.86724349869951</v>
      </c>
      <c r="AR3520">
        <f>1/(COUNT('Iter No Test'!$W$9:$W$5008)-1)+$AR$3519</f>
        <v>0.70354070814160408</v>
      </c>
    </row>
    <row r="3521" spans="22:44">
      <c r="V3521">
        <v>3513</v>
      </c>
      <c r="W3521">
        <v>160.54970223723839</v>
      </c>
      <c r="AQ3521">
        <f>SMALL('Iter No Test'!$W$9:$W$5008,3519)</f>
        <v>255.92823296753144</v>
      </c>
      <c r="AR3521">
        <f>1/(COUNT('Iter No Test'!$W$9:$W$5008)-1)+$AR$3520</f>
        <v>0.70374074814960563</v>
      </c>
    </row>
    <row r="3522" spans="22:44">
      <c r="V3522">
        <v>3514</v>
      </c>
      <c r="W3522">
        <v>127.80197995331642</v>
      </c>
      <c r="AQ3522">
        <f>SMALL('Iter No Test'!$W$9:$W$5008,3520)</f>
        <v>255.98460200219239</v>
      </c>
      <c r="AR3522">
        <f>1/(COUNT('Iter No Test'!$W$9:$W$5008)-1)+$AR$3521</f>
        <v>0.70394078815760719</v>
      </c>
    </row>
    <row r="3523" spans="22:44">
      <c r="V3523">
        <v>3515</v>
      </c>
      <c r="W3523">
        <v>155.60126274549475</v>
      </c>
      <c r="AQ3523">
        <f>SMALL('Iter No Test'!$W$9:$W$5008,3521)</f>
        <v>256.00832188165532</v>
      </c>
      <c r="AR3523">
        <f>1/(COUNT('Iter No Test'!$W$9:$W$5008)-1)+$AR$3522</f>
        <v>0.70414082816560875</v>
      </c>
    </row>
    <row r="3524" spans="22:44">
      <c r="V3524">
        <v>3516</v>
      </c>
      <c r="W3524">
        <v>161.25931749452184</v>
      </c>
      <c r="AQ3524">
        <f>SMALL('Iter No Test'!$W$9:$W$5008,3522)</f>
        <v>256.0229286505176</v>
      </c>
      <c r="AR3524">
        <f>1/(COUNT('Iter No Test'!$W$9:$W$5008)-1)+$AR$3523</f>
        <v>0.7043408681736103</v>
      </c>
    </row>
    <row r="3525" spans="22:44">
      <c r="V3525">
        <v>3517</v>
      </c>
      <c r="W3525">
        <v>257.70460856450347</v>
      </c>
      <c r="AQ3525">
        <f>SMALL('Iter No Test'!$W$9:$W$5008,3523)</f>
        <v>256.06513601035897</v>
      </c>
      <c r="AR3525">
        <f>1/(COUNT('Iter No Test'!$W$9:$W$5008)-1)+$AR$3524</f>
        <v>0.70454090818161186</v>
      </c>
    </row>
    <row r="3526" spans="22:44">
      <c r="V3526">
        <v>3518</v>
      </c>
      <c r="W3526">
        <v>184.84585774722569</v>
      </c>
      <c r="AQ3526">
        <f>SMALL('Iter No Test'!$W$9:$W$5008,3524)</f>
        <v>256.09037696396246</v>
      </c>
      <c r="AR3526">
        <f>1/(COUNT('Iter No Test'!$W$9:$W$5008)-1)+$AR$3525</f>
        <v>0.70474094818961341</v>
      </c>
    </row>
    <row r="3527" spans="22:44">
      <c r="V3527">
        <v>3519</v>
      </c>
      <c r="W3527">
        <v>292.88685231669615</v>
      </c>
      <c r="AQ3527">
        <f>SMALL('Iter No Test'!$W$9:$W$5008,3525)</f>
        <v>256.17310311764908</v>
      </c>
      <c r="AR3527">
        <f>1/(COUNT('Iter No Test'!$W$9:$W$5008)-1)+$AR$3526</f>
        <v>0.70494098819761497</v>
      </c>
    </row>
    <row r="3528" spans="22:44">
      <c r="V3528">
        <v>3520</v>
      </c>
      <c r="W3528">
        <v>204.07181861166507</v>
      </c>
      <c r="AQ3528">
        <f>SMALL('Iter No Test'!$W$9:$W$5008,3526)</f>
        <v>256.22893893771982</v>
      </c>
      <c r="AR3528">
        <f>1/(COUNT('Iter No Test'!$W$9:$W$5008)-1)+$AR$3527</f>
        <v>0.70514102820561653</v>
      </c>
    </row>
    <row r="3529" spans="22:44">
      <c r="V3529">
        <v>3521</v>
      </c>
      <c r="W3529">
        <v>286.02423043594604</v>
      </c>
      <c r="AQ3529">
        <f>SMALL('Iter No Test'!$W$9:$W$5008,3527)</f>
        <v>256.23588844420533</v>
      </c>
      <c r="AR3529">
        <f>1/(COUNT('Iter No Test'!$W$9:$W$5008)-1)+$AR$3528</f>
        <v>0.70534106821361808</v>
      </c>
    </row>
    <row r="3530" spans="22:44">
      <c r="V3530">
        <v>3522</v>
      </c>
      <c r="W3530">
        <v>257.72837817086167</v>
      </c>
      <c r="AQ3530">
        <f>SMALL('Iter No Test'!$W$9:$W$5008,3528)</f>
        <v>256.35181711694895</v>
      </c>
      <c r="AR3530">
        <f>1/(COUNT('Iter No Test'!$W$9:$W$5008)-1)+$AR$3529</f>
        <v>0.70554110822161964</v>
      </c>
    </row>
    <row r="3531" spans="22:44">
      <c r="V3531">
        <v>3523</v>
      </c>
      <c r="W3531">
        <v>138.47297783314298</v>
      </c>
      <c r="AQ3531">
        <f>SMALL('Iter No Test'!$W$9:$W$5008,3529)</f>
        <v>256.4627063169512</v>
      </c>
      <c r="AR3531">
        <f>1/(COUNT('Iter No Test'!$W$9:$W$5008)-1)+$AR$3530</f>
        <v>0.7057411482296212</v>
      </c>
    </row>
    <row r="3532" spans="22:44">
      <c r="V3532">
        <v>3524</v>
      </c>
      <c r="W3532">
        <v>264.44419333211346</v>
      </c>
      <c r="AQ3532">
        <f>SMALL('Iter No Test'!$W$9:$W$5008,3530)</f>
        <v>256.4806789066069</v>
      </c>
      <c r="AR3532">
        <f>1/(COUNT('Iter No Test'!$W$9:$W$5008)-1)+$AR$3531</f>
        <v>0.70594118823762275</v>
      </c>
    </row>
    <row r="3533" spans="22:44">
      <c r="V3533">
        <v>3525</v>
      </c>
      <c r="W3533">
        <v>366.2853987635508</v>
      </c>
      <c r="AQ3533">
        <f>SMALL('Iter No Test'!$W$9:$W$5008,3531)</f>
        <v>256.50223010633295</v>
      </c>
      <c r="AR3533">
        <f>1/(COUNT('Iter No Test'!$W$9:$W$5008)-1)+$AR$3532</f>
        <v>0.70614122824562431</v>
      </c>
    </row>
    <row r="3534" spans="22:44">
      <c r="V3534">
        <v>3526</v>
      </c>
      <c r="W3534">
        <v>285.11388736914057</v>
      </c>
      <c r="AQ3534">
        <f>SMALL('Iter No Test'!$W$9:$W$5008,3532)</f>
        <v>256.63504484940978</v>
      </c>
      <c r="AR3534">
        <f>1/(COUNT('Iter No Test'!$W$9:$W$5008)-1)+$AR$3533</f>
        <v>0.70634126825362586</v>
      </c>
    </row>
    <row r="3535" spans="22:44">
      <c r="V3535">
        <v>3527</v>
      </c>
      <c r="W3535">
        <v>140.36686248213871</v>
      </c>
      <c r="AQ3535">
        <f>SMALL('Iter No Test'!$W$9:$W$5008,3533)</f>
        <v>256.78151996966108</v>
      </c>
      <c r="AR3535">
        <f>1/(COUNT('Iter No Test'!$W$9:$W$5008)-1)+$AR$3534</f>
        <v>0.70654130826162742</v>
      </c>
    </row>
    <row r="3536" spans="22:44">
      <c r="V3536">
        <v>3528</v>
      </c>
      <c r="W3536">
        <v>307.95750802050969</v>
      </c>
      <c r="AQ3536">
        <f>SMALL('Iter No Test'!$W$9:$W$5008,3534)</f>
        <v>257.00705067748208</v>
      </c>
      <c r="AR3536">
        <f>1/(COUNT('Iter No Test'!$W$9:$W$5008)-1)+$AR$3535</f>
        <v>0.70674134826962898</v>
      </c>
    </row>
    <row r="3537" spans="22:44">
      <c r="V3537">
        <v>3529</v>
      </c>
      <c r="W3537">
        <v>102.70889949245635</v>
      </c>
      <c r="AQ3537">
        <f>SMALL('Iter No Test'!$W$9:$W$5008,3535)</f>
        <v>257.0461849444747</v>
      </c>
      <c r="AR3537">
        <f>1/(COUNT('Iter No Test'!$W$9:$W$5008)-1)+$AR$3536</f>
        <v>0.70694138827763053</v>
      </c>
    </row>
    <row r="3538" spans="22:44">
      <c r="V3538">
        <v>3530</v>
      </c>
      <c r="W3538">
        <v>296.25798522424429</v>
      </c>
      <c r="AQ3538">
        <f>SMALL('Iter No Test'!$W$9:$W$5008,3536)</f>
        <v>257.14474051065179</v>
      </c>
      <c r="AR3538">
        <f>1/(COUNT('Iter No Test'!$W$9:$W$5008)-1)+$AR$3537</f>
        <v>0.70714142828563209</v>
      </c>
    </row>
    <row r="3539" spans="22:44">
      <c r="V3539">
        <v>3531</v>
      </c>
      <c r="W3539">
        <v>80.912243997548188</v>
      </c>
      <c r="AQ3539">
        <f>SMALL('Iter No Test'!$W$9:$W$5008,3537)</f>
        <v>257.17459485073596</v>
      </c>
      <c r="AR3539">
        <f>1/(COUNT('Iter No Test'!$W$9:$W$5008)-1)+$AR$3538</f>
        <v>0.70734146829363365</v>
      </c>
    </row>
    <row r="3540" spans="22:44">
      <c r="V3540">
        <v>3532</v>
      </c>
      <c r="W3540">
        <v>361.04975998387272</v>
      </c>
      <c r="AQ3540">
        <f>SMALL('Iter No Test'!$W$9:$W$5008,3538)</f>
        <v>257.22960182780537</v>
      </c>
      <c r="AR3540">
        <f>1/(COUNT('Iter No Test'!$W$9:$W$5008)-1)+$AR$3539</f>
        <v>0.7075415083016352</v>
      </c>
    </row>
    <row r="3541" spans="22:44">
      <c r="V3541">
        <v>3533</v>
      </c>
      <c r="W3541">
        <v>312.97321185741191</v>
      </c>
      <c r="AQ3541">
        <f>SMALL('Iter No Test'!$W$9:$W$5008,3539)</f>
        <v>257.23738742595617</v>
      </c>
      <c r="AR3541">
        <f>1/(COUNT('Iter No Test'!$W$9:$W$5008)-1)+$AR$3540</f>
        <v>0.70774154830963676</v>
      </c>
    </row>
    <row r="3542" spans="22:44">
      <c r="V3542">
        <v>3534</v>
      </c>
      <c r="W3542">
        <v>244.57984113962445</v>
      </c>
      <c r="AQ3542">
        <f>SMALL('Iter No Test'!$W$9:$W$5008,3540)</f>
        <v>257.26918520671381</v>
      </c>
      <c r="AR3542">
        <f>1/(COUNT('Iter No Test'!$W$9:$W$5008)-1)+$AR$3541</f>
        <v>0.70794158831763832</v>
      </c>
    </row>
    <row r="3543" spans="22:44">
      <c r="V3543">
        <v>3535</v>
      </c>
      <c r="W3543">
        <v>275.69486220870738</v>
      </c>
      <c r="AQ3543">
        <f>SMALL('Iter No Test'!$W$9:$W$5008,3541)</f>
        <v>257.27212596270101</v>
      </c>
      <c r="AR3543">
        <f>1/(COUNT('Iter No Test'!$W$9:$W$5008)-1)+$AR$3542</f>
        <v>0.70814162832563987</v>
      </c>
    </row>
    <row r="3544" spans="22:44">
      <c r="V3544">
        <v>3536</v>
      </c>
      <c r="W3544">
        <v>129.26008203591547</v>
      </c>
      <c r="AQ3544">
        <f>SMALL('Iter No Test'!$W$9:$W$5008,3542)</f>
        <v>257.3007060288154</v>
      </c>
      <c r="AR3544">
        <f>1/(COUNT('Iter No Test'!$W$9:$W$5008)-1)+$AR$3543</f>
        <v>0.70834166833364143</v>
      </c>
    </row>
    <row r="3545" spans="22:44">
      <c r="V3545">
        <v>3537</v>
      </c>
      <c r="W3545">
        <v>223.40836209911387</v>
      </c>
      <c r="AQ3545">
        <f>SMALL('Iter No Test'!$W$9:$W$5008,3543)</f>
        <v>257.36185667863685</v>
      </c>
      <c r="AR3545">
        <f>1/(COUNT('Iter No Test'!$W$9:$W$5008)-1)+$AR$3544</f>
        <v>0.70854170834164298</v>
      </c>
    </row>
    <row r="3546" spans="22:44">
      <c r="V3546">
        <v>3538</v>
      </c>
      <c r="W3546">
        <v>223.46463362268759</v>
      </c>
      <c r="AQ3546">
        <f>SMALL('Iter No Test'!$W$9:$W$5008,3544)</f>
        <v>257.397297074324</v>
      </c>
      <c r="AR3546">
        <f>1/(COUNT('Iter No Test'!$W$9:$W$5008)-1)+$AR$3545</f>
        <v>0.70874174834964454</v>
      </c>
    </row>
    <row r="3547" spans="22:44">
      <c r="V3547">
        <v>3539</v>
      </c>
      <c r="W3547">
        <v>297.27827057303716</v>
      </c>
      <c r="AQ3547">
        <f>SMALL('Iter No Test'!$W$9:$W$5008,3545)</f>
        <v>257.52288633839106</v>
      </c>
      <c r="AR3547">
        <f>1/(COUNT('Iter No Test'!$W$9:$W$5008)-1)+$AR$3546</f>
        <v>0.7089417883576461</v>
      </c>
    </row>
    <row r="3548" spans="22:44">
      <c r="V3548">
        <v>3540</v>
      </c>
      <c r="W3548">
        <v>189.38328259022154</v>
      </c>
      <c r="AQ3548">
        <f>SMALL('Iter No Test'!$W$9:$W$5008,3546)</f>
        <v>257.54176641067289</v>
      </c>
      <c r="AR3548">
        <f>1/(COUNT('Iter No Test'!$W$9:$W$5008)-1)+$AR$3547</f>
        <v>0.70914182836564765</v>
      </c>
    </row>
    <row r="3549" spans="22:44">
      <c r="V3549">
        <v>3541</v>
      </c>
      <c r="W3549">
        <v>122.68843006974214</v>
      </c>
      <c r="AQ3549">
        <f>SMALL('Iter No Test'!$W$9:$W$5008,3547)</f>
        <v>257.5421667391297</v>
      </c>
      <c r="AR3549">
        <f>1/(COUNT('Iter No Test'!$W$9:$W$5008)-1)+$AR$3548</f>
        <v>0.70934186837364921</v>
      </c>
    </row>
    <row r="3550" spans="22:44">
      <c r="V3550">
        <v>3542</v>
      </c>
      <c r="W3550">
        <v>225.33189738777531</v>
      </c>
      <c r="AQ3550">
        <f>SMALL('Iter No Test'!$W$9:$W$5008,3548)</f>
        <v>257.61048669745696</v>
      </c>
      <c r="AR3550">
        <f>1/(COUNT('Iter No Test'!$W$9:$W$5008)-1)+$AR$3549</f>
        <v>0.70954190838165077</v>
      </c>
    </row>
    <row r="3551" spans="22:44">
      <c r="V3551">
        <v>3543</v>
      </c>
      <c r="W3551">
        <v>222.11595460897786</v>
      </c>
      <c r="AQ3551">
        <f>SMALL('Iter No Test'!$W$9:$W$5008,3549)</f>
        <v>257.61609216961193</v>
      </c>
      <c r="AR3551">
        <f>1/(COUNT('Iter No Test'!$W$9:$W$5008)-1)+$AR$3550</f>
        <v>0.70974194838965232</v>
      </c>
    </row>
    <row r="3552" spans="22:44">
      <c r="V3552">
        <v>3544</v>
      </c>
      <c r="W3552">
        <v>187.26511736894798</v>
      </c>
      <c r="AQ3552">
        <f>SMALL('Iter No Test'!$W$9:$W$5008,3550)</f>
        <v>257.66821810241231</v>
      </c>
      <c r="AR3552">
        <f>1/(COUNT('Iter No Test'!$W$9:$W$5008)-1)+$AR$3551</f>
        <v>0.70994198839765388</v>
      </c>
    </row>
    <row r="3553" spans="22:44">
      <c r="V3553">
        <v>3545</v>
      </c>
      <c r="W3553">
        <v>312.64891310847935</v>
      </c>
      <c r="AQ3553">
        <f>SMALL('Iter No Test'!$W$9:$W$5008,3551)</f>
        <v>257.70460856450347</v>
      </c>
      <c r="AR3553">
        <f>1/(COUNT('Iter No Test'!$W$9:$W$5008)-1)+$AR$3552</f>
        <v>0.71014202840565543</v>
      </c>
    </row>
    <row r="3554" spans="22:44">
      <c r="V3554">
        <v>3546</v>
      </c>
      <c r="W3554">
        <v>315.12112592652659</v>
      </c>
      <c r="AQ3554">
        <f>SMALL('Iter No Test'!$W$9:$W$5008,3552)</f>
        <v>257.71875200987864</v>
      </c>
      <c r="AR3554">
        <f>1/(COUNT('Iter No Test'!$W$9:$W$5008)-1)+$AR$3553</f>
        <v>0.71034206841365699</v>
      </c>
    </row>
    <row r="3555" spans="22:44">
      <c r="V3555">
        <v>3547</v>
      </c>
      <c r="W3555">
        <v>51.178676789683465</v>
      </c>
      <c r="AQ3555">
        <f>SMALL('Iter No Test'!$W$9:$W$5008,3553)</f>
        <v>257.72837817086167</v>
      </c>
      <c r="AR3555">
        <f>1/(COUNT('Iter No Test'!$W$9:$W$5008)-1)+$AR$3554</f>
        <v>0.71054210842165855</v>
      </c>
    </row>
    <row r="3556" spans="22:44">
      <c r="V3556">
        <v>3548</v>
      </c>
      <c r="W3556">
        <v>195.76424141227636</v>
      </c>
      <c r="AQ3556">
        <f>SMALL('Iter No Test'!$W$9:$W$5008,3554)</f>
        <v>257.73125079426768</v>
      </c>
      <c r="AR3556">
        <f>1/(COUNT('Iter No Test'!$W$9:$W$5008)-1)+$AR$3555</f>
        <v>0.7107421484296601</v>
      </c>
    </row>
    <row r="3557" spans="22:44">
      <c r="V3557">
        <v>3549</v>
      </c>
      <c r="W3557">
        <v>212.90382588521038</v>
      </c>
      <c r="AQ3557">
        <f>SMALL('Iter No Test'!$W$9:$W$5008,3555)</f>
        <v>257.73502559665309</v>
      </c>
      <c r="AR3557">
        <f>1/(COUNT('Iter No Test'!$W$9:$W$5008)-1)+$AR$3556</f>
        <v>0.71094218843766166</v>
      </c>
    </row>
    <row r="3558" spans="22:44">
      <c r="V3558">
        <v>3550</v>
      </c>
      <c r="W3558">
        <v>199.13837869391236</v>
      </c>
      <c r="AQ3558">
        <f>SMALL('Iter No Test'!$W$9:$W$5008,3556)</f>
        <v>257.77715495889595</v>
      </c>
      <c r="AR3558">
        <f>1/(COUNT('Iter No Test'!$W$9:$W$5008)-1)+$AR$3557</f>
        <v>0.71114222844566322</v>
      </c>
    </row>
    <row r="3559" spans="22:44">
      <c r="V3559">
        <v>3551</v>
      </c>
      <c r="W3559">
        <v>134.6013122409644</v>
      </c>
      <c r="AQ3559">
        <f>SMALL('Iter No Test'!$W$9:$W$5008,3557)</f>
        <v>257.79007209976965</v>
      </c>
      <c r="AR3559">
        <f>1/(COUNT('Iter No Test'!$W$9:$W$5008)-1)+$AR$3558</f>
        <v>0.71134226845366477</v>
      </c>
    </row>
    <row r="3560" spans="22:44">
      <c r="V3560">
        <v>3552</v>
      </c>
      <c r="W3560">
        <v>307.69183087505655</v>
      </c>
      <c r="AQ3560">
        <f>SMALL('Iter No Test'!$W$9:$W$5008,3558)</f>
        <v>257.84961769462075</v>
      </c>
      <c r="AR3560">
        <f>1/(COUNT('Iter No Test'!$W$9:$W$5008)-1)+$AR$3559</f>
        <v>0.71154230846166633</v>
      </c>
    </row>
    <row r="3561" spans="22:44">
      <c r="V3561">
        <v>3553</v>
      </c>
      <c r="W3561">
        <v>127.70375310797905</v>
      </c>
      <c r="AQ3561">
        <f>SMALL('Iter No Test'!$W$9:$W$5008,3559)</f>
        <v>257.86961820783972</v>
      </c>
      <c r="AR3561">
        <f>1/(COUNT('Iter No Test'!$W$9:$W$5008)-1)+$AR$3560</f>
        <v>0.71174234846966788</v>
      </c>
    </row>
    <row r="3562" spans="22:44">
      <c r="V3562">
        <v>3554</v>
      </c>
      <c r="W3562">
        <v>192.25273263408573</v>
      </c>
      <c r="AQ3562">
        <f>SMALL('Iter No Test'!$W$9:$W$5008,3560)</f>
        <v>257.90901064491703</v>
      </c>
      <c r="AR3562">
        <f>1/(COUNT('Iter No Test'!$W$9:$W$5008)-1)+$AR$3561</f>
        <v>0.71194238847766944</v>
      </c>
    </row>
    <row r="3563" spans="22:44">
      <c r="V3563">
        <v>3555</v>
      </c>
      <c r="W3563">
        <v>243.16990381070946</v>
      </c>
      <c r="AQ3563">
        <f>SMALL('Iter No Test'!$W$9:$W$5008,3561)</f>
        <v>257.91436436569381</v>
      </c>
      <c r="AR3563">
        <f>1/(COUNT('Iter No Test'!$W$9:$W$5008)-1)+$AR$3562</f>
        <v>0.712142428485671</v>
      </c>
    </row>
    <row r="3564" spans="22:44">
      <c r="V3564">
        <v>3556</v>
      </c>
      <c r="W3564">
        <v>234.38938739813048</v>
      </c>
      <c r="AQ3564">
        <f>SMALL('Iter No Test'!$W$9:$W$5008,3562)</f>
        <v>257.94844315917834</v>
      </c>
      <c r="AR3564">
        <f>1/(COUNT('Iter No Test'!$W$9:$W$5008)-1)+$AR$3563</f>
        <v>0.71234246849367255</v>
      </c>
    </row>
    <row r="3565" spans="22:44">
      <c r="V3565">
        <v>3557</v>
      </c>
      <c r="W3565">
        <v>203.40237197698295</v>
      </c>
      <c r="AQ3565">
        <f>SMALL('Iter No Test'!$W$9:$W$5008,3563)</f>
        <v>258.0036398327801</v>
      </c>
      <c r="AR3565">
        <f>1/(COUNT('Iter No Test'!$W$9:$W$5008)-1)+$AR$3564</f>
        <v>0.71254250850167411</v>
      </c>
    </row>
    <row r="3566" spans="22:44">
      <c r="V3566">
        <v>3558</v>
      </c>
      <c r="W3566">
        <v>314.18519258717697</v>
      </c>
      <c r="AQ3566">
        <f>SMALL('Iter No Test'!$W$9:$W$5008,3564)</f>
        <v>258.02034896271311</v>
      </c>
      <c r="AR3566">
        <f>1/(COUNT('Iter No Test'!$W$9:$W$5008)-1)+$AR$3565</f>
        <v>0.71274254850967567</v>
      </c>
    </row>
    <row r="3567" spans="22:44">
      <c r="V3567">
        <v>3559</v>
      </c>
      <c r="W3567">
        <v>426.1906009034027</v>
      </c>
      <c r="AQ3567">
        <f>SMALL('Iter No Test'!$W$9:$W$5008,3565)</f>
        <v>258.05098825923324</v>
      </c>
      <c r="AR3567">
        <f>1/(COUNT('Iter No Test'!$W$9:$W$5008)-1)+$AR$3566</f>
        <v>0.71294258851767722</v>
      </c>
    </row>
    <row r="3568" spans="22:44">
      <c r="V3568">
        <v>3560</v>
      </c>
      <c r="W3568">
        <v>288.02747353178387</v>
      </c>
      <c r="AQ3568">
        <f>SMALL('Iter No Test'!$W$9:$W$5008,3566)</f>
        <v>258.08920307597646</v>
      </c>
      <c r="AR3568">
        <f>1/(COUNT('Iter No Test'!$W$9:$W$5008)-1)+$AR$3567</f>
        <v>0.71314262852567878</v>
      </c>
    </row>
    <row r="3569" spans="22:44">
      <c r="V3569">
        <v>3561</v>
      </c>
      <c r="W3569">
        <v>144.8779980580897</v>
      </c>
      <c r="AQ3569">
        <f>SMALL('Iter No Test'!$W$9:$W$5008,3567)</f>
        <v>258.15478289890098</v>
      </c>
      <c r="AR3569">
        <f>1/(COUNT('Iter No Test'!$W$9:$W$5008)-1)+$AR$3568</f>
        <v>0.71334266853368034</v>
      </c>
    </row>
    <row r="3570" spans="22:44">
      <c r="V3570">
        <v>3562</v>
      </c>
      <c r="W3570">
        <v>223.47799658424506</v>
      </c>
      <c r="AQ3570">
        <f>SMALL('Iter No Test'!$W$9:$W$5008,3568)</f>
        <v>258.18409917326107</v>
      </c>
      <c r="AR3570">
        <f>1/(COUNT('Iter No Test'!$W$9:$W$5008)-1)+$AR$3569</f>
        <v>0.71354270854168189</v>
      </c>
    </row>
    <row r="3571" spans="22:44">
      <c r="V3571">
        <v>3563</v>
      </c>
      <c r="W3571">
        <v>325.94560466975338</v>
      </c>
      <c r="AQ3571">
        <f>SMALL('Iter No Test'!$W$9:$W$5008,3569)</f>
        <v>258.19940677256079</v>
      </c>
      <c r="AR3571">
        <f>1/(COUNT('Iter No Test'!$W$9:$W$5008)-1)+$AR$3570</f>
        <v>0.71374274854968345</v>
      </c>
    </row>
    <row r="3572" spans="22:44">
      <c r="V3572">
        <v>3564</v>
      </c>
      <c r="W3572">
        <v>361.02258040777332</v>
      </c>
      <c r="AQ3572">
        <f>SMALL('Iter No Test'!$W$9:$W$5008,3570)</f>
        <v>258.21587301037488</v>
      </c>
      <c r="AR3572">
        <f>1/(COUNT('Iter No Test'!$W$9:$W$5008)-1)+$AR$3571</f>
        <v>0.713942788557685</v>
      </c>
    </row>
    <row r="3573" spans="22:44">
      <c r="V3573">
        <v>3565</v>
      </c>
      <c r="W3573">
        <v>125.35678964435928</v>
      </c>
      <c r="AQ3573">
        <f>SMALL('Iter No Test'!$W$9:$W$5008,3571)</f>
        <v>258.22639969913882</v>
      </c>
      <c r="AR3573">
        <f>1/(COUNT('Iter No Test'!$W$9:$W$5008)-1)+$AR$3572</f>
        <v>0.71414282856568656</v>
      </c>
    </row>
    <row r="3574" spans="22:44">
      <c r="V3574">
        <v>3566</v>
      </c>
      <c r="W3574">
        <v>313.61633144895563</v>
      </c>
      <c r="AQ3574">
        <f>SMALL('Iter No Test'!$W$9:$W$5008,3572)</f>
        <v>258.45639703615717</v>
      </c>
      <c r="AR3574">
        <f>1/(COUNT('Iter No Test'!$W$9:$W$5008)-1)+$AR$3573</f>
        <v>0.71434286857368812</v>
      </c>
    </row>
    <row r="3575" spans="22:44">
      <c r="V3575">
        <v>3567</v>
      </c>
      <c r="W3575">
        <v>70.633956136570148</v>
      </c>
      <c r="AQ3575">
        <f>SMALL('Iter No Test'!$W$9:$W$5008,3573)</f>
        <v>258.57136026312219</v>
      </c>
      <c r="AR3575">
        <f>1/(COUNT('Iter No Test'!$W$9:$W$5008)-1)+$AR$3574</f>
        <v>0.71454290858168967</v>
      </c>
    </row>
    <row r="3576" spans="22:44">
      <c r="V3576">
        <v>3568</v>
      </c>
      <c r="W3576">
        <v>203.56618476675033</v>
      </c>
      <c r="AQ3576">
        <f>SMALL('Iter No Test'!$W$9:$W$5008,3574)</f>
        <v>258.64764760886118</v>
      </c>
      <c r="AR3576">
        <f>1/(COUNT('Iter No Test'!$W$9:$W$5008)-1)+$AR$3575</f>
        <v>0.71474294858969123</v>
      </c>
    </row>
    <row r="3577" spans="22:44">
      <c r="V3577">
        <v>3569</v>
      </c>
      <c r="W3577">
        <v>194.93859838977201</v>
      </c>
      <c r="AQ3577">
        <f>SMALL('Iter No Test'!$W$9:$W$5008,3575)</f>
        <v>258.69812054724787</v>
      </c>
      <c r="AR3577">
        <f>1/(COUNT('Iter No Test'!$W$9:$W$5008)-1)+$AR$3576</f>
        <v>0.71494298859769279</v>
      </c>
    </row>
    <row r="3578" spans="22:44">
      <c r="V3578">
        <v>3570</v>
      </c>
      <c r="W3578">
        <v>228.81235555739752</v>
      </c>
      <c r="AQ3578">
        <f>SMALL('Iter No Test'!$W$9:$W$5008,3576)</f>
        <v>258.71651946922395</v>
      </c>
      <c r="AR3578">
        <f>1/(COUNT('Iter No Test'!$W$9:$W$5008)-1)+$AR$3577</f>
        <v>0.71514302860569434</v>
      </c>
    </row>
    <row r="3579" spans="22:44">
      <c r="V3579">
        <v>3571</v>
      </c>
      <c r="W3579">
        <v>229.18023785837585</v>
      </c>
      <c r="AQ3579">
        <f>SMALL('Iter No Test'!$W$9:$W$5008,3577)</f>
        <v>258.72961087515512</v>
      </c>
      <c r="AR3579">
        <f>1/(COUNT('Iter No Test'!$W$9:$W$5008)-1)+$AR$3578</f>
        <v>0.7153430686136959</v>
      </c>
    </row>
    <row r="3580" spans="22:44">
      <c r="V3580">
        <v>3572</v>
      </c>
      <c r="W3580">
        <v>184.80372740551144</v>
      </c>
      <c r="AQ3580">
        <f>SMALL('Iter No Test'!$W$9:$W$5008,3578)</f>
        <v>258.80719115975273</v>
      </c>
      <c r="AR3580">
        <f>1/(COUNT('Iter No Test'!$W$9:$W$5008)-1)+$AR$3579</f>
        <v>0.71554310862169745</v>
      </c>
    </row>
    <row r="3581" spans="22:44">
      <c r="V3581">
        <v>3573</v>
      </c>
      <c r="W3581">
        <v>253.17397685387922</v>
      </c>
      <c r="AQ3581">
        <f>SMALL('Iter No Test'!$W$9:$W$5008,3579)</f>
        <v>258.92392022011347</v>
      </c>
      <c r="AR3581">
        <f>1/(COUNT('Iter No Test'!$W$9:$W$5008)-1)+$AR$3580</f>
        <v>0.71574314862969901</v>
      </c>
    </row>
    <row r="3582" spans="22:44">
      <c r="V3582">
        <v>3574</v>
      </c>
      <c r="W3582">
        <v>232.15991471988826</v>
      </c>
      <c r="AQ3582">
        <f>SMALL('Iter No Test'!$W$9:$W$5008,3580)</f>
        <v>258.98708227954126</v>
      </c>
      <c r="AR3582">
        <f>1/(COUNT('Iter No Test'!$W$9:$W$5008)-1)+$AR$3581</f>
        <v>0.71594318863770057</v>
      </c>
    </row>
    <row r="3583" spans="22:44">
      <c r="V3583">
        <v>3575</v>
      </c>
      <c r="W3583">
        <v>126.47431911818691</v>
      </c>
      <c r="AQ3583">
        <f>SMALL('Iter No Test'!$W$9:$W$5008,3581)</f>
        <v>259.02664392688058</v>
      </c>
      <c r="AR3583">
        <f>1/(COUNT('Iter No Test'!$W$9:$W$5008)-1)+$AR$3582</f>
        <v>0.71614322864570212</v>
      </c>
    </row>
    <row r="3584" spans="22:44">
      <c r="V3584">
        <v>3576</v>
      </c>
      <c r="W3584">
        <v>272.59960048610378</v>
      </c>
      <c r="AQ3584">
        <f>SMALL('Iter No Test'!$W$9:$W$5008,3582)</f>
        <v>259.02802893932113</v>
      </c>
      <c r="AR3584">
        <f>1/(COUNT('Iter No Test'!$W$9:$W$5008)-1)+$AR$3583</f>
        <v>0.71634326865370368</v>
      </c>
    </row>
    <row r="3585" spans="22:44">
      <c r="V3585">
        <v>3577</v>
      </c>
      <c r="W3585">
        <v>142.89090544855816</v>
      </c>
      <c r="AQ3585">
        <f>SMALL('Iter No Test'!$W$9:$W$5008,3583)</f>
        <v>259.03896605125124</v>
      </c>
      <c r="AR3585">
        <f>1/(COUNT('Iter No Test'!$W$9:$W$5008)-1)+$AR$3584</f>
        <v>0.71654330866170524</v>
      </c>
    </row>
    <row r="3586" spans="22:44">
      <c r="V3586">
        <v>3578</v>
      </c>
      <c r="W3586">
        <v>239.98604588471392</v>
      </c>
      <c r="AQ3586">
        <f>SMALL('Iter No Test'!$W$9:$W$5008,3584)</f>
        <v>259.18830144589595</v>
      </c>
      <c r="AR3586">
        <f>1/(COUNT('Iter No Test'!$W$9:$W$5008)-1)+$AR$3585</f>
        <v>0.71674334866970679</v>
      </c>
    </row>
    <row r="3587" spans="22:44">
      <c r="V3587">
        <v>3579</v>
      </c>
      <c r="W3587">
        <v>248.29706208026903</v>
      </c>
      <c r="AQ3587">
        <f>SMALL('Iter No Test'!$W$9:$W$5008,3585)</f>
        <v>259.23258849682799</v>
      </c>
      <c r="AR3587">
        <f>1/(COUNT('Iter No Test'!$W$9:$W$5008)-1)+$AR$3586</f>
        <v>0.71694338867770835</v>
      </c>
    </row>
    <row r="3588" spans="22:44">
      <c r="V3588">
        <v>3580</v>
      </c>
      <c r="W3588">
        <v>265.61185796102507</v>
      </c>
      <c r="AQ3588">
        <f>SMALL('Iter No Test'!$W$9:$W$5008,3586)</f>
        <v>259.49525645075789</v>
      </c>
      <c r="AR3588">
        <f>1/(COUNT('Iter No Test'!$W$9:$W$5008)-1)+$AR$3587</f>
        <v>0.7171434286857099</v>
      </c>
    </row>
    <row r="3589" spans="22:44">
      <c r="V3589">
        <v>3581</v>
      </c>
      <c r="W3589">
        <v>137.21781838541941</v>
      </c>
      <c r="AQ3589">
        <f>SMALL('Iter No Test'!$W$9:$W$5008,3587)</f>
        <v>259.49861995962124</v>
      </c>
      <c r="AR3589">
        <f>1/(COUNT('Iter No Test'!$W$9:$W$5008)-1)+$AR$3588</f>
        <v>0.71734346869371146</v>
      </c>
    </row>
    <row r="3590" spans="22:44">
      <c r="V3590">
        <v>3582</v>
      </c>
      <c r="W3590">
        <v>247.29056789835755</v>
      </c>
      <c r="AQ3590">
        <f>SMALL('Iter No Test'!$W$9:$W$5008,3588)</f>
        <v>259.50317866136129</v>
      </c>
      <c r="AR3590">
        <f>1/(COUNT('Iter No Test'!$W$9:$W$5008)-1)+$AR$3589</f>
        <v>0.71754350870171302</v>
      </c>
    </row>
    <row r="3591" spans="22:44">
      <c r="V3591">
        <v>3583</v>
      </c>
      <c r="W3591">
        <v>325.18702431573467</v>
      </c>
      <c r="AQ3591">
        <f>SMALL('Iter No Test'!$W$9:$W$5008,3589)</f>
        <v>259.50512093458178</v>
      </c>
      <c r="AR3591">
        <f>1/(COUNT('Iter No Test'!$W$9:$W$5008)-1)+$AR$3590</f>
        <v>0.71774354870971457</v>
      </c>
    </row>
    <row r="3592" spans="22:44">
      <c r="V3592">
        <v>3584</v>
      </c>
      <c r="W3592">
        <v>295.74032676164137</v>
      </c>
      <c r="AQ3592">
        <f>SMALL('Iter No Test'!$W$9:$W$5008,3590)</f>
        <v>259.54429534525252</v>
      </c>
      <c r="AR3592">
        <f>1/(COUNT('Iter No Test'!$W$9:$W$5008)-1)+$AR$3591</f>
        <v>0.71794358871771613</v>
      </c>
    </row>
    <row r="3593" spans="22:44">
      <c r="V3593">
        <v>3585</v>
      </c>
      <c r="W3593">
        <v>131.09392031905927</v>
      </c>
      <c r="AQ3593">
        <f>SMALL('Iter No Test'!$W$9:$W$5008,3591)</f>
        <v>259.54559899380729</v>
      </c>
      <c r="AR3593">
        <f>1/(COUNT('Iter No Test'!$W$9:$W$5008)-1)+$AR$3592</f>
        <v>0.71814362872571769</v>
      </c>
    </row>
    <row r="3594" spans="22:44">
      <c r="V3594">
        <v>3586</v>
      </c>
      <c r="W3594">
        <v>112.92909237764815</v>
      </c>
      <c r="AQ3594">
        <f>SMALL('Iter No Test'!$W$9:$W$5008,3592)</f>
        <v>259.55107988871055</v>
      </c>
      <c r="AR3594">
        <f>1/(COUNT('Iter No Test'!$W$9:$W$5008)-1)+$AR$3593</f>
        <v>0.71834366873371924</v>
      </c>
    </row>
    <row r="3595" spans="22:44">
      <c r="V3595">
        <v>3587</v>
      </c>
      <c r="W3595">
        <v>164.43862363313087</v>
      </c>
      <c r="AQ3595">
        <f>SMALL('Iter No Test'!$W$9:$W$5008,3593)</f>
        <v>259.55300020359402</v>
      </c>
      <c r="AR3595">
        <f>1/(COUNT('Iter No Test'!$W$9:$W$5008)-1)+$AR$3594</f>
        <v>0.7185437087417208</v>
      </c>
    </row>
    <row r="3596" spans="22:44">
      <c r="V3596">
        <v>3588</v>
      </c>
      <c r="W3596">
        <v>249.25159403821459</v>
      </c>
      <c r="AQ3596">
        <f>SMALL('Iter No Test'!$W$9:$W$5008,3594)</f>
        <v>259.71731726757019</v>
      </c>
      <c r="AR3596">
        <f>1/(COUNT('Iter No Test'!$W$9:$W$5008)-1)+$AR$3595</f>
        <v>0.71874374874972236</v>
      </c>
    </row>
    <row r="3597" spans="22:44">
      <c r="V3597">
        <v>3589</v>
      </c>
      <c r="W3597">
        <v>213.49546317217673</v>
      </c>
      <c r="AQ3597">
        <f>SMALL('Iter No Test'!$W$9:$W$5008,3595)</f>
        <v>259.82753539471435</v>
      </c>
      <c r="AR3597">
        <f>1/(COUNT('Iter No Test'!$W$9:$W$5008)-1)+$AR$3596</f>
        <v>0.71894378875772391</v>
      </c>
    </row>
    <row r="3598" spans="22:44">
      <c r="V3598">
        <v>3590</v>
      </c>
      <c r="W3598">
        <v>211.0346082444359</v>
      </c>
      <c r="AQ3598">
        <f>SMALL('Iter No Test'!$W$9:$W$5008,3596)</f>
        <v>259.94214425275868</v>
      </c>
      <c r="AR3598">
        <f>1/(COUNT('Iter No Test'!$W$9:$W$5008)-1)+$AR$3597</f>
        <v>0.71914382876572547</v>
      </c>
    </row>
    <row r="3599" spans="22:44">
      <c r="V3599">
        <v>3591</v>
      </c>
      <c r="W3599">
        <v>178.29034060212464</v>
      </c>
      <c r="AQ3599">
        <f>SMALL('Iter No Test'!$W$9:$W$5008,3597)</f>
        <v>260.07408797528547</v>
      </c>
      <c r="AR3599">
        <f>1/(COUNT('Iter No Test'!$W$9:$W$5008)-1)+$AR$3598</f>
        <v>0.71934386877372702</v>
      </c>
    </row>
    <row r="3600" spans="22:44">
      <c r="V3600">
        <v>3592</v>
      </c>
      <c r="W3600">
        <v>163.95521680504038</v>
      </c>
      <c r="AQ3600">
        <f>SMALL('Iter No Test'!$W$9:$W$5008,3598)</f>
        <v>260.10358360761438</v>
      </c>
      <c r="AR3600">
        <f>1/(COUNT('Iter No Test'!$W$9:$W$5008)-1)+$AR$3599</f>
        <v>0.71954390878172858</v>
      </c>
    </row>
    <row r="3601" spans="22:44">
      <c r="V3601">
        <v>3593</v>
      </c>
      <c r="W3601">
        <v>281.71158570130922</v>
      </c>
      <c r="AQ3601">
        <f>SMALL('Iter No Test'!$W$9:$W$5008,3599)</f>
        <v>260.14721035697789</v>
      </c>
      <c r="AR3601">
        <f>1/(COUNT('Iter No Test'!$W$9:$W$5008)-1)+$AR$3600</f>
        <v>0.71974394878973014</v>
      </c>
    </row>
    <row r="3602" spans="22:44">
      <c r="V3602">
        <v>3594</v>
      </c>
      <c r="W3602">
        <v>352.67596405168365</v>
      </c>
      <c r="AQ3602">
        <f>SMALL('Iter No Test'!$W$9:$W$5008,3600)</f>
        <v>260.1519223851808</v>
      </c>
      <c r="AR3602">
        <f>1/(COUNT('Iter No Test'!$W$9:$W$5008)-1)+$AR$3601</f>
        <v>0.71994398879773169</v>
      </c>
    </row>
    <row r="3603" spans="22:44">
      <c r="V3603">
        <v>3595</v>
      </c>
      <c r="W3603">
        <v>102.48494556258021</v>
      </c>
      <c r="AQ3603">
        <f>SMALL('Iter No Test'!$W$9:$W$5008,3601)</f>
        <v>260.2056140540322</v>
      </c>
      <c r="AR3603">
        <f>1/(COUNT('Iter No Test'!$W$9:$W$5008)-1)+$AR$3602</f>
        <v>0.72014402880573325</v>
      </c>
    </row>
    <row r="3604" spans="22:44">
      <c r="V3604">
        <v>3596</v>
      </c>
      <c r="W3604">
        <v>281.992094749655</v>
      </c>
      <c r="AQ3604">
        <f>SMALL('Iter No Test'!$W$9:$W$5008,3602)</f>
        <v>260.23829853370285</v>
      </c>
      <c r="AR3604">
        <f>1/(COUNT('Iter No Test'!$W$9:$W$5008)-1)+$AR$3603</f>
        <v>0.72034406881373481</v>
      </c>
    </row>
    <row r="3605" spans="22:44">
      <c r="V3605">
        <v>3597</v>
      </c>
      <c r="W3605">
        <v>299.046176375644</v>
      </c>
      <c r="AQ3605">
        <f>SMALL('Iter No Test'!$W$9:$W$5008,3603)</f>
        <v>260.24553513966077</v>
      </c>
      <c r="AR3605">
        <f>1/(COUNT('Iter No Test'!$W$9:$W$5008)-1)+$AR$3604</f>
        <v>0.72054410882173636</v>
      </c>
    </row>
    <row r="3606" spans="22:44">
      <c r="V3606">
        <v>3598</v>
      </c>
      <c r="W3606">
        <v>312.79647561695629</v>
      </c>
      <c r="AQ3606">
        <f>SMALL('Iter No Test'!$W$9:$W$5008,3604)</f>
        <v>260.3354678245604</v>
      </c>
      <c r="AR3606">
        <f>1/(COUNT('Iter No Test'!$W$9:$W$5008)-1)+$AR$3605</f>
        <v>0.72074414882973792</v>
      </c>
    </row>
    <row r="3607" spans="22:44">
      <c r="V3607">
        <v>3599</v>
      </c>
      <c r="W3607">
        <v>185.80238465449384</v>
      </c>
      <c r="AQ3607">
        <f>SMALL('Iter No Test'!$W$9:$W$5008,3605)</f>
        <v>260.35183561026531</v>
      </c>
      <c r="AR3607">
        <f>1/(COUNT('Iter No Test'!$W$9:$W$5008)-1)+$AR$3606</f>
        <v>0.72094418883773947</v>
      </c>
    </row>
    <row r="3608" spans="22:44">
      <c r="V3608">
        <v>3600</v>
      </c>
      <c r="W3608">
        <v>161.39541053314053</v>
      </c>
      <c r="AQ3608">
        <f>SMALL('Iter No Test'!$W$9:$W$5008,3606)</f>
        <v>260.51522022502809</v>
      </c>
      <c r="AR3608">
        <f>1/(COUNT('Iter No Test'!$W$9:$W$5008)-1)+$AR$3607</f>
        <v>0.72114422884574103</v>
      </c>
    </row>
    <row r="3609" spans="22:44">
      <c r="V3609">
        <v>3601</v>
      </c>
      <c r="W3609">
        <v>161.21274474303911</v>
      </c>
      <c r="AQ3609">
        <f>SMALL('Iter No Test'!$W$9:$W$5008,3607)</f>
        <v>260.53732381708403</v>
      </c>
      <c r="AR3609">
        <f>1/(COUNT('Iter No Test'!$W$9:$W$5008)-1)+$AR$3608</f>
        <v>0.72134426885374259</v>
      </c>
    </row>
    <row r="3610" spans="22:44">
      <c r="V3610">
        <v>3602</v>
      </c>
      <c r="W3610">
        <v>312.80383450874376</v>
      </c>
      <c r="AQ3610">
        <f>SMALL('Iter No Test'!$W$9:$W$5008,3608)</f>
        <v>260.61162459221691</v>
      </c>
      <c r="AR3610">
        <f>1/(COUNT('Iter No Test'!$W$9:$W$5008)-1)+$AR$3609</f>
        <v>0.72154430886174414</v>
      </c>
    </row>
    <row r="3611" spans="22:44">
      <c r="V3611">
        <v>3603</v>
      </c>
      <c r="W3611">
        <v>169.67167576971607</v>
      </c>
      <c r="AQ3611">
        <f>SMALL('Iter No Test'!$W$9:$W$5008,3609)</f>
        <v>260.68608286923103</v>
      </c>
      <c r="AR3611">
        <f>1/(COUNT('Iter No Test'!$W$9:$W$5008)-1)+$AR$3610</f>
        <v>0.7217443488697457</v>
      </c>
    </row>
    <row r="3612" spans="22:44">
      <c r="V3612">
        <v>3604</v>
      </c>
      <c r="W3612">
        <v>64.9440523435578</v>
      </c>
      <c r="AQ3612">
        <f>SMALL('Iter No Test'!$W$9:$W$5008,3610)</f>
        <v>260.72721138856377</v>
      </c>
      <c r="AR3612">
        <f>1/(COUNT('Iter No Test'!$W$9:$W$5008)-1)+$AR$3611</f>
        <v>0.72194438887774726</v>
      </c>
    </row>
    <row r="3613" spans="22:44">
      <c r="V3613">
        <v>3605</v>
      </c>
      <c r="W3613">
        <v>178.05825462695691</v>
      </c>
      <c r="AQ3613">
        <f>SMALL('Iter No Test'!$W$9:$W$5008,3611)</f>
        <v>260.79294145033714</v>
      </c>
      <c r="AR3613">
        <f>1/(COUNT('Iter No Test'!$W$9:$W$5008)-1)+$AR$3612</f>
        <v>0.72214442888574881</v>
      </c>
    </row>
    <row r="3614" spans="22:44">
      <c r="V3614">
        <v>3606</v>
      </c>
      <c r="W3614">
        <v>198.22142489133986</v>
      </c>
      <c r="AQ3614">
        <f>SMALL('Iter No Test'!$W$9:$W$5008,3612)</f>
        <v>260.79811687118263</v>
      </c>
      <c r="AR3614">
        <f>1/(COUNT('Iter No Test'!$W$9:$W$5008)-1)+$AR$3613</f>
        <v>0.72234446889375037</v>
      </c>
    </row>
    <row r="3615" spans="22:44">
      <c r="V3615">
        <v>3607</v>
      </c>
      <c r="W3615">
        <v>74.85230922184337</v>
      </c>
      <c r="AQ3615">
        <f>SMALL('Iter No Test'!$W$9:$W$5008,3613)</f>
        <v>260.85968061958204</v>
      </c>
      <c r="AR3615">
        <f>1/(COUNT('Iter No Test'!$W$9:$W$5008)-1)+$AR$3614</f>
        <v>0.72254450890175193</v>
      </c>
    </row>
    <row r="3616" spans="22:44">
      <c r="V3616">
        <v>3608</v>
      </c>
      <c r="W3616">
        <v>185.04657637000949</v>
      </c>
      <c r="AQ3616">
        <f>SMALL('Iter No Test'!$W$9:$W$5008,3614)</f>
        <v>260.95558447069516</v>
      </c>
      <c r="AR3616">
        <f>1/(COUNT('Iter No Test'!$W$9:$W$5008)-1)+$AR$3615</f>
        <v>0.72274454890975348</v>
      </c>
    </row>
    <row r="3617" spans="22:44">
      <c r="V3617">
        <v>3609</v>
      </c>
      <c r="W3617">
        <v>145.30410123872812</v>
      </c>
      <c r="AQ3617">
        <f>SMALL('Iter No Test'!$W$9:$W$5008,3615)</f>
        <v>261.14963091043751</v>
      </c>
      <c r="AR3617">
        <f>1/(COUNT('Iter No Test'!$W$9:$W$5008)-1)+$AR$3616</f>
        <v>0.72294458891775504</v>
      </c>
    </row>
    <row r="3618" spans="22:44">
      <c r="V3618">
        <v>3610</v>
      </c>
      <c r="W3618">
        <v>393.40652664152077</v>
      </c>
      <c r="AQ3618">
        <f>SMALL('Iter No Test'!$W$9:$W$5008,3616)</f>
        <v>261.1702540316619</v>
      </c>
      <c r="AR3618">
        <f>1/(COUNT('Iter No Test'!$W$9:$W$5008)-1)+$AR$3617</f>
        <v>0.72314462892575659</v>
      </c>
    </row>
    <row r="3619" spans="22:44">
      <c r="V3619">
        <v>3611</v>
      </c>
      <c r="W3619">
        <v>200.17807516334355</v>
      </c>
      <c r="AQ3619">
        <f>SMALL('Iter No Test'!$W$9:$W$5008,3617)</f>
        <v>261.19257405912822</v>
      </c>
      <c r="AR3619">
        <f>1/(COUNT('Iter No Test'!$W$9:$W$5008)-1)+$AR$3618</f>
        <v>0.72334466893375815</v>
      </c>
    </row>
    <row r="3620" spans="22:44">
      <c r="V3620">
        <v>3612</v>
      </c>
      <c r="W3620">
        <v>200.71031979701846</v>
      </c>
      <c r="AQ3620">
        <f>SMALL('Iter No Test'!$W$9:$W$5008,3618)</f>
        <v>261.19282238283085</v>
      </c>
      <c r="AR3620">
        <f>1/(COUNT('Iter No Test'!$W$9:$W$5008)-1)+$AR$3619</f>
        <v>0.72354470894175971</v>
      </c>
    </row>
    <row r="3621" spans="22:44">
      <c r="V3621">
        <v>3613</v>
      </c>
      <c r="W3621">
        <v>150.20468986009917</v>
      </c>
      <c r="AQ3621">
        <f>SMALL('Iter No Test'!$W$9:$W$5008,3619)</f>
        <v>261.22007064409706</v>
      </c>
      <c r="AR3621">
        <f>1/(COUNT('Iter No Test'!$W$9:$W$5008)-1)+$AR$3620</f>
        <v>0.72374474894976126</v>
      </c>
    </row>
    <row r="3622" spans="22:44">
      <c r="V3622">
        <v>3614</v>
      </c>
      <c r="W3622">
        <v>228.75609535577766</v>
      </c>
      <c r="AQ3622">
        <f>SMALL('Iter No Test'!$W$9:$W$5008,3620)</f>
        <v>261.2609681082161</v>
      </c>
      <c r="AR3622">
        <f>1/(COUNT('Iter No Test'!$W$9:$W$5008)-1)+$AR$3621</f>
        <v>0.72394478895776282</v>
      </c>
    </row>
    <row r="3623" spans="22:44">
      <c r="V3623">
        <v>3615</v>
      </c>
      <c r="W3623">
        <v>129.84505021509406</v>
      </c>
      <c r="AQ3623">
        <f>SMALL('Iter No Test'!$W$9:$W$5008,3621)</f>
        <v>261.45631466853177</v>
      </c>
      <c r="AR3623">
        <f>1/(COUNT('Iter No Test'!$W$9:$W$5008)-1)+$AR$3622</f>
        <v>0.72414482896576438</v>
      </c>
    </row>
    <row r="3624" spans="22:44">
      <c r="V3624">
        <v>3616</v>
      </c>
      <c r="W3624">
        <v>190.42538696401419</v>
      </c>
      <c r="AQ3624">
        <f>SMALL('Iter No Test'!$W$9:$W$5008,3622)</f>
        <v>261.57023492535632</v>
      </c>
      <c r="AR3624">
        <f>1/(COUNT('Iter No Test'!$W$9:$W$5008)-1)+$AR$3623</f>
        <v>0.72434486897376593</v>
      </c>
    </row>
    <row r="3625" spans="22:44">
      <c r="V3625">
        <v>3617</v>
      </c>
      <c r="W3625">
        <v>196.54636312398191</v>
      </c>
      <c r="AQ3625">
        <f>SMALL('Iter No Test'!$W$9:$W$5008,3623)</f>
        <v>261.61404744375841</v>
      </c>
      <c r="AR3625">
        <f>1/(COUNT('Iter No Test'!$W$9:$W$5008)-1)+$AR$3624</f>
        <v>0.72454490898176749</v>
      </c>
    </row>
    <row r="3626" spans="22:44">
      <c r="V3626">
        <v>3618</v>
      </c>
      <c r="W3626">
        <v>132.48730341184216</v>
      </c>
      <c r="AQ3626">
        <f>SMALL('Iter No Test'!$W$9:$W$5008,3624)</f>
        <v>261.65086233415082</v>
      </c>
      <c r="AR3626">
        <f>1/(COUNT('Iter No Test'!$W$9:$W$5008)-1)+$AR$3625</f>
        <v>0.72474494898976904</v>
      </c>
    </row>
    <row r="3627" spans="22:44">
      <c r="V3627">
        <v>3619</v>
      </c>
      <c r="W3627">
        <v>354.93356797396933</v>
      </c>
      <c r="AQ3627">
        <f>SMALL('Iter No Test'!$W$9:$W$5008,3625)</f>
        <v>261.77787885385578</v>
      </c>
      <c r="AR3627">
        <f>1/(COUNT('Iter No Test'!$W$9:$W$5008)-1)+$AR$3626</f>
        <v>0.7249449889977706</v>
      </c>
    </row>
    <row r="3628" spans="22:44">
      <c r="V3628">
        <v>3620</v>
      </c>
      <c r="W3628">
        <v>291.90238350175946</v>
      </c>
      <c r="AQ3628">
        <f>SMALL('Iter No Test'!$W$9:$W$5008,3626)</f>
        <v>261.82783103453511</v>
      </c>
      <c r="AR3628">
        <f>1/(COUNT('Iter No Test'!$W$9:$W$5008)-1)+$AR$3627</f>
        <v>0.72514502900577216</v>
      </c>
    </row>
    <row r="3629" spans="22:44">
      <c r="V3629">
        <v>3621</v>
      </c>
      <c r="W3629">
        <v>70.605007477337097</v>
      </c>
      <c r="AQ3629">
        <f>SMALL('Iter No Test'!$W$9:$W$5008,3627)</f>
        <v>261.87365961911991</v>
      </c>
      <c r="AR3629">
        <f>1/(COUNT('Iter No Test'!$W$9:$W$5008)-1)+$AR$3628</f>
        <v>0.72534506901377371</v>
      </c>
    </row>
    <row r="3630" spans="22:44">
      <c r="V3630">
        <v>3622</v>
      </c>
      <c r="W3630">
        <v>254.01079249220095</v>
      </c>
      <c r="AQ3630">
        <f>SMALL('Iter No Test'!$W$9:$W$5008,3628)</f>
        <v>261.89567579951319</v>
      </c>
      <c r="AR3630">
        <f>1/(COUNT('Iter No Test'!$W$9:$W$5008)-1)+$AR$3629</f>
        <v>0.72554510902177527</v>
      </c>
    </row>
    <row r="3631" spans="22:44">
      <c r="V3631">
        <v>3623</v>
      </c>
      <c r="W3631">
        <v>111.48201107482055</v>
      </c>
      <c r="AQ3631">
        <f>SMALL('Iter No Test'!$W$9:$W$5008,3629)</f>
        <v>261.96194542605315</v>
      </c>
      <c r="AR3631">
        <f>1/(COUNT('Iter No Test'!$W$9:$W$5008)-1)+$AR$3630</f>
        <v>0.72574514902977683</v>
      </c>
    </row>
    <row r="3632" spans="22:44">
      <c r="V3632">
        <v>3624</v>
      </c>
      <c r="W3632">
        <v>198.33400790688682</v>
      </c>
      <c r="AQ3632">
        <f>SMALL('Iter No Test'!$W$9:$W$5008,3630)</f>
        <v>261.9914192093479</v>
      </c>
      <c r="AR3632">
        <f>1/(COUNT('Iter No Test'!$W$9:$W$5008)-1)+$AR$3631</f>
        <v>0.72594518903777838</v>
      </c>
    </row>
    <row r="3633" spans="22:44">
      <c r="V3633">
        <v>3625</v>
      </c>
      <c r="W3633">
        <v>135.84635499621373</v>
      </c>
      <c r="AQ3633">
        <f>SMALL('Iter No Test'!$W$9:$W$5008,3631)</f>
        <v>262.01049655765678</v>
      </c>
      <c r="AR3633">
        <f>1/(COUNT('Iter No Test'!$W$9:$W$5008)-1)+$AR$3632</f>
        <v>0.72614522904577994</v>
      </c>
    </row>
    <row r="3634" spans="22:44">
      <c r="V3634">
        <v>3626</v>
      </c>
      <c r="W3634">
        <v>138.52538595025374</v>
      </c>
      <c r="AQ3634">
        <f>SMALL('Iter No Test'!$W$9:$W$5008,3632)</f>
        <v>262.06473547777557</v>
      </c>
      <c r="AR3634">
        <f>1/(COUNT('Iter No Test'!$W$9:$W$5008)-1)+$AR$3633</f>
        <v>0.72634526905378149</v>
      </c>
    </row>
    <row r="3635" spans="22:44">
      <c r="V3635">
        <v>3627</v>
      </c>
      <c r="W3635">
        <v>262.75222318420913</v>
      </c>
      <c r="AQ3635">
        <f>SMALL('Iter No Test'!$W$9:$W$5008,3633)</f>
        <v>262.06619989889464</v>
      </c>
      <c r="AR3635">
        <f>1/(COUNT('Iter No Test'!$W$9:$W$5008)-1)+$AR$3634</f>
        <v>0.72654530906178305</v>
      </c>
    </row>
    <row r="3636" spans="22:44">
      <c r="V3636">
        <v>3628</v>
      </c>
      <c r="W3636">
        <v>297.89540454505368</v>
      </c>
      <c r="AQ3636">
        <f>SMALL('Iter No Test'!$W$9:$W$5008,3634)</f>
        <v>262.13994094926232</v>
      </c>
      <c r="AR3636">
        <f>1/(COUNT('Iter No Test'!$W$9:$W$5008)-1)+$AR$3635</f>
        <v>0.72674534906978461</v>
      </c>
    </row>
    <row r="3637" spans="22:44">
      <c r="V3637">
        <v>3629</v>
      </c>
      <c r="W3637">
        <v>206.92244838190959</v>
      </c>
      <c r="AQ3637">
        <f>SMALL('Iter No Test'!$W$9:$W$5008,3635)</f>
        <v>262.21846206776343</v>
      </c>
      <c r="AR3637">
        <f>1/(COUNT('Iter No Test'!$W$9:$W$5008)-1)+$AR$3636</f>
        <v>0.72694538907778616</v>
      </c>
    </row>
    <row r="3638" spans="22:44">
      <c r="V3638">
        <v>3630</v>
      </c>
      <c r="W3638">
        <v>263.46143803015576</v>
      </c>
      <c r="AQ3638">
        <f>SMALL('Iter No Test'!$W$9:$W$5008,3636)</f>
        <v>262.28257516034182</v>
      </c>
      <c r="AR3638">
        <f>1/(COUNT('Iter No Test'!$W$9:$W$5008)-1)+$AR$3637</f>
        <v>0.72714542908578772</v>
      </c>
    </row>
    <row r="3639" spans="22:44">
      <c r="V3639">
        <v>3631</v>
      </c>
      <c r="W3639">
        <v>110.4280456609817</v>
      </c>
      <c r="AQ3639">
        <f>SMALL('Iter No Test'!$W$9:$W$5008,3637)</f>
        <v>262.34990167259235</v>
      </c>
      <c r="AR3639">
        <f>1/(COUNT('Iter No Test'!$W$9:$W$5008)-1)+$AR$3638</f>
        <v>0.72734546909378928</v>
      </c>
    </row>
    <row r="3640" spans="22:44">
      <c r="V3640">
        <v>3632</v>
      </c>
      <c r="W3640">
        <v>133.43073459569658</v>
      </c>
      <c r="AQ3640">
        <f>SMALL('Iter No Test'!$W$9:$W$5008,3638)</f>
        <v>262.38641309330501</v>
      </c>
      <c r="AR3640">
        <f>1/(COUNT('Iter No Test'!$W$9:$W$5008)-1)+$AR$3639</f>
        <v>0.72754550910179083</v>
      </c>
    </row>
    <row r="3641" spans="22:44">
      <c r="V3641">
        <v>3633</v>
      </c>
      <c r="W3641">
        <v>199.26072525063142</v>
      </c>
      <c r="AQ3641">
        <f>SMALL('Iter No Test'!$W$9:$W$5008,3639)</f>
        <v>262.40162882837308</v>
      </c>
      <c r="AR3641">
        <f>1/(COUNT('Iter No Test'!$W$9:$W$5008)-1)+$AR$3640</f>
        <v>0.72774554910979239</v>
      </c>
    </row>
    <row r="3642" spans="22:44">
      <c r="V3642">
        <v>3634</v>
      </c>
      <c r="W3642">
        <v>259.55300020359402</v>
      </c>
      <c r="AQ3642">
        <f>SMALL('Iter No Test'!$W$9:$W$5008,3640)</f>
        <v>262.44457805741513</v>
      </c>
      <c r="AR3642">
        <f>1/(COUNT('Iter No Test'!$W$9:$W$5008)-1)+$AR$3641</f>
        <v>0.72794558911779395</v>
      </c>
    </row>
    <row r="3643" spans="22:44">
      <c r="V3643">
        <v>3635</v>
      </c>
      <c r="W3643">
        <v>266.62700723858035</v>
      </c>
      <c r="AQ3643">
        <f>SMALL('Iter No Test'!$W$9:$W$5008,3641)</f>
        <v>262.50462604832188</v>
      </c>
      <c r="AR3643">
        <f>1/(COUNT('Iter No Test'!$W$9:$W$5008)-1)+$AR$3642</f>
        <v>0.7281456291257955</v>
      </c>
    </row>
    <row r="3644" spans="22:44">
      <c r="V3644">
        <v>3636</v>
      </c>
      <c r="W3644">
        <v>60.808962995654667</v>
      </c>
      <c r="AQ3644">
        <f>SMALL('Iter No Test'!$W$9:$W$5008,3642)</f>
        <v>262.57020232870241</v>
      </c>
      <c r="AR3644">
        <f>1/(COUNT('Iter No Test'!$W$9:$W$5008)-1)+$AR$3643</f>
        <v>0.72834566913379706</v>
      </c>
    </row>
    <row r="3645" spans="22:44">
      <c r="V3645">
        <v>3637</v>
      </c>
      <c r="W3645">
        <v>268.96298089806794</v>
      </c>
      <c r="AQ3645">
        <f>SMALL('Iter No Test'!$W$9:$W$5008,3643)</f>
        <v>262.62279598109774</v>
      </c>
      <c r="AR3645">
        <f>1/(COUNT('Iter No Test'!$W$9:$W$5008)-1)+$AR$3644</f>
        <v>0.72854570914179861</v>
      </c>
    </row>
    <row r="3646" spans="22:44">
      <c r="V3646">
        <v>3638</v>
      </c>
      <c r="W3646">
        <v>132.35406186502212</v>
      </c>
      <c r="AQ3646">
        <f>SMALL('Iter No Test'!$W$9:$W$5008,3644)</f>
        <v>262.6817211958645</v>
      </c>
      <c r="AR3646">
        <f>1/(COUNT('Iter No Test'!$W$9:$W$5008)-1)+$AR$3645</f>
        <v>0.72874574914980017</v>
      </c>
    </row>
    <row r="3647" spans="22:44">
      <c r="V3647">
        <v>3639</v>
      </c>
      <c r="W3647">
        <v>289.76128285501034</v>
      </c>
      <c r="AQ3647">
        <f>SMALL('Iter No Test'!$W$9:$W$5008,3645)</f>
        <v>262.69153795309285</v>
      </c>
      <c r="AR3647">
        <f>1/(COUNT('Iter No Test'!$W$9:$W$5008)-1)+$AR$3646</f>
        <v>0.72894578915780173</v>
      </c>
    </row>
    <row r="3648" spans="22:44">
      <c r="V3648">
        <v>3640</v>
      </c>
      <c r="W3648">
        <v>212.73590640557018</v>
      </c>
      <c r="AQ3648">
        <f>SMALL('Iter No Test'!$W$9:$W$5008,3646)</f>
        <v>262.71374953916529</v>
      </c>
      <c r="AR3648">
        <f>1/(COUNT('Iter No Test'!$W$9:$W$5008)-1)+$AR$3647</f>
        <v>0.72914582916580328</v>
      </c>
    </row>
    <row r="3649" spans="22:44">
      <c r="V3649">
        <v>3641</v>
      </c>
      <c r="W3649">
        <v>150.5761615848034</v>
      </c>
      <c r="AQ3649">
        <f>SMALL('Iter No Test'!$W$9:$W$5008,3647)</f>
        <v>262.75222318420913</v>
      </c>
      <c r="AR3649">
        <f>1/(COUNT('Iter No Test'!$W$9:$W$5008)-1)+$AR$3648</f>
        <v>0.72934586917380484</v>
      </c>
    </row>
    <row r="3650" spans="22:44">
      <c r="V3650">
        <v>3642</v>
      </c>
      <c r="W3650">
        <v>150.58708075688361</v>
      </c>
      <c r="AQ3650">
        <f>SMALL('Iter No Test'!$W$9:$W$5008,3648)</f>
        <v>262.77178081905254</v>
      </c>
      <c r="AR3650">
        <f>1/(COUNT('Iter No Test'!$W$9:$W$5008)-1)+$AR$3649</f>
        <v>0.7295459091818064</v>
      </c>
    </row>
    <row r="3651" spans="22:44">
      <c r="V3651">
        <v>3643</v>
      </c>
      <c r="W3651">
        <v>123.63621907729558</v>
      </c>
      <c r="AQ3651">
        <f>SMALL('Iter No Test'!$W$9:$W$5008,3649)</f>
        <v>262.84481704893346</v>
      </c>
      <c r="AR3651">
        <f>1/(COUNT('Iter No Test'!$W$9:$W$5008)-1)+$AR$3650</f>
        <v>0.72974594918980795</v>
      </c>
    </row>
    <row r="3652" spans="22:44">
      <c r="V3652">
        <v>3644</v>
      </c>
      <c r="W3652">
        <v>362.84386977510644</v>
      </c>
      <c r="AQ3652">
        <f>SMALL('Iter No Test'!$W$9:$W$5008,3650)</f>
        <v>262.91776379742066</v>
      </c>
      <c r="AR3652">
        <f>1/(COUNT('Iter No Test'!$W$9:$W$5008)-1)+$AR$3651</f>
        <v>0.72994598919780951</v>
      </c>
    </row>
    <row r="3653" spans="22:44">
      <c r="V3653">
        <v>3645</v>
      </c>
      <c r="W3653">
        <v>283.28061577256943</v>
      </c>
      <c r="AQ3653">
        <f>SMALL('Iter No Test'!$W$9:$W$5008,3651)</f>
        <v>262.94392011191394</v>
      </c>
      <c r="AR3653">
        <f>1/(COUNT('Iter No Test'!$W$9:$W$5008)-1)+$AR$3652</f>
        <v>0.73014602920581106</v>
      </c>
    </row>
    <row r="3654" spans="22:44">
      <c r="V3654">
        <v>3646</v>
      </c>
      <c r="W3654">
        <v>354.85556829009147</v>
      </c>
      <c r="AQ3654">
        <f>SMALL('Iter No Test'!$W$9:$W$5008,3652)</f>
        <v>262.99072830254397</v>
      </c>
      <c r="AR3654">
        <f>1/(COUNT('Iter No Test'!$W$9:$W$5008)-1)+$AR$3653</f>
        <v>0.73034606921381262</v>
      </c>
    </row>
    <row r="3655" spans="22:44">
      <c r="V3655">
        <v>3647</v>
      </c>
      <c r="W3655">
        <v>52.86836797346119</v>
      </c>
      <c r="AQ3655">
        <f>SMALL('Iter No Test'!$W$9:$W$5008,3653)</f>
        <v>263.00048514465379</v>
      </c>
      <c r="AR3655">
        <f>1/(COUNT('Iter No Test'!$W$9:$W$5008)-1)+$AR$3654</f>
        <v>0.73054610922181418</v>
      </c>
    </row>
    <row r="3656" spans="22:44">
      <c r="V3656">
        <v>3648</v>
      </c>
      <c r="W3656">
        <v>249.00852557421862</v>
      </c>
      <c r="AQ3656">
        <f>SMALL('Iter No Test'!$W$9:$W$5008,3654)</f>
        <v>263.06323451920707</v>
      </c>
      <c r="AR3656">
        <f>1/(COUNT('Iter No Test'!$W$9:$W$5008)-1)+$AR$3655</f>
        <v>0.73074614922981573</v>
      </c>
    </row>
    <row r="3657" spans="22:44">
      <c r="V3657">
        <v>3649</v>
      </c>
      <c r="W3657">
        <v>197.64463081630049</v>
      </c>
      <c r="AQ3657">
        <f>SMALL('Iter No Test'!$W$9:$W$5008,3655)</f>
        <v>263.07642989392548</v>
      </c>
      <c r="AR3657">
        <f>1/(COUNT('Iter No Test'!$W$9:$W$5008)-1)+$AR$3656</f>
        <v>0.73094618923781729</v>
      </c>
    </row>
    <row r="3658" spans="22:44">
      <c r="V3658">
        <v>3650</v>
      </c>
      <c r="W3658">
        <v>166.11080919538264</v>
      </c>
      <c r="AQ3658">
        <f>SMALL('Iter No Test'!$W$9:$W$5008,3656)</f>
        <v>263.0892222209032</v>
      </c>
      <c r="AR3658">
        <f>1/(COUNT('Iter No Test'!$W$9:$W$5008)-1)+$AR$3657</f>
        <v>0.73114622924581885</v>
      </c>
    </row>
    <row r="3659" spans="22:44">
      <c r="V3659">
        <v>3651</v>
      </c>
      <c r="W3659">
        <v>240.51900244502912</v>
      </c>
      <c r="AQ3659">
        <f>SMALL('Iter No Test'!$W$9:$W$5008,3657)</f>
        <v>263.09047318223645</v>
      </c>
      <c r="AR3659">
        <f>1/(COUNT('Iter No Test'!$W$9:$W$5008)-1)+$AR$3658</f>
        <v>0.7313462692538204</v>
      </c>
    </row>
    <row r="3660" spans="22:44">
      <c r="V3660">
        <v>3652</v>
      </c>
      <c r="W3660">
        <v>111.89580253355199</v>
      </c>
      <c r="AQ3660">
        <f>SMALL('Iter No Test'!$W$9:$W$5008,3658)</f>
        <v>263.13421945347966</v>
      </c>
      <c r="AR3660">
        <f>1/(COUNT('Iter No Test'!$W$9:$W$5008)-1)+$AR$3659</f>
        <v>0.73154630926182196</v>
      </c>
    </row>
    <row r="3661" spans="22:44">
      <c r="V3661">
        <v>3653</v>
      </c>
      <c r="W3661">
        <v>104.44212191120378</v>
      </c>
      <c r="AQ3661">
        <f>SMALL('Iter No Test'!$W$9:$W$5008,3659)</f>
        <v>263.14188738792723</v>
      </c>
      <c r="AR3661">
        <f>1/(COUNT('Iter No Test'!$W$9:$W$5008)-1)+$AR$3660</f>
        <v>0.73174634926982352</v>
      </c>
    </row>
    <row r="3662" spans="22:44">
      <c r="V3662">
        <v>3654</v>
      </c>
      <c r="W3662">
        <v>293.14953123536714</v>
      </c>
      <c r="AQ3662">
        <f>SMALL('Iter No Test'!$W$9:$W$5008,3660)</f>
        <v>263.46143803015576</v>
      </c>
      <c r="AR3662">
        <f>1/(COUNT('Iter No Test'!$W$9:$W$5008)-1)+$AR$3661</f>
        <v>0.73194638927782507</v>
      </c>
    </row>
    <row r="3663" spans="22:44">
      <c r="V3663">
        <v>3655</v>
      </c>
      <c r="W3663">
        <v>174.04878529635405</v>
      </c>
      <c r="AQ3663">
        <f>SMALL('Iter No Test'!$W$9:$W$5008,3661)</f>
        <v>263.47939450108055</v>
      </c>
      <c r="AR3663">
        <f>1/(COUNT('Iter No Test'!$W$9:$W$5008)-1)+$AR$3662</f>
        <v>0.73214642928582663</v>
      </c>
    </row>
    <row r="3664" spans="22:44">
      <c r="V3664">
        <v>3656</v>
      </c>
      <c r="W3664">
        <v>145.23815053530856</v>
      </c>
      <c r="AQ3664">
        <f>SMALL('Iter No Test'!$W$9:$W$5008,3662)</f>
        <v>263.55546363930728</v>
      </c>
      <c r="AR3664">
        <f>1/(COUNT('Iter No Test'!$W$9:$W$5008)-1)+$AR$3663</f>
        <v>0.73234646929382818</v>
      </c>
    </row>
    <row r="3665" spans="22:44">
      <c r="V3665">
        <v>3657</v>
      </c>
      <c r="W3665">
        <v>261.14963091043751</v>
      </c>
      <c r="AQ3665">
        <f>SMALL('Iter No Test'!$W$9:$W$5008,3663)</f>
        <v>263.6470390317192</v>
      </c>
      <c r="AR3665">
        <f>1/(COUNT('Iter No Test'!$W$9:$W$5008)-1)+$AR$3664</f>
        <v>0.73254650930182974</v>
      </c>
    </row>
    <row r="3666" spans="22:44">
      <c r="V3666">
        <v>3658</v>
      </c>
      <c r="W3666">
        <v>271.75314519883887</v>
      </c>
      <c r="AQ3666">
        <f>SMALL('Iter No Test'!$W$9:$W$5008,3664)</f>
        <v>263.65091581216245</v>
      </c>
      <c r="AR3666">
        <f>1/(COUNT('Iter No Test'!$W$9:$W$5008)-1)+$AR$3665</f>
        <v>0.7327465493098313</v>
      </c>
    </row>
    <row r="3667" spans="22:44">
      <c r="V3667">
        <v>3659</v>
      </c>
      <c r="W3667">
        <v>192.67192650281552</v>
      </c>
      <c r="AQ3667">
        <f>SMALL('Iter No Test'!$W$9:$W$5008,3665)</f>
        <v>263.65433136064348</v>
      </c>
      <c r="AR3667">
        <f>1/(COUNT('Iter No Test'!$W$9:$W$5008)-1)+$AR$3666</f>
        <v>0.73294658931783285</v>
      </c>
    </row>
    <row r="3668" spans="22:44">
      <c r="V3668">
        <v>3660</v>
      </c>
      <c r="W3668">
        <v>153.07487650108027</v>
      </c>
      <c r="AQ3668">
        <f>SMALL('Iter No Test'!$W$9:$W$5008,3666)</f>
        <v>263.78213008087732</v>
      </c>
      <c r="AR3668">
        <f>1/(COUNT('Iter No Test'!$W$9:$W$5008)-1)+$AR$3667</f>
        <v>0.73314662932583441</v>
      </c>
    </row>
    <row r="3669" spans="22:44">
      <c r="V3669">
        <v>3661</v>
      </c>
      <c r="W3669">
        <v>134.48126157660496</v>
      </c>
      <c r="AQ3669">
        <f>SMALL('Iter No Test'!$W$9:$W$5008,3667)</f>
        <v>263.84688158394033</v>
      </c>
      <c r="AR3669">
        <f>1/(COUNT('Iter No Test'!$W$9:$W$5008)-1)+$AR$3668</f>
        <v>0.73334666933383597</v>
      </c>
    </row>
    <row r="3670" spans="22:44">
      <c r="V3670">
        <v>3662</v>
      </c>
      <c r="W3670">
        <v>70.341402732511881</v>
      </c>
      <c r="AQ3670">
        <f>SMALL('Iter No Test'!$W$9:$W$5008,3668)</f>
        <v>263.90051359144104</v>
      </c>
      <c r="AR3670">
        <f>1/(COUNT('Iter No Test'!$W$9:$W$5008)-1)+$AR$3669</f>
        <v>0.73354670934183752</v>
      </c>
    </row>
    <row r="3671" spans="22:44">
      <c r="V3671">
        <v>3663</v>
      </c>
      <c r="W3671">
        <v>168.63693893825447</v>
      </c>
      <c r="AQ3671">
        <f>SMALL('Iter No Test'!$W$9:$W$5008,3669)</f>
        <v>263.94595297267477</v>
      </c>
      <c r="AR3671">
        <f>1/(COUNT('Iter No Test'!$W$9:$W$5008)-1)+$AR$3670</f>
        <v>0.73374674934983908</v>
      </c>
    </row>
    <row r="3672" spans="22:44">
      <c r="V3672">
        <v>3664</v>
      </c>
      <c r="W3672">
        <v>225.24286537214428</v>
      </c>
      <c r="AQ3672">
        <f>SMALL('Iter No Test'!$W$9:$W$5008,3670)</f>
        <v>264.02139047518779</v>
      </c>
      <c r="AR3672">
        <f>1/(COUNT('Iter No Test'!$W$9:$W$5008)-1)+$AR$3671</f>
        <v>0.73394678935784063</v>
      </c>
    </row>
    <row r="3673" spans="22:44">
      <c r="V3673">
        <v>3665</v>
      </c>
      <c r="W3673">
        <v>152.96736245342947</v>
      </c>
      <c r="AQ3673">
        <f>SMALL('Iter No Test'!$W$9:$W$5008,3671)</f>
        <v>264.02430451821465</v>
      </c>
      <c r="AR3673">
        <f>1/(COUNT('Iter No Test'!$W$9:$W$5008)-1)+$AR$3672</f>
        <v>0.73414682936584219</v>
      </c>
    </row>
    <row r="3674" spans="22:44">
      <c r="V3674">
        <v>3666</v>
      </c>
      <c r="W3674">
        <v>296.15910003631848</v>
      </c>
      <c r="AQ3674">
        <f>SMALL('Iter No Test'!$W$9:$W$5008,3672)</f>
        <v>264.13584029839268</v>
      </c>
      <c r="AR3674">
        <f>1/(COUNT('Iter No Test'!$W$9:$W$5008)-1)+$AR$3673</f>
        <v>0.73434686937384375</v>
      </c>
    </row>
    <row r="3675" spans="22:44">
      <c r="V3675">
        <v>3667</v>
      </c>
      <c r="W3675">
        <v>294.0726774420591</v>
      </c>
      <c r="AQ3675">
        <f>SMALL('Iter No Test'!$W$9:$W$5008,3673)</f>
        <v>264.15693609881282</v>
      </c>
      <c r="AR3675">
        <f>1/(COUNT('Iter No Test'!$W$9:$W$5008)-1)+$AR$3674</f>
        <v>0.7345469093818453</v>
      </c>
    </row>
    <row r="3676" spans="22:44">
      <c r="V3676">
        <v>3668</v>
      </c>
      <c r="W3676">
        <v>155.24478987261088</v>
      </c>
      <c r="AQ3676">
        <f>SMALL('Iter No Test'!$W$9:$W$5008,3674)</f>
        <v>264.20285789767274</v>
      </c>
      <c r="AR3676">
        <f>1/(COUNT('Iter No Test'!$W$9:$W$5008)-1)+$AR$3675</f>
        <v>0.73474694938984686</v>
      </c>
    </row>
    <row r="3677" spans="22:44">
      <c r="V3677">
        <v>3669</v>
      </c>
      <c r="W3677">
        <v>75.145813232845683</v>
      </c>
      <c r="AQ3677">
        <f>SMALL('Iter No Test'!$W$9:$W$5008,3675)</f>
        <v>264.23380011389452</v>
      </c>
      <c r="AR3677">
        <f>1/(COUNT('Iter No Test'!$W$9:$W$5008)-1)+$AR$3676</f>
        <v>0.73494698939784842</v>
      </c>
    </row>
    <row r="3678" spans="22:44">
      <c r="V3678">
        <v>3670</v>
      </c>
      <c r="W3678">
        <v>26.265799412891766</v>
      </c>
      <c r="AQ3678">
        <f>SMALL('Iter No Test'!$W$9:$W$5008,3676)</f>
        <v>264.24247371003793</v>
      </c>
      <c r="AR3678">
        <f>1/(COUNT('Iter No Test'!$W$9:$W$5008)-1)+$AR$3677</f>
        <v>0.73514702940584997</v>
      </c>
    </row>
    <row r="3679" spans="22:44">
      <c r="V3679">
        <v>3671</v>
      </c>
      <c r="W3679">
        <v>156.17104454129577</v>
      </c>
      <c r="AQ3679">
        <f>SMALL('Iter No Test'!$W$9:$W$5008,3677)</f>
        <v>264.28593763964807</v>
      </c>
      <c r="AR3679">
        <f>1/(COUNT('Iter No Test'!$W$9:$W$5008)-1)+$AR$3678</f>
        <v>0.73534706941385153</v>
      </c>
    </row>
    <row r="3680" spans="22:44">
      <c r="V3680">
        <v>3672</v>
      </c>
      <c r="W3680">
        <v>322.06220847205179</v>
      </c>
      <c r="AQ3680">
        <f>SMALL('Iter No Test'!$W$9:$W$5008,3678)</f>
        <v>264.29335157519074</v>
      </c>
      <c r="AR3680">
        <f>1/(COUNT('Iter No Test'!$W$9:$W$5008)-1)+$AR$3679</f>
        <v>0.73554710942185308</v>
      </c>
    </row>
    <row r="3681" spans="22:44">
      <c r="V3681">
        <v>3673</v>
      </c>
      <c r="W3681">
        <v>126.99891657110672</v>
      </c>
      <c r="AQ3681">
        <f>SMALL('Iter No Test'!$W$9:$W$5008,3679)</f>
        <v>264.34814535001857</v>
      </c>
      <c r="AR3681">
        <f>1/(COUNT('Iter No Test'!$W$9:$W$5008)-1)+$AR$3680</f>
        <v>0.73574714942985464</v>
      </c>
    </row>
    <row r="3682" spans="22:44">
      <c r="V3682">
        <v>3674</v>
      </c>
      <c r="W3682">
        <v>331.0694678690752</v>
      </c>
      <c r="AQ3682">
        <f>SMALL('Iter No Test'!$W$9:$W$5008,3680)</f>
        <v>264.35450783310455</v>
      </c>
      <c r="AR3682">
        <f>1/(COUNT('Iter No Test'!$W$9:$W$5008)-1)+$AR$3681</f>
        <v>0.7359471894378562</v>
      </c>
    </row>
    <row r="3683" spans="22:44">
      <c r="V3683">
        <v>3675</v>
      </c>
      <c r="W3683">
        <v>260.79294145033714</v>
      </c>
      <c r="AQ3683">
        <f>SMALL('Iter No Test'!$W$9:$W$5008,3681)</f>
        <v>264.44419333211346</v>
      </c>
      <c r="AR3683">
        <f>1/(COUNT('Iter No Test'!$W$9:$W$5008)-1)+$AR$3682</f>
        <v>0.73614722944585775</v>
      </c>
    </row>
    <row r="3684" spans="22:44">
      <c r="V3684">
        <v>3676</v>
      </c>
      <c r="W3684">
        <v>7.9684706307831021</v>
      </c>
      <c r="AQ3684">
        <f>SMALL('Iter No Test'!$W$9:$W$5008,3682)</f>
        <v>264.50826787941975</v>
      </c>
      <c r="AR3684">
        <f>1/(COUNT('Iter No Test'!$W$9:$W$5008)-1)+$AR$3683</f>
        <v>0.73634726945385931</v>
      </c>
    </row>
    <row r="3685" spans="22:44">
      <c r="V3685">
        <v>3677</v>
      </c>
      <c r="W3685">
        <v>182.23385803292001</v>
      </c>
      <c r="AQ3685">
        <f>SMALL('Iter No Test'!$W$9:$W$5008,3683)</f>
        <v>264.56398625322112</v>
      </c>
      <c r="AR3685">
        <f>1/(COUNT('Iter No Test'!$W$9:$W$5008)-1)+$AR$3684</f>
        <v>0.73654730946186087</v>
      </c>
    </row>
    <row r="3686" spans="22:44">
      <c r="V3686">
        <v>3678</v>
      </c>
      <c r="W3686">
        <v>110.78707386425988</v>
      </c>
      <c r="AQ3686">
        <f>SMALL('Iter No Test'!$W$9:$W$5008,3684)</f>
        <v>264.68687748988577</v>
      </c>
      <c r="AR3686">
        <f>1/(COUNT('Iter No Test'!$W$9:$W$5008)-1)+$AR$3685</f>
        <v>0.73674734946986242</v>
      </c>
    </row>
    <row r="3687" spans="22:44">
      <c r="V3687">
        <v>3679</v>
      </c>
      <c r="W3687">
        <v>258.72961087515512</v>
      </c>
      <c r="AQ3687">
        <f>SMALL('Iter No Test'!$W$9:$W$5008,3685)</f>
        <v>264.80988215162552</v>
      </c>
      <c r="AR3687">
        <f>1/(COUNT('Iter No Test'!$W$9:$W$5008)-1)+$AR$3686</f>
        <v>0.73694738947786398</v>
      </c>
    </row>
    <row r="3688" spans="22:44">
      <c r="V3688">
        <v>3680</v>
      </c>
      <c r="W3688">
        <v>290.25736545484835</v>
      </c>
      <c r="AQ3688">
        <f>SMALL('Iter No Test'!$W$9:$W$5008,3686)</f>
        <v>264.87891702392091</v>
      </c>
      <c r="AR3688">
        <f>1/(COUNT('Iter No Test'!$W$9:$W$5008)-1)+$AR$3687</f>
        <v>0.73714742948586554</v>
      </c>
    </row>
    <row r="3689" spans="22:44">
      <c r="V3689">
        <v>3681</v>
      </c>
      <c r="W3689">
        <v>300.74013999700117</v>
      </c>
      <c r="AQ3689">
        <f>SMALL('Iter No Test'!$W$9:$W$5008,3687)</f>
        <v>264.91300719895003</v>
      </c>
      <c r="AR3689">
        <f>1/(COUNT('Iter No Test'!$W$9:$W$5008)-1)+$AR$3688</f>
        <v>0.73734746949386709</v>
      </c>
    </row>
    <row r="3690" spans="22:44">
      <c r="V3690">
        <v>3682</v>
      </c>
      <c r="W3690">
        <v>240.04107050448792</v>
      </c>
      <c r="AQ3690">
        <f>SMALL('Iter No Test'!$W$9:$W$5008,3688)</f>
        <v>265.02472446587308</v>
      </c>
      <c r="AR3690">
        <f>1/(COUNT('Iter No Test'!$W$9:$W$5008)-1)+$AR$3689</f>
        <v>0.73754750950186865</v>
      </c>
    </row>
    <row r="3691" spans="22:44">
      <c r="V3691">
        <v>3683</v>
      </c>
      <c r="W3691">
        <v>194.3334309466164</v>
      </c>
      <c r="AQ3691">
        <f>SMALL('Iter No Test'!$W$9:$W$5008,3689)</f>
        <v>265.04399216495108</v>
      </c>
      <c r="AR3691">
        <f>1/(COUNT('Iter No Test'!$W$9:$W$5008)-1)+$AR$3690</f>
        <v>0.7377475495098702</v>
      </c>
    </row>
    <row r="3692" spans="22:44">
      <c r="V3692">
        <v>3684</v>
      </c>
      <c r="W3692">
        <v>153.30553245729141</v>
      </c>
      <c r="AQ3692">
        <f>SMALL('Iter No Test'!$W$9:$W$5008,3690)</f>
        <v>265.11031590939024</v>
      </c>
      <c r="AR3692">
        <f>1/(COUNT('Iter No Test'!$W$9:$W$5008)-1)+$AR$3691</f>
        <v>0.73794758951787176</v>
      </c>
    </row>
    <row r="3693" spans="22:44">
      <c r="V3693">
        <v>3685</v>
      </c>
      <c r="W3693">
        <v>271.90294488652137</v>
      </c>
      <c r="AQ3693">
        <f>SMALL('Iter No Test'!$W$9:$W$5008,3691)</f>
        <v>265.11821998131461</v>
      </c>
      <c r="AR3693">
        <f>1/(COUNT('Iter No Test'!$W$9:$W$5008)-1)+$AR$3692</f>
        <v>0.73814762952587332</v>
      </c>
    </row>
    <row r="3694" spans="22:44">
      <c r="V3694">
        <v>3686</v>
      </c>
      <c r="W3694">
        <v>123.76747736333019</v>
      </c>
      <c r="AQ3694">
        <f>SMALL('Iter No Test'!$W$9:$W$5008,3692)</f>
        <v>265.15142787408206</v>
      </c>
      <c r="AR3694">
        <f>1/(COUNT('Iter No Test'!$W$9:$W$5008)-1)+$AR$3693</f>
        <v>0.73834766953387487</v>
      </c>
    </row>
    <row r="3695" spans="22:44">
      <c r="V3695">
        <v>3687</v>
      </c>
      <c r="W3695">
        <v>127.53567113884282</v>
      </c>
      <c r="AQ3695">
        <f>SMALL('Iter No Test'!$W$9:$W$5008,3693)</f>
        <v>265.15736386400766</v>
      </c>
      <c r="AR3695">
        <f>1/(COUNT('Iter No Test'!$W$9:$W$5008)-1)+$AR$3694</f>
        <v>0.73854770954187643</v>
      </c>
    </row>
    <row r="3696" spans="22:44">
      <c r="V3696">
        <v>3688</v>
      </c>
      <c r="W3696">
        <v>184.86790343882313</v>
      </c>
      <c r="AQ3696">
        <f>SMALL('Iter No Test'!$W$9:$W$5008,3694)</f>
        <v>265.17636442689246</v>
      </c>
      <c r="AR3696">
        <f>1/(COUNT('Iter No Test'!$W$9:$W$5008)-1)+$AR$3695</f>
        <v>0.73874774954987799</v>
      </c>
    </row>
    <row r="3697" spans="22:44">
      <c r="V3697">
        <v>3689</v>
      </c>
      <c r="W3697">
        <v>180.74989771814296</v>
      </c>
      <c r="AQ3697">
        <f>SMALL('Iter No Test'!$W$9:$W$5008,3695)</f>
        <v>265.22646953460981</v>
      </c>
      <c r="AR3697">
        <f>1/(COUNT('Iter No Test'!$W$9:$W$5008)-1)+$AR$3696</f>
        <v>0.73894778955787954</v>
      </c>
    </row>
    <row r="3698" spans="22:44">
      <c r="V3698">
        <v>3690</v>
      </c>
      <c r="W3698">
        <v>402.95576702967901</v>
      </c>
      <c r="AQ3698">
        <f>SMALL('Iter No Test'!$W$9:$W$5008,3696)</f>
        <v>265.37829722807999</v>
      </c>
      <c r="AR3698">
        <f>1/(COUNT('Iter No Test'!$W$9:$W$5008)-1)+$AR$3697</f>
        <v>0.7391478295658811</v>
      </c>
    </row>
    <row r="3699" spans="22:44">
      <c r="V3699">
        <v>3691</v>
      </c>
      <c r="W3699">
        <v>326.34700259271244</v>
      </c>
      <c r="AQ3699">
        <f>SMALL('Iter No Test'!$W$9:$W$5008,3697)</f>
        <v>265.46083930821555</v>
      </c>
      <c r="AR3699">
        <f>1/(COUNT('Iter No Test'!$W$9:$W$5008)-1)+$AR$3698</f>
        <v>0.73934786957388265</v>
      </c>
    </row>
    <row r="3700" spans="22:44">
      <c r="V3700">
        <v>3692</v>
      </c>
      <c r="W3700">
        <v>108.84364656283941</v>
      </c>
      <c r="AQ3700">
        <f>SMALL('Iter No Test'!$W$9:$W$5008,3698)</f>
        <v>265.56559860471401</v>
      </c>
      <c r="AR3700">
        <f>1/(COUNT('Iter No Test'!$W$9:$W$5008)-1)+$AR$3699</f>
        <v>0.73954790958188421</v>
      </c>
    </row>
    <row r="3701" spans="22:44">
      <c r="V3701">
        <v>3693</v>
      </c>
      <c r="W3701">
        <v>227.86026601193703</v>
      </c>
      <c r="AQ3701">
        <f>SMALL('Iter No Test'!$W$9:$W$5008,3699)</f>
        <v>265.61185796102507</v>
      </c>
      <c r="AR3701">
        <f>1/(COUNT('Iter No Test'!$W$9:$W$5008)-1)+$AR$3700</f>
        <v>0.73974794958988577</v>
      </c>
    </row>
    <row r="3702" spans="22:44">
      <c r="V3702">
        <v>3694</v>
      </c>
      <c r="W3702">
        <v>204.19978630332602</v>
      </c>
      <c r="AQ3702">
        <f>SMALL('Iter No Test'!$W$9:$W$5008,3700)</f>
        <v>265.6538258397307</v>
      </c>
      <c r="AR3702">
        <f>1/(COUNT('Iter No Test'!$W$9:$W$5008)-1)+$AR$3701</f>
        <v>0.73994798959788732</v>
      </c>
    </row>
    <row r="3703" spans="22:44">
      <c r="V3703">
        <v>3695</v>
      </c>
      <c r="W3703">
        <v>292.10427509362012</v>
      </c>
      <c r="AQ3703">
        <f>SMALL('Iter No Test'!$W$9:$W$5008,3701)</f>
        <v>265.70645390748774</v>
      </c>
      <c r="AR3703">
        <f>1/(COUNT('Iter No Test'!$W$9:$W$5008)-1)+$AR$3702</f>
        <v>0.74014802960588888</v>
      </c>
    </row>
    <row r="3704" spans="22:44">
      <c r="V3704">
        <v>3696</v>
      </c>
      <c r="W3704">
        <v>211.88832187116134</v>
      </c>
      <c r="AQ3704">
        <f>SMALL('Iter No Test'!$W$9:$W$5008,3702)</f>
        <v>265.82536716240463</v>
      </c>
      <c r="AR3704">
        <f>1/(COUNT('Iter No Test'!$W$9:$W$5008)-1)+$AR$3703</f>
        <v>0.74034806961389044</v>
      </c>
    </row>
    <row r="3705" spans="22:44">
      <c r="V3705">
        <v>3697</v>
      </c>
      <c r="W3705">
        <v>112.41023236878658</v>
      </c>
      <c r="AQ3705">
        <f>SMALL('Iter No Test'!$W$9:$W$5008,3703)</f>
        <v>265.89218156998595</v>
      </c>
      <c r="AR3705">
        <f>1/(COUNT('Iter No Test'!$W$9:$W$5008)-1)+$AR$3704</f>
        <v>0.74054810962189199</v>
      </c>
    </row>
    <row r="3706" spans="22:44">
      <c r="V3706">
        <v>3698</v>
      </c>
      <c r="W3706">
        <v>250.03112534311143</v>
      </c>
      <c r="AQ3706">
        <f>SMALL('Iter No Test'!$W$9:$W$5008,3704)</f>
        <v>265.90855020916945</v>
      </c>
      <c r="AR3706">
        <f>1/(COUNT('Iter No Test'!$W$9:$W$5008)-1)+$AR$3705</f>
        <v>0.74074814962989355</v>
      </c>
    </row>
    <row r="3707" spans="22:44">
      <c r="V3707">
        <v>3699</v>
      </c>
      <c r="W3707">
        <v>355.1312341389156</v>
      </c>
      <c r="AQ3707">
        <f>SMALL('Iter No Test'!$W$9:$W$5008,3705)</f>
        <v>265.91416704503695</v>
      </c>
      <c r="AR3707">
        <f>1/(COUNT('Iter No Test'!$W$9:$W$5008)-1)+$AR$3706</f>
        <v>0.7409481896378951</v>
      </c>
    </row>
    <row r="3708" spans="22:44">
      <c r="V3708">
        <v>3700</v>
      </c>
      <c r="W3708">
        <v>100.41005796039634</v>
      </c>
      <c r="AQ3708">
        <f>SMALL('Iter No Test'!$W$9:$W$5008,3706)</f>
        <v>265.94748999292381</v>
      </c>
      <c r="AR3708">
        <f>1/(COUNT('Iter No Test'!$W$9:$W$5008)-1)+$AR$3707</f>
        <v>0.74114822964589666</v>
      </c>
    </row>
    <row r="3709" spans="22:44">
      <c r="V3709">
        <v>3701</v>
      </c>
      <c r="W3709">
        <v>194.06841067314568</v>
      </c>
      <c r="AQ3709">
        <f>SMALL('Iter No Test'!$W$9:$W$5008,3707)</f>
        <v>266.06668543500825</v>
      </c>
      <c r="AR3709">
        <f>1/(COUNT('Iter No Test'!$W$9:$W$5008)-1)+$AR$3708</f>
        <v>0.74134826965389822</v>
      </c>
    </row>
    <row r="3710" spans="22:44">
      <c r="V3710">
        <v>3702</v>
      </c>
      <c r="W3710">
        <v>270.68482850665305</v>
      </c>
      <c r="AQ3710">
        <f>SMALL('Iter No Test'!$W$9:$W$5008,3708)</f>
        <v>266.09480877998413</v>
      </c>
      <c r="AR3710">
        <f>1/(COUNT('Iter No Test'!$W$9:$W$5008)-1)+$AR$3709</f>
        <v>0.74154830966189977</v>
      </c>
    </row>
    <row r="3711" spans="22:44">
      <c r="V3711">
        <v>3703</v>
      </c>
      <c r="W3711">
        <v>150.38803327057173</v>
      </c>
      <c r="AQ3711">
        <f>SMALL('Iter No Test'!$W$9:$W$5008,3709)</f>
        <v>266.11947682909522</v>
      </c>
      <c r="AR3711">
        <f>1/(COUNT('Iter No Test'!$W$9:$W$5008)-1)+$AR$3710</f>
        <v>0.74174834966990133</v>
      </c>
    </row>
    <row r="3712" spans="22:44">
      <c r="V3712">
        <v>3704</v>
      </c>
      <c r="W3712">
        <v>213.51427631712198</v>
      </c>
      <c r="AQ3712">
        <f>SMALL('Iter No Test'!$W$9:$W$5008,3710)</f>
        <v>266.29493220654706</v>
      </c>
      <c r="AR3712">
        <f>1/(COUNT('Iter No Test'!$W$9:$W$5008)-1)+$AR$3711</f>
        <v>0.74194838967790289</v>
      </c>
    </row>
    <row r="3713" spans="22:44">
      <c r="V3713">
        <v>3705</v>
      </c>
      <c r="W3713">
        <v>329.96862126914618</v>
      </c>
      <c r="AQ3713">
        <f>SMALL('Iter No Test'!$W$9:$W$5008,3711)</f>
        <v>266.36315976322828</v>
      </c>
      <c r="AR3713">
        <f>1/(COUNT('Iter No Test'!$W$9:$W$5008)-1)+$AR$3712</f>
        <v>0.74214842968590444</v>
      </c>
    </row>
    <row r="3714" spans="22:44">
      <c r="V3714">
        <v>3706</v>
      </c>
      <c r="W3714">
        <v>197.18886179590044</v>
      </c>
      <c r="AQ3714">
        <f>SMALL('Iter No Test'!$W$9:$W$5008,3712)</f>
        <v>266.40676180203764</v>
      </c>
      <c r="AR3714">
        <f>1/(COUNT('Iter No Test'!$W$9:$W$5008)-1)+$AR$3713</f>
        <v>0.742348469693906</v>
      </c>
    </row>
    <row r="3715" spans="22:44">
      <c r="V3715">
        <v>3707</v>
      </c>
      <c r="W3715">
        <v>194.2728844415802</v>
      </c>
      <c r="AQ3715">
        <f>SMALL('Iter No Test'!$W$9:$W$5008,3713)</f>
        <v>266.45930257124184</v>
      </c>
      <c r="AR3715">
        <f>1/(COUNT('Iter No Test'!$W$9:$W$5008)-1)+$AR$3714</f>
        <v>0.74254850970190756</v>
      </c>
    </row>
    <row r="3716" spans="22:44">
      <c r="V3716">
        <v>3708</v>
      </c>
      <c r="W3716">
        <v>196.39952438306281</v>
      </c>
      <c r="AQ3716">
        <f>SMALL('Iter No Test'!$W$9:$W$5008,3714)</f>
        <v>266.52086166517722</v>
      </c>
      <c r="AR3716">
        <f>1/(COUNT('Iter No Test'!$W$9:$W$5008)-1)+$AR$3715</f>
        <v>0.74274854970990911</v>
      </c>
    </row>
    <row r="3717" spans="22:44">
      <c r="V3717">
        <v>3709</v>
      </c>
      <c r="W3717">
        <v>198.13355616048077</v>
      </c>
      <c r="AQ3717">
        <f>SMALL('Iter No Test'!$W$9:$W$5008,3715)</f>
        <v>266.55735645242947</v>
      </c>
      <c r="AR3717">
        <f>1/(COUNT('Iter No Test'!$W$9:$W$5008)-1)+$AR$3716</f>
        <v>0.74294858971791067</v>
      </c>
    </row>
    <row r="3718" spans="22:44">
      <c r="V3718">
        <v>3710</v>
      </c>
      <c r="W3718">
        <v>158.36505819651404</v>
      </c>
      <c r="AQ3718">
        <f>SMALL('Iter No Test'!$W$9:$W$5008,3716)</f>
        <v>266.62700723858035</v>
      </c>
      <c r="AR3718">
        <f>1/(COUNT('Iter No Test'!$W$9:$W$5008)-1)+$AR$3717</f>
        <v>0.74314862972591222</v>
      </c>
    </row>
    <row r="3719" spans="22:44">
      <c r="V3719">
        <v>3711</v>
      </c>
      <c r="W3719">
        <v>317.33196531182813</v>
      </c>
      <c r="AQ3719">
        <f>SMALL('Iter No Test'!$W$9:$W$5008,3717)</f>
        <v>266.66402130048448</v>
      </c>
      <c r="AR3719">
        <f>1/(COUNT('Iter No Test'!$W$9:$W$5008)-1)+$AR$3718</f>
        <v>0.74334866973391378</v>
      </c>
    </row>
    <row r="3720" spans="22:44">
      <c r="V3720">
        <v>3712</v>
      </c>
      <c r="W3720">
        <v>163.24490375316276</v>
      </c>
      <c r="AQ3720">
        <f>SMALL('Iter No Test'!$W$9:$W$5008,3718)</f>
        <v>266.70474973839748</v>
      </c>
      <c r="AR3720">
        <f>1/(COUNT('Iter No Test'!$W$9:$W$5008)-1)+$AR$3719</f>
        <v>0.74354870974191534</v>
      </c>
    </row>
    <row r="3721" spans="22:44">
      <c r="V3721">
        <v>3713</v>
      </c>
      <c r="W3721">
        <v>210.29516301611591</v>
      </c>
      <c r="AQ3721">
        <f>SMALL('Iter No Test'!$W$9:$W$5008,3719)</f>
        <v>266.75629400961941</v>
      </c>
      <c r="AR3721">
        <f>1/(COUNT('Iter No Test'!$W$9:$W$5008)-1)+$AR$3720</f>
        <v>0.74374874974991689</v>
      </c>
    </row>
    <row r="3722" spans="22:44">
      <c r="V3722">
        <v>3714</v>
      </c>
      <c r="W3722">
        <v>171.81630789312024</v>
      </c>
      <c r="AQ3722">
        <f>SMALL('Iter No Test'!$W$9:$W$5008,3720)</f>
        <v>266.7715169849227</v>
      </c>
      <c r="AR3722">
        <f>1/(COUNT('Iter No Test'!$W$9:$W$5008)-1)+$AR$3721</f>
        <v>0.74394878975791845</v>
      </c>
    </row>
    <row r="3723" spans="22:44">
      <c r="V3723">
        <v>3715</v>
      </c>
      <c r="W3723">
        <v>243.16380634270388</v>
      </c>
      <c r="AQ3723">
        <f>SMALL('Iter No Test'!$W$9:$W$5008,3721)</f>
        <v>266.79311497147575</v>
      </c>
      <c r="AR3723">
        <f>1/(COUNT('Iter No Test'!$W$9:$W$5008)-1)+$AR$3722</f>
        <v>0.74414882976592001</v>
      </c>
    </row>
    <row r="3724" spans="22:44">
      <c r="V3724">
        <v>3716</v>
      </c>
      <c r="W3724">
        <v>370.90133305676807</v>
      </c>
      <c r="AQ3724">
        <f>SMALL('Iter No Test'!$W$9:$W$5008,3722)</f>
        <v>266.84381636249014</v>
      </c>
      <c r="AR3724">
        <f>1/(COUNT('Iter No Test'!$W$9:$W$5008)-1)+$AR$3723</f>
        <v>0.74434886977392156</v>
      </c>
    </row>
    <row r="3725" spans="22:44">
      <c r="V3725">
        <v>3717</v>
      </c>
      <c r="W3725">
        <v>306.74630640079306</v>
      </c>
      <c r="AQ3725">
        <f>SMALL('Iter No Test'!$W$9:$W$5008,3723)</f>
        <v>266.9730942664695</v>
      </c>
      <c r="AR3725">
        <f>1/(COUNT('Iter No Test'!$W$9:$W$5008)-1)+$AR$3724</f>
        <v>0.74454890978192312</v>
      </c>
    </row>
    <row r="3726" spans="22:44">
      <c r="V3726">
        <v>3718</v>
      </c>
      <c r="W3726">
        <v>411.23529531336806</v>
      </c>
      <c r="AQ3726">
        <f>SMALL('Iter No Test'!$W$9:$W$5008,3724)</f>
        <v>267.070375674145</v>
      </c>
      <c r="AR3726">
        <f>1/(COUNT('Iter No Test'!$W$9:$W$5008)-1)+$AR$3725</f>
        <v>0.74474894978992467</v>
      </c>
    </row>
    <row r="3727" spans="22:44">
      <c r="V3727">
        <v>3719</v>
      </c>
      <c r="W3727">
        <v>85.862485367538625</v>
      </c>
      <c r="AQ3727">
        <f>SMALL('Iter No Test'!$W$9:$W$5008,3725)</f>
        <v>267.15025976776462</v>
      </c>
      <c r="AR3727">
        <f>1/(COUNT('Iter No Test'!$W$9:$W$5008)-1)+$AR$3726</f>
        <v>0.74494898979792623</v>
      </c>
    </row>
    <row r="3728" spans="22:44">
      <c r="V3728">
        <v>3720</v>
      </c>
      <c r="W3728">
        <v>145.54691615590252</v>
      </c>
      <c r="AQ3728">
        <f>SMALL('Iter No Test'!$W$9:$W$5008,3726)</f>
        <v>267.25327297093713</v>
      </c>
      <c r="AR3728">
        <f>1/(COUNT('Iter No Test'!$W$9:$W$5008)-1)+$AR$3727</f>
        <v>0.74514902980592779</v>
      </c>
    </row>
    <row r="3729" spans="22:44">
      <c r="V3729">
        <v>3721</v>
      </c>
      <c r="W3729">
        <v>279.82991715886374</v>
      </c>
      <c r="AQ3729">
        <f>SMALL('Iter No Test'!$W$9:$W$5008,3727)</f>
        <v>267.27746257336997</v>
      </c>
      <c r="AR3729">
        <f>1/(COUNT('Iter No Test'!$W$9:$W$5008)-1)+$AR$3728</f>
        <v>0.74534906981392934</v>
      </c>
    </row>
    <row r="3730" spans="22:44">
      <c r="V3730">
        <v>3722</v>
      </c>
      <c r="W3730">
        <v>95.677188325463504</v>
      </c>
      <c r="AQ3730">
        <f>SMALL('Iter No Test'!$W$9:$W$5008,3728)</f>
        <v>267.30892254565248</v>
      </c>
      <c r="AR3730">
        <f>1/(COUNT('Iter No Test'!$W$9:$W$5008)-1)+$AR$3729</f>
        <v>0.7455491098219309</v>
      </c>
    </row>
    <row r="3731" spans="22:44">
      <c r="V3731">
        <v>3723</v>
      </c>
      <c r="W3731">
        <v>149.48055563649285</v>
      </c>
      <c r="AQ3731">
        <f>SMALL('Iter No Test'!$W$9:$W$5008,3729)</f>
        <v>267.46514793232393</v>
      </c>
      <c r="AR3731">
        <f>1/(COUNT('Iter No Test'!$W$9:$W$5008)-1)+$AR$3730</f>
        <v>0.74574914982993246</v>
      </c>
    </row>
    <row r="3732" spans="22:44">
      <c r="V3732">
        <v>3724</v>
      </c>
      <c r="W3732">
        <v>284.76630967349843</v>
      </c>
      <c r="AQ3732">
        <f>SMALL('Iter No Test'!$W$9:$W$5008,3730)</f>
        <v>267.58538187711662</v>
      </c>
      <c r="AR3732">
        <f>1/(COUNT('Iter No Test'!$W$9:$W$5008)-1)+$AR$3731</f>
        <v>0.74594918983793401</v>
      </c>
    </row>
    <row r="3733" spans="22:44">
      <c r="V3733">
        <v>3725</v>
      </c>
      <c r="W3733">
        <v>185.70202567284753</v>
      </c>
      <c r="AQ3733">
        <f>SMALL('Iter No Test'!$W$9:$W$5008,3731)</f>
        <v>267.64144767380162</v>
      </c>
      <c r="AR3733">
        <f>1/(COUNT('Iter No Test'!$W$9:$W$5008)-1)+$AR$3732</f>
        <v>0.74614922984593557</v>
      </c>
    </row>
    <row r="3734" spans="22:44">
      <c r="V3734">
        <v>3726</v>
      </c>
      <c r="W3734">
        <v>120.50762022398868</v>
      </c>
      <c r="AQ3734">
        <f>SMALL('Iter No Test'!$W$9:$W$5008,3732)</f>
        <v>267.76186996134265</v>
      </c>
      <c r="AR3734">
        <f>1/(COUNT('Iter No Test'!$W$9:$W$5008)-1)+$AR$3733</f>
        <v>0.74634926985393713</v>
      </c>
    </row>
    <row r="3735" spans="22:44">
      <c r="V3735">
        <v>3727</v>
      </c>
      <c r="W3735">
        <v>346.02213978594307</v>
      </c>
      <c r="AQ3735">
        <f>SMALL('Iter No Test'!$W$9:$W$5008,3733)</f>
        <v>267.84199282565794</v>
      </c>
      <c r="AR3735">
        <f>1/(COUNT('Iter No Test'!$W$9:$W$5008)-1)+$AR$3734</f>
        <v>0.74654930986193868</v>
      </c>
    </row>
    <row r="3736" spans="22:44">
      <c r="V3736">
        <v>3728</v>
      </c>
      <c r="W3736">
        <v>402.80907278935695</v>
      </c>
      <c r="AQ3736">
        <f>SMALL('Iter No Test'!$W$9:$W$5008,3734)</f>
        <v>267.86054380236294</v>
      </c>
      <c r="AR3736">
        <f>1/(COUNT('Iter No Test'!$W$9:$W$5008)-1)+$AR$3735</f>
        <v>0.74674934986994024</v>
      </c>
    </row>
    <row r="3737" spans="22:44">
      <c r="V3737">
        <v>3729</v>
      </c>
      <c r="W3737">
        <v>235.77031483681893</v>
      </c>
      <c r="AQ3737">
        <f>SMALL('Iter No Test'!$W$9:$W$5008,3735)</f>
        <v>267.87116777126278</v>
      </c>
      <c r="AR3737">
        <f>1/(COUNT('Iter No Test'!$W$9:$W$5008)-1)+$AR$3736</f>
        <v>0.74694938987794179</v>
      </c>
    </row>
    <row r="3738" spans="22:44">
      <c r="V3738">
        <v>3730</v>
      </c>
      <c r="W3738">
        <v>153.21351739755605</v>
      </c>
      <c r="AQ3738">
        <f>SMALL('Iter No Test'!$W$9:$W$5008,3736)</f>
        <v>268.01673595852543</v>
      </c>
      <c r="AR3738">
        <f>1/(COUNT('Iter No Test'!$W$9:$W$5008)-1)+$AR$3737</f>
        <v>0.74714942988594335</v>
      </c>
    </row>
    <row r="3739" spans="22:44">
      <c r="V3739">
        <v>3731</v>
      </c>
      <c r="W3739">
        <v>145.28219216485294</v>
      </c>
      <c r="AQ3739">
        <f>SMALL('Iter No Test'!$W$9:$W$5008,3737)</f>
        <v>268.06481183886547</v>
      </c>
      <c r="AR3739">
        <f>1/(COUNT('Iter No Test'!$W$9:$W$5008)-1)+$AR$3738</f>
        <v>0.74734946989394491</v>
      </c>
    </row>
    <row r="3740" spans="22:44">
      <c r="V3740">
        <v>3732</v>
      </c>
      <c r="W3740">
        <v>196.53008569275454</v>
      </c>
      <c r="AQ3740">
        <f>SMALL('Iter No Test'!$W$9:$W$5008,3738)</f>
        <v>268.12474230618733</v>
      </c>
      <c r="AR3740">
        <f>1/(COUNT('Iter No Test'!$W$9:$W$5008)-1)+$AR$3739</f>
        <v>0.74754950990194646</v>
      </c>
    </row>
    <row r="3741" spans="22:44">
      <c r="V3741">
        <v>3733</v>
      </c>
      <c r="W3741">
        <v>256.78151996966108</v>
      </c>
      <c r="AQ3741">
        <f>SMALL('Iter No Test'!$W$9:$W$5008,3739)</f>
        <v>268.13853663745942</v>
      </c>
      <c r="AR3741">
        <f>1/(COUNT('Iter No Test'!$W$9:$W$5008)-1)+$AR$3740</f>
        <v>0.74774954990994802</v>
      </c>
    </row>
    <row r="3742" spans="22:44">
      <c r="V3742">
        <v>3734</v>
      </c>
      <c r="W3742">
        <v>181.23979682337782</v>
      </c>
      <c r="AQ3742">
        <f>SMALL('Iter No Test'!$W$9:$W$5008,3740)</f>
        <v>268.24853772801737</v>
      </c>
      <c r="AR3742">
        <f>1/(COUNT('Iter No Test'!$W$9:$W$5008)-1)+$AR$3741</f>
        <v>0.74794958991794958</v>
      </c>
    </row>
    <row r="3743" spans="22:44">
      <c r="V3743">
        <v>3735</v>
      </c>
      <c r="W3743">
        <v>157.96355002882873</v>
      </c>
      <c r="AQ3743">
        <f>SMALL('Iter No Test'!$W$9:$W$5008,3741)</f>
        <v>268.27752288440161</v>
      </c>
      <c r="AR3743">
        <f>1/(COUNT('Iter No Test'!$W$9:$W$5008)-1)+$AR$3742</f>
        <v>0.74814962992595113</v>
      </c>
    </row>
    <row r="3744" spans="22:44">
      <c r="V3744">
        <v>3736</v>
      </c>
      <c r="W3744">
        <v>108.74684354734038</v>
      </c>
      <c r="AQ3744">
        <f>SMALL('Iter No Test'!$W$9:$W$5008,3742)</f>
        <v>268.34742337989314</v>
      </c>
      <c r="AR3744">
        <f>1/(COUNT('Iter No Test'!$W$9:$W$5008)-1)+$AR$3743</f>
        <v>0.74834966993395269</v>
      </c>
    </row>
    <row r="3745" spans="22:44">
      <c r="V3745">
        <v>3737</v>
      </c>
      <c r="W3745">
        <v>311.74758638759647</v>
      </c>
      <c r="AQ3745">
        <f>SMALL('Iter No Test'!$W$9:$W$5008,3743)</f>
        <v>268.37589870705011</v>
      </c>
      <c r="AR3745">
        <f>1/(COUNT('Iter No Test'!$W$9:$W$5008)-1)+$AR$3744</f>
        <v>0.74854970994195424</v>
      </c>
    </row>
    <row r="3746" spans="22:44">
      <c r="V3746">
        <v>3738</v>
      </c>
      <c r="W3746">
        <v>194.75741205484752</v>
      </c>
      <c r="AQ3746">
        <f>SMALL('Iter No Test'!$W$9:$W$5008,3744)</f>
        <v>268.42667594796507</v>
      </c>
      <c r="AR3746">
        <f>1/(COUNT('Iter No Test'!$W$9:$W$5008)-1)+$AR$3745</f>
        <v>0.7487497499499558</v>
      </c>
    </row>
    <row r="3747" spans="22:44">
      <c r="V3747">
        <v>3739</v>
      </c>
      <c r="W3747">
        <v>130.90385860843975</v>
      </c>
      <c r="AQ3747">
        <f>SMALL('Iter No Test'!$W$9:$W$5008,3745)</f>
        <v>268.59903468992172</v>
      </c>
      <c r="AR3747">
        <f>1/(COUNT('Iter No Test'!$W$9:$W$5008)-1)+$AR$3746</f>
        <v>0.74894978995795736</v>
      </c>
    </row>
    <row r="3748" spans="22:44">
      <c r="V3748">
        <v>3740</v>
      </c>
      <c r="W3748">
        <v>148.36907365108314</v>
      </c>
      <c r="AQ3748">
        <f>SMALL('Iter No Test'!$W$9:$W$5008,3746)</f>
        <v>268.72438750365063</v>
      </c>
      <c r="AR3748">
        <f>1/(COUNT('Iter No Test'!$W$9:$W$5008)-1)+$AR$3747</f>
        <v>0.74914982996595891</v>
      </c>
    </row>
    <row r="3749" spans="22:44">
      <c r="V3749">
        <v>3741</v>
      </c>
      <c r="W3749">
        <v>169.41153535434793</v>
      </c>
      <c r="AQ3749">
        <f>SMALL('Iter No Test'!$W$9:$W$5008,3747)</f>
        <v>268.8040547365556</v>
      </c>
      <c r="AR3749">
        <f>1/(COUNT('Iter No Test'!$W$9:$W$5008)-1)+$AR$3748</f>
        <v>0.74934986997396047</v>
      </c>
    </row>
    <row r="3750" spans="22:44">
      <c r="V3750">
        <v>3742</v>
      </c>
      <c r="W3750">
        <v>176.63633568530088</v>
      </c>
      <c r="AQ3750">
        <f>SMALL('Iter No Test'!$W$9:$W$5008,3748)</f>
        <v>268.83955973734771</v>
      </c>
      <c r="AR3750">
        <f>1/(COUNT('Iter No Test'!$W$9:$W$5008)-1)+$AR$3749</f>
        <v>0.74954990998196203</v>
      </c>
    </row>
    <row r="3751" spans="22:44">
      <c r="V3751">
        <v>3743</v>
      </c>
      <c r="W3751">
        <v>232.43786231358322</v>
      </c>
      <c r="AQ3751">
        <f>SMALL('Iter No Test'!$W$9:$W$5008,3749)</f>
        <v>268.90286189041183</v>
      </c>
      <c r="AR3751">
        <f>1/(COUNT('Iter No Test'!$W$9:$W$5008)-1)+$AR$3750</f>
        <v>0.74974994998996358</v>
      </c>
    </row>
    <row r="3752" spans="22:44">
      <c r="V3752">
        <v>3744</v>
      </c>
      <c r="W3752">
        <v>73.622200088908301</v>
      </c>
      <c r="AQ3752">
        <f>SMALL('Iter No Test'!$W$9:$W$5008,3750)</f>
        <v>268.96298089806794</v>
      </c>
      <c r="AR3752">
        <f>1/(COUNT('Iter No Test'!$W$9:$W$5008)-1)+$AR$3751</f>
        <v>0.74994998999796514</v>
      </c>
    </row>
    <row r="3753" spans="22:44">
      <c r="V3753">
        <v>3745</v>
      </c>
      <c r="W3753">
        <v>72.249310060488483</v>
      </c>
      <c r="AQ3753">
        <f>SMALL('Iter No Test'!$W$9:$W$5008,3751)</f>
        <v>269.00132732799693</v>
      </c>
      <c r="AR3753">
        <f>1/(COUNT('Iter No Test'!$W$9:$W$5008)-1)+$AR$3752</f>
        <v>0.75015003000596669</v>
      </c>
    </row>
    <row r="3754" spans="22:44">
      <c r="V3754">
        <v>3746</v>
      </c>
      <c r="W3754">
        <v>271.07106129735303</v>
      </c>
      <c r="AQ3754">
        <f>SMALL('Iter No Test'!$W$9:$W$5008,3752)</f>
        <v>269.03776478407241</v>
      </c>
      <c r="AR3754">
        <f>1/(COUNT('Iter No Test'!$W$9:$W$5008)-1)+$AR$3753</f>
        <v>0.75035007001396825</v>
      </c>
    </row>
    <row r="3755" spans="22:44">
      <c r="V3755">
        <v>3747</v>
      </c>
      <c r="W3755">
        <v>169.34448796857095</v>
      </c>
      <c r="AQ3755">
        <f>SMALL('Iter No Test'!$W$9:$W$5008,3753)</f>
        <v>269.04144562647718</v>
      </c>
      <c r="AR3755">
        <f>1/(COUNT('Iter No Test'!$W$9:$W$5008)-1)+$AR$3754</f>
        <v>0.75055011002196981</v>
      </c>
    </row>
    <row r="3756" spans="22:44">
      <c r="V3756">
        <v>3748</v>
      </c>
      <c r="W3756">
        <v>421.59721691228589</v>
      </c>
      <c r="AQ3756">
        <f>SMALL('Iter No Test'!$W$9:$W$5008,3754)</f>
        <v>269.05879404474541</v>
      </c>
      <c r="AR3756">
        <f>1/(COUNT('Iter No Test'!$W$9:$W$5008)-1)+$AR$3755</f>
        <v>0.75075015002997136</v>
      </c>
    </row>
    <row r="3757" spans="22:44">
      <c r="V3757">
        <v>3749</v>
      </c>
      <c r="W3757">
        <v>133.57184797972201</v>
      </c>
      <c r="AQ3757">
        <f>SMALL('Iter No Test'!$W$9:$W$5008,3755)</f>
        <v>269.07606757982387</v>
      </c>
      <c r="AR3757">
        <f>1/(COUNT('Iter No Test'!$W$9:$W$5008)-1)+$AR$3756</f>
        <v>0.75095019003797292</v>
      </c>
    </row>
    <row r="3758" spans="22:44">
      <c r="V3758">
        <v>3750</v>
      </c>
      <c r="W3758">
        <v>227.26322534904617</v>
      </c>
      <c r="AQ3758">
        <f>SMALL('Iter No Test'!$W$9:$W$5008,3756)</f>
        <v>269.13624558660649</v>
      </c>
      <c r="AR3758">
        <f>1/(COUNT('Iter No Test'!$W$9:$W$5008)-1)+$AR$3757</f>
        <v>0.75115023004597448</v>
      </c>
    </row>
    <row r="3759" spans="22:44">
      <c r="V3759">
        <v>3751</v>
      </c>
      <c r="W3759">
        <v>288.44330654825114</v>
      </c>
      <c r="AQ3759">
        <f>SMALL('Iter No Test'!$W$9:$W$5008,3757)</f>
        <v>269.16436238820052</v>
      </c>
      <c r="AR3759">
        <f>1/(COUNT('Iter No Test'!$W$9:$W$5008)-1)+$AR$3758</f>
        <v>0.75135027005397603</v>
      </c>
    </row>
    <row r="3760" spans="22:44">
      <c r="V3760">
        <v>3752</v>
      </c>
      <c r="W3760">
        <v>391.46319165954912</v>
      </c>
      <c r="AQ3760">
        <f>SMALL('Iter No Test'!$W$9:$W$5008,3758)</f>
        <v>269.26458429181264</v>
      </c>
      <c r="AR3760">
        <f>1/(COUNT('Iter No Test'!$W$9:$W$5008)-1)+$AR$3759</f>
        <v>0.75155031006197759</v>
      </c>
    </row>
    <row r="3761" spans="22:44">
      <c r="V3761">
        <v>3753</v>
      </c>
      <c r="W3761">
        <v>273.54913200013641</v>
      </c>
      <c r="AQ3761">
        <f>SMALL('Iter No Test'!$W$9:$W$5008,3759)</f>
        <v>269.27766664557339</v>
      </c>
      <c r="AR3761">
        <f>1/(COUNT('Iter No Test'!$W$9:$W$5008)-1)+$AR$3760</f>
        <v>0.75175035006997915</v>
      </c>
    </row>
    <row r="3762" spans="22:44">
      <c r="V3762">
        <v>3754</v>
      </c>
      <c r="W3762">
        <v>198.05213372756063</v>
      </c>
      <c r="AQ3762">
        <f>SMALL('Iter No Test'!$W$9:$W$5008,3760)</f>
        <v>269.29910537844563</v>
      </c>
      <c r="AR3762">
        <f>1/(COUNT('Iter No Test'!$W$9:$W$5008)-1)+$AR$3761</f>
        <v>0.7519503900779807</v>
      </c>
    </row>
    <row r="3763" spans="22:44">
      <c r="V3763">
        <v>3755</v>
      </c>
      <c r="W3763">
        <v>205.13519483508585</v>
      </c>
      <c r="AQ3763">
        <f>SMALL('Iter No Test'!$W$9:$W$5008,3761)</f>
        <v>269.33307960765546</v>
      </c>
      <c r="AR3763">
        <f>1/(COUNT('Iter No Test'!$W$9:$W$5008)-1)+$AR$3762</f>
        <v>0.75215043008598226</v>
      </c>
    </row>
    <row r="3764" spans="22:44">
      <c r="V3764">
        <v>3756</v>
      </c>
      <c r="W3764">
        <v>318.06944672924374</v>
      </c>
      <c r="AQ3764">
        <f>SMALL('Iter No Test'!$W$9:$W$5008,3762)</f>
        <v>269.42917022297627</v>
      </c>
      <c r="AR3764">
        <f>1/(COUNT('Iter No Test'!$W$9:$W$5008)-1)+$AR$3763</f>
        <v>0.75235047009398381</v>
      </c>
    </row>
    <row r="3765" spans="22:44">
      <c r="V3765">
        <v>3757</v>
      </c>
      <c r="W3765">
        <v>257.79007209976965</v>
      </c>
      <c r="AQ3765">
        <f>SMALL('Iter No Test'!$W$9:$W$5008,3763)</f>
        <v>269.57917466648007</v>
      </c>
      <c r="AR3765">
        <f>1/(COUNT('Iter No Test'!$W$9:$W$5008)-1)+$AR$3764</f>
        <v>0.75255051010198537</v>
      </c>
    </row>
    <row r="3766" spans="22:44">
      <c r="V3766">
        <v>3758</v>
      </c>
      <c r="W3766">
        <v>327.57740870435833</v>
      </c>
      <c r="AQ3766">
        <f>SMALL('Iter No Test'!$W$9:$W$5008,3764)</f>
        <v>269.64461803336076</v>
      </c>
      <c r="AR3766">
        <f>1/(COUNT('Iter No Test'!$W$9:$W$5008)-1)+$AR$3765</f>
        <v>0.75275055010998693</v>
      </c>
    </row>
    <row r="3767" spans="22:44">
      <c r="V3767">
        <v>3759</v>
      </c>
      <c r="W3767">
        <v>188.61123744041342</v>
      </c>
      <c r="AQ3767">
        <f>SMALL('Iter No Test'!$W$9:$W$5008,3765)</f>
        <v>269.77494692177135</v>
      </c>
      <c r="AR3767">
        <f>1/(COUNT('Iter No Test'!$W$9:$W$5008)-1)+$AR$3766</f>
        <v>0.75295059011798848</v>
      </c>
    </row>
    <row r="3768" spans="22:44">
      <c r="V3768">
        <v>3760</v>
      </c>
      <c r="W3768">
        <v>253.47851719366412</v>
      </c>
      <c r="AQ3768">
        <f>SMALL('Iter No Test'!$W$9:$W$5008,3766)</f>
        <v>269.8019114945447</v>
      </c>
      <c r="AR3768">
        <f>1/(COUNT('Iter No Test'!$W$9:$W$5008)-1)+$AR$3767</f>
        <v>0.75315063012599004</v>
      </c>
    </row>
    <row r="3769" spans="22:44">
      <c r="V3769">
        <v>3761</v>
      </c>
      <c r="W3769">
        <v>154.51951610412425</v>
      </c>
      <c r="AQ3769">
        <f>SMALL('Iter No Test'!$W$9:$W$5008,3767)</f>
        <v>269.81874932581002</v>
      </c>
      <c r="AR3769">
        <f>1/(COUNT('Iter No Test'!$W$9:$W$5008)-1)+$AR$3768</f>
        <v>0.7533506701339916</v>
      </c>
    </row>
    <row r="3770" spans="22:44">
      <c r="V3770">
        <v>3762</v>
      </c>
      <c r="W3770">
        <v>311.32446447762453</v>
      </c>
      <c r="AQ3770">
        <f>SMALL('Iter No Test'!$W$9:$W$5008,3768)</f>
        <v>270.06045045865767</v>
      </c>
      <c r="AR3770">
        <f>1/(COUNT('Iter No Test'!$W$9:$W$5008)-1)+$AR$3769</f>
        <v>0.75355071014199315</v>
      </c>
    </row>
    <row r="3771" spans="22:44">
      <c r="V3771">
        <v>3763</v>
      </c>
      <c r="W3771">
        <v>246.77796485868984</v>
      </c>
      <c r="AQ3771">
        <f>SMALL('Iter No Test'!$W$9:$W$5008,3769)</f>
        <v>270.12968984618499</v>
      </c>
      <c r="AR3771">
        <f>1/(COUNT('Iter No Test'!$W$9:$W$5008)-1)+$AR$3770</f>
        <v>0.75375075014999471</v>
      </c>
    </row>
    <row r="3772" spans="22:44">
      <c r="V3772">
        <v>3764</v>
      </c>
      <c r="W3772">
        <v>183.95131546241606</v>
      </c>
      <c r="AQ3772">
        <f>SMALL('Iter No Test'!$W$9:$W$5008,3770)</f>
        <v>270.14307426540677</v>
      </c>
      <c r="AR3772">
        <f>1/(COUNT('Iter No Test'!$W$9:$W$5008)-1)+$AR$3771</f>
        <v>0.75395079015799626</v>
      </c>
    </row>
    <row r="3773" spans="22:44">
      <c r="V3773">
        <v>3765</v>
      </c>
      <c r="W3773">
        <v>386.97024004812215</v>
      </c>
      <c r="AQ3773">
        <f>SMALL('Iter No Test'!$W$9:$W$5008,3771)</f>
        <v>270.18729502705366</v>
      </c>
      <c r="AR3773">
        <f>1/(COUNT('Iter No Test'!$W$9:$W$5008)-1)+$AR$3772</f>
        <v>0.75415083016599782</v>
      </c>
    </row>
    <row r="3774" spans="22:44">
      <c r="V3774">
        <v>3766</v>
      </c>
      <c r="W3774">
        <v>307.55844952432926</v>
      </c>
      <c r="AQ3774">
        <f>SMALL('Iter No Test'!$W$9:$W$5008,3772)</f>
        <v>270.23500502138813</v>
      </c>
      <c r="AR3774">
        <f>1/(COUNT('Iter No Test'!$W$9:$W$5008)-1)+$AR$3773</f>
        <v>0.75435087017399938</v>
      </c>
    </row>
    <row r="3775" spans="22:44">
      <c r="V3775">
        <v>3767</v>
      </c>
      <c r="W3775">
        <v>192.26320903728018</v>
      </c>
      <c r="AQ3775">
        <f>SMALL('Iter No Test'!$W$9:$W$5008,3773)</f>
        <v>270.27856638003334</v>
      </c>
      <c r="AR3775">
        <f>1/(COUNT('Iter No Test'!$W$9:$W$5008)-1)+$AR$3774</f>
        <v>0.75455091018200093</v>
      </c>
    </row>
    <row r="3776" spans="22:44">
      <c r="V3776">
        <v>3768</v>
      </c>
      <c r="W3776">
        <v>302.80243894991781</v>
      </c>
      <c r="AQ3776">
        <f>SMALL('Iter No Test'!$W$9:$W$5008,3774)</f>
        <v>270.31099278148326</v>
      </c>
      <c r="AR3776">
        <f>1/(COUNT('Iter No Test'!$W$9:$W$5008)-1)+$AR$3775</f>
        <v>0.75475095019000249</v>
      </c>
    </row>
    <row r="3777" spans="22:44">
      <c r="V3777">
        <v>3769</v>
      </c>
      <c r="W3777">
        <v>237.12151365663837</v>
      </c>
      <c r="AQ3777">
        <f>SMALL('Iter No Test'!$W$9:$W$5008,3775)</f>
        <v>270.32104083331598</v>
      </c>
      <c r="AR3777">
        <f>1/(COUNT('Iter No Test'!$W$9:$W$5008)-1)+$AR$3776</f>
        <v>0.75495099019800405</v>
      </c>
    </row>
    <row r="3778" spans="22:44">
      <c r="V3778">
        <v>3770</v>
      </c>
      <c r="W3778">
        <v>283.87988134385</v>
      </c>
      <c r="AQ3778">
        <f>SMALL('Iter No Test'!$W$9:$W$5008,3776)</f>
        <v>270.33346042474534</v>
      </c>
      <c r="AR3778">
        <f>1/(COUNT('Iter No Test'!$W$9:$W$5008)-1)+$AR$3777</f>
        <v>0.7551510302060056</v>
      </c>
    </row>
    <row r="3779" spans="22:44">
      <c r="V3779">
        <v>3771</v>
      </c>
      <c r="W3779">
        <v>245.51546281231876</v>
      </c>
      <c r="AQ3779">
        <f>SMALL('Iter No Test'!$W$9:$W$5008,3777)</f>
        <v>270.43447451682397</v>
      </c>
      <c r="AR3779">
        <f>1/(COUNT('Iter No Test'!$W$9:$W$5008)-1)+$AR$3778</f>
        <v>0.75535107021400716</v>
      </c>
    </row>
    <row r="3780" spans="22:44">
      <c r="V3780">
        <v>3772</v>
      </c>
      <c r="W3780">
        <v>224.98347997912589</v>
      </c>
      <c r="AQ3780">
        <f>SMALL('Iter No Test'!$W$9:$W$5008,3778)</f>
        <v>270.53946859577405</v>
      </c>
      <c r="AR3780">
        <f>1/(COUNT('Iter No Test'!$W$9:$W$5008)-1)+$AR$3779</f>
        <v>0.75555111022200871</v>
      </c>
    </row>
    <row r="3781" spans="22:44">
      <c r="V3781">
        <v>3773</v>
      </c>
      <c r="W3781">
        <v>214.46109537963986</v>
      </c>
      <c r="AQ3781">
        <f>SMALL('Iter No Test'!$W$9:$W$5008,3779)</f>
        <v>270.60045485721207</v>
      </c>
      <c r="AR3781">
        <f>1/(COUNT('Iter No Test'!$W$9:$W$5008)-1)+$AR$3780</f>
        <v>0.75575115023001027</v>
      </c>
    </row>
    <row r="3782" spans="22:44">
      <c r="V3782">
        <v>3774</v>
      </c>
      <c r="W3782">
        <v>56.419970548353206</v>
      </c>
      <c r="AQ3782">
        <f>SMALL('Iter No Test'!$W$9:$W$5008,3780)</f>
        <v>270.65352108002998</v>
      </c>
      <c r="AR3782">
        <f>1/(COUNT('Iter No Test'!$W$9:$W$5008)-1)+$AR$3781</f>
        <v>0.75595119023801183</v>
      </c>
    </row>
    <row r="3783" spans="22:44">
      <c r="V3783">
        <v>3775</v>
      </c>
      <c r="W3783">
        <v>110.18042972010723</v>
      </c>
      <c r="AQ3783">
        <f>SMALL('Iter No Test'!$W$9:$W$5008,3781)</f>
        <v>270.66116894063896</v>
      </c>
      <c r="AR3783">
        <f>1/(COUNT('Iter No Test'!$W$9:$W$5008)-1)+$AR$3782</f>
        <v>0.75615123024601338</v>
      </c>
    </row>
    <row r="3784" spans="22:44">
      <c r="V3784">
        <v>3776</v>
      </c>
      <c r="W3784">
        <v>334.3310911999464</v>
      </c>
      <c r="AQ3784">
        <f>SMALL('Iter No Test'!$W$9:$W$5008,3782)</f>
        <v>270.68482850665305</v>
      </c>
      <c r="AR3784">
        <f>1/(COUNT('Iter No Test'!$W$9:$W$5008)-1)+$AR$3783</f>
        <v>0.75635127025401494</v>
      </c>
    </row>
    <row r="3785" spans="22:44">
      <c r="V3785">
        <v>3777</v>
      </c>
      <c r="W3785">
        <v>281.42263154182183</v>
      </c>
      <c r="AQ3785">
        <f>SMALL('Iter No Test'!$W$9:$W$5008,3783)</f>
        <v>270.70780731014986</v>
      </c>
      <c r="AR3785">
        <f>1/(COUNT('Iter No Test'!$W$9:$W$5008)-1)+$AR$3784</f>
        <v>0.7565513102620165</v>
      </c>
    </row>
    <row r="3786" spans="22:44">
      <c r="V3786">
        <v>3778</v>
      </c>
      <c r="W3786">
        <v>208.14250543977963</v>
      </c>
      <c r="AQ3786">
        <f>SMALL('Iter No Test'!$W$9:$W$5008,3784)</f>
        <v>270.75769697671694</v>
      </c>
      <c r="AR3786">
        <f>1/(COUNT('Iter No Test'!$W$9:$W$5008)-1)+$AR$3785</f>
        <v>0.75675135027001805</v>
      </c>
    </row>
    <row r="3787" spans="22:44">
      <c r="V3787">
        <v>3779</v>
      </c>
      <c r="W3787">
        <v>113.21716991746213</v>
      </c>
      <c r="AQ3787">
        <f>SMALL('Iter No Test'!$W$9:$W$5008,3785)</f>
        <v>270.77650825226397</v>
      </c>
      <c r="AR3787">
        <f>1/(COUNT('Iter No Test'!$W$9:$W$5008)-1)+$AR$3786</f>
        <v>0.75695139027801961</v>
      </c>
    </row>
    <row r="3788" spans="22:44">
      <c r="V3788">
        <v>3780</v>
      </c>
      <c r="W3788">
        <v>199.62673590757197</v>
      </c>
      <c r="AQ3788">
        <f>SMALL('Iter No Test'!$W$9:$W$5008,3786)</f>
        <v>270.80897098204957</v>
      </c>
      <c r="AR3788">
        <f>1/(COUNT('Iter No Test'!$W$9:$W$5008)-1)+$AR$3787</f>
        <v>0.75715143028602117</v>
      </c>
    </row>
    <row r="3789" spans="22:44">
      <c r="V3789">
        <v>3781</v>
      </c>
      <c r="W3789">
        <v>171.71303201549955</v>
      </c>
      <c r="AQ3789">
        <f>SMALL('Iter No Test'!$W$9:$W$5008,3787)</f>
        <v>270.80980659952246</v>
      </c>
      <c r="AR3789">
        <f>1/(COUNT('Iter No Test'!$W$9:$W$5008)-1)+$AR$3788</f>
        <v>0.75735147029402272</v>
      </c>
    </row>
    <row r="3790" spans="22:44">
      <c r="V3790">
        <v>3782</v>
      </c>
      <c r="W3790">
        <v>228.56037585545567</v>
      </c>
      <c r="AQ3790">
        <f>SMALL('Iter No Test'!$W$9:$W$5008,3788)</f>
        <v>270.87560455864667</v>
      </c>
      <c r="AR3790">
        <f>1/(COUNT('Iter No Test'!$W$9:$W$5008)-1)+$AR$3789</f>
        <v>0.75755151030202428</v>
      </c>
    </row>
    <row r="3791" spans="22:44">
      <c r="V3791">
        <v>3783</v>
      </c>
      <c r="W3791">
        <v>343.39146871860015</v>
      </c>
      <c r="AQ3791">
        <f>SMALL('Iter No Test'!$W$9:$W$5008,3789)</f>
        <v>270.90560343511385</v>
      </c>
      <c r="AR3791">
        <f>1/(COUNT('Iter No Test'!$W$9:$W$5008)-1)+$AR$3790</f>
        <v>0.75775155031002583</v>
      </c>
    </row>
    <row r="3792" spans="22:44">
      <c r="V3792">
        <v>3784</v>
      </c>
      <c r="W3792">
        <v>207.81481350879145</v>
      </c>
      <c r="AQ3792">
        <f>SMALL('Iter No Test'!$W$9:$W$5008,3790)</f>
        <v>270.91054838080805</v>
      </c>
      <c r="AR3792">
        <f>1/(COUNT('Iter No Test'!$W$9:$W$5008)-1)+$AR$3791</f>
        <v>0.75795159031802739</v>
      </c>
    </row>
    <row r="3793" spans="22:44">
      <c r="V3793">
        <v>3785</v>
      </c>
      <c r="W3793">
        <v>378.4423164713852</v>
      </c>
      <c r="AQ3793">
        <f>SMALL('Iter No Test'!$W$9:$W$5008,3791)</f>
        <v>270.96212848039409</v>
      </c>
      <c r="AR3793">
        <f>1/(COUNT('Iter No Test'!$W$9:$W$5008)-1)+$AR$3792</f>
        <v>0.75815163032602895</v>
      </c>
    </row>
    <row r="3794" spans="22:44">
      <c r="V3794">
        <v>3786</v>
      </c>
      <c r="W3794">
        <v>172.00345443880849</v>
      </c>
      <c r="AQ3794">
        <f>SMALL('Iter No Test'!$W$9:$W$5008,3792)</f>
        <v>271.0267682066858</v>
      </c>
      <c r="AR3794">
        <f>1/(COUNT('Iter No Test'!$W$9:$W$5008)-1)+$AR$3793</f>
        <v>0.7583516703340305</v>
      </c>
    </row>
    <row r="3795" spans="22:44">
      <c r="V3795">
        <v>3787</v>
      </c>
      <c r="W3795">
        <v>208.04217980614689</v>
      </c>
      <c r="AQ3795">
        <f>SMALL('Iter No Test'!$W$9:$W$5008,3793)</f>
        <v>271.04237221965968</v>
      </c>
      <c r="AR3795">
        <f>1/(COUNT('Iter No Test'!$W$9:$W$5008)-1)+$AR$3794</f>
        <v>0.75855171034203206</v>
      </c>
    </row>
    <row r="3796" spans="22:44">
      <c r="V3796">
        <v>3788</v>
      </c>
      <c r="W3796">
        <v>113.20008363528598</v>
      </c>
      <c r="AQ3796">
        <f>SMALL('Iter No Test'!$W$9:$W$5008,3794)</f>
        <v>271.06183918278003</v>
      </c>
      <c r="AR3796">
        <f>1/(COUNT('Iter No Test'!$W$9:$W$5008)-1)+$AR$3795</f>
        <v>0.75875175035003362</v>
      </c>
    </row>
    <row r="3797" spans="22:44">
      <c r="V3797">
        <v>3789</v>
      </c>
      <c r="W3797">
        <v>416.26186011818709</v>
      </c>
      <c r="AQ3797">
        <f>SMALL('Iter No Test'!$W$9:$W$5008,3795)</f>
        <v>271.07106129735303</v>
      </c>
      <c r="AR3797">
        <f>1/(COUNT('Iter No Test'!$W$9:$W$5008)-1)+$AR$3796</f>
        <v>0.75895179035803517</v>
      </c>
    </row>
    <row r="3798" spans="22:44">
      <c r="V3798">
        <v>3790</v>
      </c>
      <c r="W3798">
        <v>247.3703827968892</v>
      </c>
      <c r="AQ3798">
        <f>SMALL('Iter No Test'!$W$9:$W$5008,3796)</f>
        <v>271.15762775863305</v>
      </c>
      <c r="AR3798">
        <f>1/(COUNT('Iter No Test'!$W$9:$W$5008)-1)+$AR$3797</f>
        <v>0.75915183036603673</v>
      </c>
    </row>
    <row r="3799" spans="22:44">
      <c r="V3799">
        <v>3791</v>
      </c>
      <c r="W3799">
        <v>241.35324426980856</v>
      </c>
      <c r="AQ3799">
        <f>SMALL('Iter No Test'!$W$9:$W$5008,3797)</f>
        <v>271.25578245678457</v>
      </c>
      <c r="AR3799">
        <f>1/(COUNT('Iter No Test'!$W$9:$W$5008)-1)+$AR$3798</f>
        <v>0.75935187037403828</v>
      </c>
    </row>
    <row r="3800" spans="22:44">
      <c r="V3800">
        <v>3792</v>
      </c>
      <c r="W3800">
        <v>99.787857275674327</v>
      </c>
      <c r="AQ3800">
        <f>SMALL('Iter No Test'!$W$9:$W$5008,3798)</f>
        <v>271.28993572936372</v>
      </c>
      <c r="AR3800">
        <f>1/(COUNT('Iter No Test'!$W$9:$W$5008)-1)+$AR$3799</f>
        <v>0.75955191038203984</v>
      </c>
    </row>
    <row r="3801" spans="22:44">
      <c r="V3801">
        <v>3793</v>
      </c>
      <c r="W3801">
        <v>249.32352186228985</v>
      </c>
      <c r="AQ3801">
        <f>SMALL('Iter No Test'!$W$9:$W$5008,3799)</f>
        <v>271.31233560626237</v>
      </c>
      <c r="AR3801">
        <f>1/(COUNT('Iter No Test'!$W$9:$W$5008)-1)+$AR$3800</f>
        <v>0.7597519503900414</v>
      </c>
    </row>
    <row r="3802" spans="22:44">
      <c r="V3802">
        <v>3794</v>
      </c>
      <c r="W3802">
        <v>214.46174828029407</v>
      </c>
      <c r="AQ3802">
        <f>SMALL('Iter No Test'!$W$9:$W$5008,3800)</f>
        <v>271.35090687233628</v>
      </c>
      <c r="AR3802">
        <f>1/(COUNT('Iter No Test'!$W$9:$W$5008)-1)+$AR$3801</f>
        <v>0.75995199039804295</v>
      </c>
    </row>
    <row r="3803" spans="22:44">
      <c r="V3803">
        <v>3795</v>
      </c>
      <c r="W3803">
        <v>171.85696111442743</v>
      </c>
      <c r="AQ3803">
        <f>SMALL('Iter No Test'!$W$9:$W$5008,3801)</f>
        <v>271.40437608757003</v>
      </c>
      <c r="AR3803">
        <f>1/(COUNT('Iter No Test'!$W$9:$W$5008)-1)+$AR$3802</f>
        <v>0.76015203040604451</v>
      </c>
    </row>
    <row r="3804" spans="22:44">
      <c r="V3804">
        <v>3796</v>
      </c>
      <c r="W3804">
        <v>136.62725893453384</v>
      </c>
      <c r="AQ3804">
        <f>SMALL('Iter No Test'!$W$9:$W$5008,3802)</f>
        <v>271.40469673416942</v>
      </c>
      <c r="AR3804">
        <f>1/(COUNT('Iter No Test'!$W$9:$W$5008)-1)+$AR$3803</f>
        <v>0.76035207041404607</v>
      </c>
    </row>
    <row r="3805" spans="22:44">
      <c r="V3805">
        <v>3797</v>
      </c>
      <c r="W3805">
        <v>234.83278672474211</v>
      </c>
      <c r="AQ3805">
        <f>SMALL('Iter No Test'!$W$9:$W$5008,3803)</f>
        <v>271.5058429153961</v>
      </c>
      <c r="AR3805">
        <f>1/(COUNT('Iter No Test'!$W$9:$W$5008)-1)+$AR$3804</f>
        <v>0.76055211042204762</v>
      </c>
    </row>
    <row r="3806" spans="22:44">
      <c r="V3806">
        <v>3798</v>
      </c>
      <c r="W3806">
        <v>167.71336227436825</v>
      </c>
      <c r="AQ3806">
        <f>SMALL('Iter No Test'!$W$9:$W$5008,3804)</f>
        <v>271.56706105009641</v>
      </c>
      <c r="AR3806">
        <f>1/(COUNT('Iter No Test'!$W$9:$W$5008)-1)+$AR$3805</f>
        <v>0.76075215043004918</v>
      </c>
    </row>
    <row r="3807" spans="22:44">
      <c r="V3807">
        <v>3799</v>
      </c>
      <c r="W3807">
        <v>160.72928892915169</v>
      </c>
      <c r="AQ3807">
        <f>SMALL('Iter No Test'!$W$9:$W$5008,3805)</f>
        <v>271.57215827422039</v>
      </c>
      <c r="AR3807">
        <f>1/(COUNT('Iter No Test'!$W$9:$W$5008)-1)+$AR$3806</f>
        <v>0.76095219043805074</v>
      </c>
    </row>
    <row r="3808" spans="22:44">
      <c r="V3808">
        <v>3800</v>
      </c>
      <c r="W3808">
        <v>192.76426494992037</v>
      </c>
      <c r="AQ3808">
        <f>SMALL('Iter No Test'!$W$9:$W$5008,3806)</f>
        <v>271.65589716590313</v>
      </c>
      <c r="AR3808">
        <f>1/(COUNT('Iter No Test'!$W$9:$W$5008)-1)+$AR$3807</f>
        <v>0.76115223044605229</v>
      </c>
    </row>
    <row r="3809" spans="22:44">
      <c r="V3809">
        <v>3801</v>
      </c>
      <c r="W3809">
        <v>78.754086821234878</v>
      </c>
      <c r="AQ3809">
        <f>SMALL('Iter No Test'!$W$9:$W$5008,3807)</f>
        <v>271.75314519883887</v>
      </c>
      <c r="AR3809">
        <f>1/(COUNT('Iter No Test'!$W$9:$W$5008)-1)+$AR$3808</f>
        <v>0.76135227045405385</v>
      </c>
    </row>
    <row r="3810" spans="22:44">
      <c r="V3810">
        <v>3802</v>
      </c>
      <c r="W3810">
        <v>89.413979086077291</v>
      </c>
      <c r="AQ3810">
        <f>SMALL('Iter No Test'!$W$9:$W$5008,3808)</f>
        <v>271.75844055208546</v>
      </c>
      <c r="AR3810">
        <f>1/(COUNT('Iter No Test'!$W$9:$W$5008)-1)+$AR$3809</f>
        <v>0.7615523104620554</v>
      </c>
    </row>
    <row r="3811" spans="22:44">
      <c r="V3811">
        <v>3803</v>
      </c>
      <c r="W3811">
        <v>201.82910807169628</v>
      </c>
      <c r="AQ3811">
        <f>SMALL('Iter No Test'!$W$9:$W$5008,3809)</f>
        <v>271.90294488652137</v>
      </c>
      <c r="AR3811">
        <f>1/(COUNT('Iter No Test'!$W$9:$W$5008)-1)+$AR$3810</f>
        <v>0.76175235047005696</v>
      </c>
    </row>
    <row r="3812" spans="22:44">
      <c r="V3812">
        <v>3804</v>
      </c>
      <c r="W3812">
        <v>212.69749820878832</v>
      </c>
      <c r="AQ3812">
        <f>SMALL('Iter No Test'!$W$9:$W$5008,3810)</f>
        <v>272.08060806461185</v>
      </c>
      <c r="AR3812">
        <f>1/(COUNT('Iter No Test'!$W$9:$W$5008)-1)+$AR$3811</f>
        <v>0.76195239047805852</v>
      </c>
    </row>
    <row r="3813" spans="22:44">
      <c r="V3813">
        <v>3805</v>
      </c>
      <c r="W3813">
        <v>433.73513366440852</v>
      </c>
      <c r="AQ3813">
        <f>SMALL('Iter No Test'!$W$9:$W$5008,3811)</f>
        <v>272.08610994220066</v>
      </c>
      <c r="AR3813">
        <f>1/(COUNT('Iter No Test'!$W$9:$W$5008)-1)+$AR$3812</f>
        <v>0.76215243048606007</v>
      </c>
    </row>
    <row r="3814" spans="22:44">
      <c r="V3814">
        <v>3806</v>
      </c>
      <c r="W3814">
        <v>215.07171764863878</v>
      </c>
      <c r="AQ3814">
        <f>SMALL('Iter No Test'!$W$9:$W$5008,3812)</f>
        <v>272.16791453597784</v>
      </c>
      <c r="AR3814">
        <f>1/(COUNT('Iter No Test'!$W$9:$W$5008)-1)+$AR$3813</f>
        <v>0.76235247049406163</v>
      </c>
    </row>
    <row r="3815" spans="22:44">
      <c r="V3815">
        <v>3807</v>
      </c>
      <c r="W3815">
        <v>183.92631280688778</v>
      </c>
      <c r="AQ3815">
        <f>SMALL('Iter No Test'!$W$9:$W$5008,3813)</f>
        <v>272.24881997590001</v>
      </c>
      <c r="AR3815">
        <f>1/(COUNT('Iter No Test'!$W$9:$W$5008)-1)+$AR$3814</f>
        <v>0.76255251050206319</v>
      </c>
    </row>
    <row r="3816" spans="22:44">
      <c r="V3816">
        <v>3808</v>
      </c>
      <c r="W3816">
        <v>291.3642750012433</v>
      </c>
      <c r="AQ3816">
        <f>SMALL('Iter No Test'!$W$9:$W$5008,3814)</f>
        <v>272.36411856124346</v>
      </c>
      <c r="AR3816">
        <f>1/(COUNT('Iter No Test'!$W$9:$W$5008)-1)+$AR$3815</f>
        <v>0.76275255051006474</v>
      </c>
    </row>
    <row r="3817" spans="22:44">
      <c r="V3817">
        <v>3809</v>
      </c>
      <c r="W3817">
        <v>63.58227620062307</v>
      </c>
      <c r="AQ3817">
        <f>SMALL('Iter No Test'!$W$9:$W$5008,3815)</f>
        <v>272.40799538279555</v>
      </c>
      <c r="AR3817">
        <f>1/(COUNT('Iter No Test'!$W$9:$W$5008)-1)+$AR$3816</f>
        <v>0.7629525905180663</v>
      </c>
    </row>
    <row r="3818" spans="22:44">
      <c r="V3818">
        <v>3810</v>
      </c>
      <c r="W3818">
        <v>223.49642174153647</v>
      </c>
      <c r="AQ3818">
        <f>SMALL('Iter No Test'!$W$9:$W$5008,3816)</f>
        <v>272.48091632215426</v>
      </c>
      <c r="AR3818">
        <f>1/(COUNT('Iter No Test'!$W$9:$W$5008)-1)+$AR$3817</f>
        <v>0.76315263052606785</v>
      </c>
    </row>
    <row r="3819" spans="22:44">
      <c r="V3819">
        <v>3811</v>
      </c>
      <c r="W3819">
        <v>254.747194267731</v>
      </c>
      <c r="AQ3819">
        <f>SMALL('Iter No Test'!$W$9:$W$5008,3817)</f>
        <v>272.52960022073069</v>
      </c>
      <c r="AR3819">
        <f>1/(COUNT('Iter No Test'!$W$9:$W$5008)-1)+$AR$3818</f>
        <v>0.76335267053406941</v>
      </c>
    </row>
    <row r="3820" spans="22:44">
      <c r="V3820">
        <v>3812</v>
      </c>
      <c r="W3820">
        <v>98.228264247958748</v>
      </c>
      <c r="AQ3820">
        <f>SMALL('Iter No Test'!$W$9:$W$5008,3818)</f>
        <v>272.59695226507932</v>
      </c>
      <c r="AR3820">
        <f>1/(COUNT('Iter No Test'!$W$9:$W$5008)-1)+$AR$3819</f>
        <v>0.76355271054207097</v>
      </c>
    </row>
    <row r="3821" spans="22:44">
      <c r="V3821">
        <v>3813</v>
      </c>
      <c r="W3821">
        <v>264.34814535001857</v>
      </c>
      <c r="AQ3821">
        <f>SMALL('Iter No Test'!$W$9:$W$5008,3819)</f>
        <v>272.59960048610378</v>
      </c>
      <c r="AR3821">
        <f>1/(COUNT('Iter No Test'!$W$9:$W$5008)-1)+$AR$3820</f>
        <v>0.76375275055007252</v>
      </c>
    </row>
    <row r="3822" spans="22:44">
      <c r="V3822">
        <v>3814</v>
      </c>
      <c r="W3822">
        <v>35.640469691204032</v>
      </c>
      <c r="AQ3822">
        <f>SMALL('Iter No Test'!$W$9:$W$5008,3820)</f>
        <v>272.61983335062928</v>
      </c>
      <c r="AR3822">
        <f>1/(COUNT('Iter No Test'!$W$9:$W$5008)-1)+$AR$3821</f>
        <v>0.76395279055807408</v>
      </c>
    </row>
    <row r="3823" spans="22:44">
      <c r="V3823">
        <v>3815</v>
      </c>
      <c r="W3823">
        <v>327.42131371652295</v>
      </c>
      <c r="AQ3823">
        <f>SMALL('Iter No Test'!$W$9:$W$5008,3821)</f>
        <v>272.62011678962529</v>
      </c>
      <c r="AR3823">
        <f>1/(COUNT('Iter No Test'!$W$9:$W$5008)-1)+$AR$3822</f>
        <v>0.76415283056607564</v>
      </c>
    </row>
    <row r="3824" spans="22:44">
      <c r="V3824">
        <v>3816</v>
      </c>
      <c r="W3824">
        <v>203.10695709084999</v>
      </c>
      <c r="AQ3824">
        <f>SMALL('Iter No Test'!$W$9:$W$5008,3822)</f>
        <v>272.88906220209412</v>
      </c>
      <c r="AR3824">
        <f>1/(COUNT('Iter No Test'!$W$9:$W$5008)-1)+$AR$3823</f>
        <v>0.76435287057407719</v>
      </c>
    </row>
    <row r="3825" spans="22:44">
      <c r="V3825">
        <v>3817</v>
      </c>
      <c r="W3825">
        <v>106.81722021240428</v>
      </c>
      <c r="AQ3825">
        <f>SMALL('Iter No Test'!$W$9:$W$5008,3823)</f>
        <v>272.92543954654502</v>
      </c>
      <c r="AR3825">
        <f>1/(COUNT('Iter No Test'!$W$9:$W$5008)-1)+$AR$3824</f>
        <v>0.76455291058207875</v>
      </c>
    </row>
    <row r="3826" spans="22:44">
      <c r="V3826">
        <v>3818</v>
      </c>
      <c r="W3826">
        <v>139.6693163837578</v>
      </c>
      <c r="AQ3826">
        <f>SMALL('Iter No Test'!$W$9:$W$5008,3824)</f>
        <v>273.00303926612827</v>
      </c>
      <c r="AR3826">
        <f>1/(COUNT('Iter No Test'!$W$9:$W$5008)-1)+$AR$3825</f>
        <v>0.7647529505900803</v>
      </c>
    </row>
    <row r="3827" spans="22:44">
      <c r="V3827">
        <v>3819</v>
      </c>
      <c r="W3827">
        <v>281.89954071048942</v>
      </c>
      <c r="AQ3827">
        <f>SMALL('Iter No Test'!$W$9:$W$5008,3825)</f>
        <v>273.1260280953328</v>
      </c>
      <c r="AR3827">
        <f>1/(COUNT('Iter No Test'!$W$9:$W$5008)-1)+$AR$3826</f>
        <v>0.76495299059808186</v>
      </c>
    </row>
    <row r="3828" spans="22:44">
      <c r="V3828">
        <v>3820</v>
      </c>
      <c r="W3828">
        <v>51.288313050698648</v>
      </c>
      <c r="AQ3828">
        <f>SMALL('Iter No Test'!$W$9:$W$5008,3826)</f>
        <v>273.18843215764298</v>
      </c>
      <c r="AR3828">
        <f>1/(COUNT('Iter No Test'!$W$9:$W$5008)-1)+$AR$3827</f>
        <v>0.76515303060608342</v>
      </c>
    </row>
    <row r="3829" spans="22:44">
      <c r="V3829">
        <v>3821</v>
      </c>
      <c r="W3829">
        <v>230.90694254839815</v>
      </c>
      <c r="AQ3829">
        <f>SMALL('Iter No Test'!$W$9:$W$5008,3827)</f>
        <v>273.33200978513958</v>
      </c>
      <c r="AR3829">
        <f>1/(COUNT('Iter No Test'!$W$9:$W$5008)-1)+$AR$3828</f>
        <v>0.76535307061408497</v>
      </c>
    </row>
    <row r="3830" spans="22:44">
      <c r="V3830">
        <v>3822</v>
      </c>
      <c r="W3830">
        <v>270.75769697671694</v>
      </c>
      <c r="AQ3830">
        <f>SMALL('Iter No Test'!$W$9:$W$5008,3828)</f>
        <v>273.34214037591892</v>
      </c>
      <c r="AR3830">
        <f>1/(COUNT('Iter No Test'!$W$9:$W$5008)-1)+$AR$3829</f>
        <v>0.76555311062208653</v>
      </c>
    </row>
    <row r="3831" spans="22:44">
      <c r="V3831">
        <v>3823</v>
      </c>
      <c r="W3831">
        <v>190.42794176919318</v>
      </c>
      <c r="AQ3831">
        <f>SMALL('Iter No Test'!$W$9:$W$5008,3829)</f>
        <v>273.3952243332804</v>
      </c>
      <c r="AR3831">
        <f>1/(COUNT('Iter No Test'!$W$9:$W$5008)-1)+$AR$3830</f>
        <v>0.76575315063008809</v>
      </c>
    </row>
    <row r="3832" spans="22:44">
      <c r="V3832">
        <v>3824</v>
      </c>
      <c r="W3832">
        <v>288.22181230916982</v>
      </c>
      <c r="AQ3832">
        <f>SMALL('Iter No Test'!$W$9:$W$5008,3830)</f>
        <v>273.54913200013641</v>
      </c>
      <c r="AR3832">
        <f>1/(COUNT('Iter No Test'!$W$9:$W$5008)-1)+$AR$3831</f>
        <v>0.76595319063808964</v>
      </c>
    </row>
    <row r="3833" spans="22:44">
      <c r="V3833">
        <v>3825</v>
      </c>
      <c r="W3833">
        <v>116.49900672002056</v>
      </c>
      <c r="AQ3833">
        <f>SMALL('Iter No Test'!$W$9:$W$5008,3831)</f>
        <v>273.62336810758353</v>
      </c>
      <c r="AR3833">
        <f>1/(COUNT('Iter No Test'!$W$9:$W$5008)-1)+$AR$3832</f>
        <v>0.7661532306460912</v>
      </c>
    </row>
    <row r="3834" spans="22:44">
      <c r="V3834">
        <v>3826</v>
      </c>
      <c r="W3834">
        <v>94.782652735911199</v>
      </c>
      <c r="AQ3834">
        <f>SMALL('Iter No Test'!$W$9:$W$5008,3832)</f>
        <v>273.71465076195028</v>
      </c>
      <c r="AR3834">
        <f>1/(COUNT('Iter No Test'!$W$9:$W$5008)-1)+$AR$3833</f>
        <v>0.76635327065409276</v>
      </c>
    </row>
    <row r="3835" spans="22:44">
      <c r="V3835">
        <v>3827</v>
      </c>
      <c r="W3835">
        <v>276.02836034869495</v>
      </c>
      <c r="AQ3835">
        <f>SMALL('Iter No Test'!$W$9:$W$5008,3833)</f>
        <v>273.82187205665406</v>
      </c>
      <c r="AR3835">
        <f>1/(COUNT('Iter No Test'!$W$9:$W$5008)-1)+$AR$3834</f>
        <v>0.76655331066209431</v>
      </c>
    </row>
    <row r="3836" spans="22:44">
      <c r="V3836">
        <v>3828</v>
      </c>
      <c r="W3836">
        <v>132.52113403485581</v>
      </c>
      <c r="AQ3836">
        <f>SMALL('Iter No Test'!$W$9:$W$5008,3834)</f>
        <v>273.84227341974906</v>
      </c>
      <c r="AR3836">
        <f>1/(COUNT('Iter No Test'!$W$9:$W$5008)-1)+$AR$3835</f>
        <v>0.76675335067009587</v>
      </c>
    </row>
    <row r="3837" spans="22:44">
      <c r="V3837">
        <v>3829</v>
      </c>
      <c r="W3837">
        <v>251.54078435576301</v>
      </c>
      <c r="AQ3837">
        <f>SMALL('Iter No Test'!$W$9:$W$5008,3835)</f>
        <v>273.90164759465381</v>
      </c>
      <c r="AR3837">
        <f>1/(COUNT('Iter No Test'!$W$9:$W$5008)-1)+$AR$3836</f>
        <v>0.76695339067809742</v>
      </c>
    </row>
    <row r="3838" spans="22:44">
      <c r="V3838">
        <v>3830</v>
      </c>
      <c r="W3838">
        <v>154.56380608313901</v>
      </c>
      <c r="AQ3838">
        <f>SMALL('Iter No Test'!$W$9:$W$5008,3836)</f>
        <v>273.96267883120413</v>
      </c>
      <c r="AR3838">
        <f>1/(COUNT('Iter No Test'!$W$9:$W$5008)-1)+$AR$3837</f>
        <v>0.76715343068609898</v>
      </c>
    </row>
    <row r="3839" spans="22:44">
      <c r="V3839">
        <v>3831</v>
      </c>
      <c r="W3839">
        <v>151.10885661610143</v>
      </c>
      <c r="AQ3839">
        <f>SMALL('Iter No Test'!$W$9:$W$5008,3837)</f>
        <v>273.9870764797796</v>
      </c>
      <c r="AR3839">
        <f>1/(COUNT('Iter No Test'!$W$9:$W$5008)-1)+$AR$3838</f>
        <v>0.76735347069410054</v>
      </c>
    </row>
    <row r="3840" spans="22:44">
      <c r="V3840">
        <v>3832</v>
      </c>
      <c r="W3840">
        <v>333.01277665806776</v>
      </c>
      <c r="AQ3840">
        <f>SMALL('Iter No Test'!$W$9:$W$5008,3838)</f>
        <v>274.17786303801506</v>
      </c>
      <c r="AR3840">
        <f>1/(COUNT('Iter No Test'!$W$9:$W$5008)-1)+$AR$3839</f>
        <v>0.76755351070210209</v>
      </c>
    </row>
    <row r="3841" spans="22:44">
      <c r="V3841">
        <v>3833</v>
      </c>
      <c r="W3841">
        <v>72.808022777006272</v>
      </c>
      <c r="AQ3841">
        <f>SMALL('Iter No Test'!$W$9:$W$5008,3839)</f>
        <v>274.19023542429625</v>
      </c>
      <c r="AR3841">
        <f>1/(COUNT('Iter No Test'!$W$9:$W$5008)-1)+$AR$3840</f>
        <v>0.76775355071010365</v>
      </c>
    </row>
    <row r="3842" spans="22:44">
      <c r="V3842">
        <v>3834</v>
      </c>
      <c r="W3842">
        <v>263.90051359144104</v>
      </c>
      <c r="AQ3842">
        <f>SMALL('Iter No Test'!$W$9:$W$5008,3840)</f>
        <v>274.22128813327197</v>
      </c>
      <c r="AR3842">
        <f>1/(COUNT('Iter No Test'!$W$9:$W$5008)-1)+$AR$3841</f>
        <v>0.76795359071810521</v>
      </c>
    </row>
    <row r="3843" spans="22:44">
      <c r="V3843">
        <v>3835</v>
      </c>
      <c r="W3843">
        <v>231.60728401301878</v>
      </c>
      <c r="AQ3843">
        <f>SMALL('Iter No Test'!$W$9:$W$5008,3841)</f>
        <v>274.2360098825452</v>
      </c>
      <c r="AR3843">
        <f>1/(COUNT('Iter No Test'!$W$9:$W$5008)-1)+$AR$3842</f>
        <v>0.76815363072610676</v>
      </c>
    </row>
    <row r="3844" spans="22:44">
      <c r="V3844">
        <v>3836</v>
      </c>
      <c r="W3844">
        <v>303.02982260405463</v>
      </c>
      <c r="AQ3844">
        <f>SMALL('Iter No Test'!$W$9:$W$5008,3842)</f>
        <v>274.30523278492421</v>
      </c>
      <c r="AR3844">
        <f>1/(COUNT('Iter No Test'!$W$9:$W$5008)-1)+$AR$3843</f>
        <v>0.76835367073410832</v>
      </c>
    </row>
    <row r="3845" spans="22:44">
      <c r="V3845">
        <v>3837</v>
      </c>
      <c r="W3845">
        <v>149.15264189159279</v>
      </c>
      <c r="AQ3845">
        <f>SMALL('Iter No Test'!$W$9:$W$5008,3843)</f>
        <v>274.3730362691374</v>
      </c>
      <c r="AR3845">
        <f>1/(COUNT('Iter No Test'!$W$9:$W$5008)-1)+$AR$3844</f>
        <v>0.76855371074210987</v>
      </c>
    </row>
    <row r="3846" spans="22:44">
      <c r="V3846">
        <v>3838</v>
      </c>
      <c r="W3846">
        <v>234.09059896011962</v>
      </c>
      <c r="AQ3846">
        <f>SMALL('Iter No Test'!$W$9:$W$5008,3844)</f>
        <v>274.37750501224258</v>
      </c>
      <c r="AR3846">
        <f>1/(COUNT('Iter No Test'!$W$9:$W$5008)-1)+$AR$3845</f>
        <v>0.76875375075011143</v>
      </c>
    </row>
    <row r="3847" spans="22:44">
      <c r="V3847">
        <v>3839</v>
      </c>
      <c r="W3847">
        <v>195.7093335092988</v>
      </c>
      <c r="AQ3847">
        <f>SMALL('Iter No Test'!$W$9:$W$5008,3845)</f>
        <v>274.42440766876013</v>
      </c>
      <c r="AR3847">
        <f>1/(COUNT('Iter No Test'!$W$9:$W$5008)-1)+$AR$3846</f>
        <v>0.76895379075811299</v>
      </c>
    </row>
    <row r="3848" spans="22:44">
      <c r="V3848">
        <v>3840</v>
      </c>
      <c r="W3848">
        <v>81.392548402604064</v>
      </c>
      <c r="AQ3848">
        <f>SMALL('Iter No Test'!$W$9:$W$5008,3846)</f>
        <v>274.48452895076207</v>
      </c>
      <c r="AR3848">
        <f>1/(COUNT('Iter No Test'!$W$9:$W$5008)-1)+$AR$3847</f>
        <v>0.76915383076611454</v>
      </c>
    </row>
    <row r="3849" spans="22:44">
      <c r="V3849">
        <v>3841</v>
      </c>
      <c r="W3849">
        <v>161.0026188667731</v>
      </c>
      <c r="AQ3849">
        <f>SMALL('Iter No Test'!$W$9:$W$5008,3847)</f>
        <v>274.76684652891606</v>
      </c>
      <c r="AR3849">
        <f>1/(COUNT('Iter No Test'!$W$9:$W$5008)-1)+$AR$3848</f>
        <v>0.7693538707741161</v>
      </c>
    </row>
    <row r="3850" spans="22:44">
      <c r="V3850">
        <v>3842</v>
      </c>
      <c r="W3850">
        <v>318.23428607073208</v>
      </c>
      <c r="AQ3850">
        <f>SMALL('Iter No Test'!$W$9:$W$5008,3848)</f>
        <v>275.07825289833255</v>
      </c>
      <c r="AR3850">
        <f>1/(COUNT('Iter No Test'!$W$9:$W$5008)-1)+$AR$3849</f>
        <v>0.76955391078211766</v>
      </c>
    </row>
    <row r="3851" spans="22:44">
      <c r="V3851">
        <v>3843</v>
      </c>
      <c r="W3851">
        <v>276.75594650020668</v>
      </c>
      <c r="AQ3851">
        <f>SMALL('Iter No Test'!$W$9:$W$5008,3849)</f>
        <v>275.08540153977538</v>
      </c>
      <c r="AR3851">
        <f>1/(COUNT('Iter No Test'!$W$9:$W$5008)-1)+$AR$3850</f>
        <v>0.76975395079011921</v>
      </c>
    </row>
    <row r="3852" spans="22:44">
      <c r="V3852">
        <v>3844</v>
      </c>
      <c r="W3852">
        <v>237.35166062138609</v>
      </c>
      <c r="AQ3852">
        <f>SMALL('Iter No Test'!$W$9:$W$5008,3850)</f>
        <v>275.08968488503444</v>
      </c>
      <c r="AR3852">
        <f>1/(COUNT('Iter No Test'!$W$9:$W$5008)-1)+$AR$3851</f>
        <v>0.76995399079812077</v>
      </c>
    </row>
    <row r="3853" spans="22:44">
      <c r="V3853">
        <v>3845</v>
      </c>
      <c r="W3853">
        <v>280.61394336911741</v>
      </c>
      <c r="AQ3853">
        <f>SMALL('Iter No Test'!$W$9:$W$5008,3851)</f>
        <v>275.18779727386971</v>
      </c>
      <c r="AR3853">
        <f>1/(COUNT('Iter No Test'!$W$9:$W$5008)-1)+$AR$3852</f>
        <v>0.77015403080612233</v>
      </c>
    </row>
    <row r="3854" spans="22:44">
      <c r="V3854">
        <v>3846</v>
      </c>
      <c r="W3854">
        <v>128.97567318698998</v>
      </c>
      <c r="AQ3854">
        <f>SMALL('Iter No Test'!$W$9:$W$5008,3852)</f>
        <v>275.18814468158479</v>
      </c>
      <c r="AR3854">
        <f>1/(COUNT('Iter No Test'!$W$9:$W$5008)-1)+$AR$3853</f>
        <v>0.77035407081412388</v>
      </c>
    </row>
    <row r="3855" spans="22:44">
      <c r="V3855">
        <v>3847</v>
      </c>
      <c r="W3855">
        <v>161.16930695192377</v>
      </c>
      <c r="AQ3855">
        <f>SMALL('Iter No Test'!$W$9:$W$5008,3853)</f>
        <v>275.22233268030891</v>
      </c>
      <c r="AR3855">
        <f>1/(COUNT('Iter No Test'!$W$9:$W$5008)-1)+$AR$3854</f>
        <v>0.77055411082212544</v>
      </c>
    </row>
    <row r="3856" spans="22:44">
      <c r="V3856">
        <v>3848</v>
      </c>
      <c r="W3856">
        <v>228.89015665784379</v>
      </c>
      <c r="AQ3856">
        <f>SMALL('Iter No Test'!$W$9:$W$5008,3854)</f>
        <v>275.34680191942203</v>
      </c>
      <c r="AR3856">
        <f>1/(COUNT('Iter No Test'!$W$9:$W$5008)-1)+$AR$3855</f>
        <v>0.77075415083012699</v>
      </c>
    </row>
    <row r="3857" spans="22:44">
      <c r="V3857">
        <v>3849</v>
      </c>
      <c r="W3857">
        <v>173.33038270952699</v>
      </c>
      <c r="AQ3857">
        <f>SMALL('Iter No Test'!$W$9:$W$5008,3855)</f>
        <v>275.36932464575153</v>
      </c>
      <c r="AR3857">
        <f>1/(COUNT('Iter No Test'!$W$9:$W$5008)-1)+$AR$3856</f>
        <v>0.77095419083812855</v>
      </c>
    </row>
    <row r="3858" spans="22:44">
      <c r="V3858">
        <v>3850</v>
      </c>
      <c r="W3858">
        <v>131.95308257493292</v>
      </c>
      <c r="AQ3858">
        <f>SMALL('Iter No Test'!$W$9:$W$5008,3856)</f>
        <v>275.42833938849924</v>
      </c>
      <c r="AR3858">
        <f>1/(COUNT('Iter No Test'!$W$9:$W$5008)-1)+$AR$3857</f>
        <v>0.77115423084613011</v>
      </c>
    </row>
    <row r="3859" spans="22:44">
      <c r="V3859">
        <v>3851</v>
      </c>
      <c r="W3859">
        <v>269.81874932581002</v>
      </c>
      <c r="AQ3859">
        <f>SMALL('Iter No Test'!$W$9:$W$5008,3857)</f>
        <v>275.43623604009554</v>
      </c>
      <c r="AR3859">
        <f>1/(COUNT('Iter No Test'!$W$9:$W$5008)-1)+$AR$3858</f>
        <v>0.77135427085413166</v>
      </c>
    </row>
    <row r="3860" spans="22:44">
      <c r="V3860">
        <v>3852</v>
      </c>
      <c r="W3860">
        <v>229.78560084439781</v>
      </c>
      <c r="AQ3860">
        <f>SMALL('Iter No Test'!$W$9:$W$5008,3858)</f>
        <v>275.45846188735561</v>
      </c>
      <c r="AR3860">
        <f>1/(COUNT('Iter No Test'!$W$9:$W$5008)-1)+$AR$3859</f>
        <v>0.77155431086213322</v>
      </c>
    </row>
    <row r="3861" spans="22:44">
      <c r="V3861">
        <v>3853</v>
      </c>
      <c r="W3861">
        <v>139.75038630720923</v>
      </c>
      <c r="AQ3861">
        <f>SMALL('Iter No Test'!$W$9:$W$5008,3859)</f>
        <v>275.49816174472755</v>
      </c>
      <c r="AR3861">
        <f>1/(COUNT('Iter No Test'!$W$9:$W$5008)-1)+$AR$3860</f>
        <v>0.77175435087013478</v>
      </c>
    </row>
    <row r="3862" spans="22:44">
      <c r="V3862">
        <v>3854</v>
      </c>
      <c r="W3862">
        <v>178.75866722109686</v>
      </c>
      <c r="AQ3862">
        <f>SMALL('Iter No Test'!$W$9:$W$5008,3860)</f>
        <v>275.54531650814681</v>
      </c>
      <c r="AR3862">
        <f>1/(COUNT('Iter No Test'!$W$9:$W$5008)-1)+$AR$3861</f>
        <v>0.77195439087813633</v>
      </c>
    </row>
    <row r="3863" spans="22:44">
      <c r="V3863">
        <v>3855</v>
      </c>
      <c r="W3863">
        <v>265.90855020916945</v>
      </c>
      <c r="AQ3863">
        <f>SMALL('Iter No Test'!$W$9:$W$5008,3861)</f>
        <v>275.69486220870738</v>
      </c>
      <c r="AR3863">
        <f>1/(COUNT('Iter No Test'!$W$9:$W$5008)-1)+$AR$3862</f>
        <v>0.77215443088613789</v>
      </c>
    </row>
    <row r="3864" spans="22:44">
      <c r="V3864">
        <v>3856</v>
      </c>
      <c r="W3864">
        <v>195.52322418372307</v>
      </c>
      <c r="AQ3864">
        <f>SMALL('Iter No Test'!$W$9:$W$5008,3862)</f>
        <v>275.70037608189085</v>
      </c>
      <c r="AR3864">
        <f>1/(COUNT('Iter No Test'!$W$9:$W$5008)-1)+$AR$3863</f>
        <v>0.77235447089413944</v>
      </c>
    </row>
    <row r="3865" spans="22:44">
      <c r="V3865">
        <v>3857</v>
      </c>
      <c r="W3865">
        <v>223.38742865963789</v>
      </c>
      <c r="AQ3865">
        <f>SMALL('Iter No Test'!$W$9:$W$5008,3863)</f>
        <v>275.76272326015282</v>
      </c>
      <c r="AR3865">
        <f>1/(COUNT('Iter No Test'!$W$9:$W$5008)-1)+$AR$3864</f>
        <v>0.772554510902141</v>
      </c>
    </row>
    <row r="3866" spans="22:44">
      <c r="V3866">
        <v>3858</v>
      </c>
      <c r="W3866">
        <v>193.80527874998415</v>
      </c>
      <c r="AQ3866">
        <f>SMALL('Iter No Test'!$W$9:$W$5008,3864)</f>
        <v>275.79432886264937</v>
      </c>
      <c r="AR3866">
        <f>1/(COUNT('Iter No Test'!$W$9:$W$5008)-1)+$AR$3865</f>
        <v>0.77275455091014256</v>
      </c>
    </row>
    <row r="3867" spans="22:44">
      <c r="V3867">
        <v>3859</v>
      </c>
      <c r="W3867">
        <v>403.6860862657494</v>
      </c>
      <c r="AQ3867">
        <f>SMALL('Iter No Test'!$W$9:$W$5008,3865)</f>
        <v>275.81825975522167</v>
      </c>
      <c r="AR3867">
        <f>1/(COUNT('Iter No Test'!$W$9:$W$5008)-1)+$AR$3866</f>
        <v>0.77295459091814411</v>
      </c>
    </row>
    <row r="3868" spans="22:44">
      <c r="V3868">
        <v>3860</v>
      </c>
      <c r="W3868">
        <v>113.3974067943213</v>
      </c>
      <c r="AQ3868">
        <f>SMALL('Iter No Test'!$W$9:$W$5008,3866)</f>
        <v>275.87047084542576</v>
      </c>
      <c r="AR3868">
        <f>1/(COUNT('Iter No Test'!$W$9:$W$5008)-1)+$AR$3867</f>
        <v>0.77315463092614567</v>
      </c>
    </row>
    <row r="3869" spans="22:44">
      <c r="V3869">
        <v>3861</v>
      </c>
      <c r="W3869">
        <v>244.6128979523497</v>
      </c>
      <c r="AQ3869">
        <f>SMALL('Iter No Test'!$W$9:$W$5008,3867)</f>
        <v>275.93901240738023</v>
      </c>
      <c r="AR3869">
        <f>1/(COUNT('Iter No Test'!$W$9:$W$5008)-1)+$AR$3868</f>
        <v>0.77335467093414723</v>
      </c>
    </row>
    <row r="3870" spans="22:44">
      <c r="V3870">
        <v>3862</v>
      </c>
      <c r="W3870">
        <v>125.15683368556884</v>
      </c>
      <c r="AQ3870">
        <f>SMALL('Iter No Test'!$W$9:$W$5008,3868)</f>
        <v>275.99291361399912</v>
      </c>
      <c r="AR3870">
        <f>1/(COUNT('Iter No Test'!$W$9:$W$5008)-1)+$AR$3869</f>
        <v>0.77355471094214878</v>
      </c>
    </row>
    <row r="3871" spans="22:44">
      <c r="V3871">
        <v>3863</v>
      </c>
      <c r="W3871">
        <v>287.27386488919535</v>
      </c>
      <c r="AQ3871">
        <f>SMALL('Iter No Test'!$W$9:$W$5008,3869)</f>
        <v>276.02836034869495</v>
      </c>
      <c r="AR3871">
        <f>1/(COUNT('Iter No Test'!$W$9:$W$5008)-1)+$AR$3870</f>
        <v>0.77375475095015034</v>
      </c>
    </row>
    <row r="3872" spans="22:44">
      <c r="V3872">
        <v>3864</v>
      </c>
      <c r="W3872">
        <v>135.99968290425119</v>
      </c>
      <c r="AQ3872">
        <f>SMALL('Iter No Test'!$W$9:$W$5008,3870)</f>
        <v>276.0402929380578</v>
      </c>
      <c r="AR3872">
        <f>1/(COUNT('Iter No Test'!$W$9:$W$5008)-1)+$AR$3871</f>
        <v>0.77395479095815189</v>
      </c>
    </row>
    <row r="3873" spans="22:44">
      <c r="V3873">
        <v>3865</v>
      </c>
      <c r="W3873">
        <v>300.46453687298492</v>
      </c>
      <c r="AQ3873">
        <f>SMALL('Iter No Test'!$W$9:$W$5008,3871)</f>
        <v>276.07332881008034</v>
      </c>
      <c r="AR3873">
        <f>1/(COUNT('Iter No Test'!$W$9:$W$5008)-1)+$AR$3872</f>
        <v>0.77415483096615345</v>
      </c>
    </row>
    <row r="3874" spans="22:44">
      <c r="V3874">
        <v>3866</v>
      </c>
      <c r="W3874">
        <v>329.0194605725103</v>
      </c>
      <c r="AQ3874">
        <f>SMALL('Iter No Test'!$W$9:$W$5008,3872)</f>
        <v>276.32946589890287</v>
      </c>
      <c r="AR3874">
        <f>1/(COUNT('Iter No Test'!$W$9:$W$5008)-1)+$AR$3873</f>
        <v>0.77435487097415501</v>
      </c>
    </row>
    <row r="3875" spans="22:44">
      <c r="V3875">
        <v>3867</v>
      </c>
      <c r="W3875">
        <v>132.64938978733778</v>
      </c>
      <c r="AQ3875">
        <f>SMALL('Iter No Test'!$W$9:$W$5008,3873)</f>
        <v>276.39626578588968</v>
      </c>
      <c r="AR3875">
        <f>1/(COUNT('Iter No Test'!$W$9:$W$5008)-1)+$AR$3874</f>
        <v>0.77455491098215656</v>
      </c>
    </row>
    <row r="3876" spans="22:44">
      <c r="V3876">
        <v>3868</v>
      </c>
      <c r="W3876">
        <v>290.13345290173879</v>
      </c>
      <c r="AQ3876">
        <f>SMALL('Iter No Test'!$W$9:$W$5008,3874)</f>
        <v>276.51209049568547</v>
      </c>
      <c r="AR3876">
        <f>1/(COUNT('Iter No Test'!$W$9:$W$5008)-1)+$AR$3875</f>
        <v>0.77475495099015812</v>
      </c>
    </row>
    <row r="3877" spans="22:44">
      <c r="V3877">
        <v>3869</v>
      </c>
      <c r="W3877">
        <v>163.30787450658354</v>
      </c>
      <c r="AQ3877">
        <f>SMALL('Iter No Test'!$W$9:$W$5008,3875)</f>
        <v>276.59343529617945</v>
      </c>
      <c r="AR3877">
        <f>1/(COUNT('Iter No Test'!$W$9:$W$5008)-1)+$AR$3876</f>
        <v>0.77495499099815968</v>
      </c>
    </row>
    <row r="3878" spans="22:44">
      <c r="V3878">
        <v>3870</v>
      </c>
      <c r="W3878">
        <v>200.34322055799004</v>
      </c>
      <c r="AQ3878">
        <f>SMALL('Iter No Test'!$W$9:$W$5008,3876)</f>
        <v>276.72594133863043</v>
      </c>
      <c r="AR3878">
        <f>1/(COUNT('Iter No Test'!$W$9:$W$5008)-1)+$AR$3877</f>
        <v>0.77515503100616123</v>
      </c>
    </row>
    <row r="3879" spans="22:44">
      <c r="V3879">
        <v>3871</v>
      </c>
      <c r="W3879">
        <v>172.04078751885481</v>
      </c>
      <c r="AQ3879">
        <f>SMALL('Iter No Test'!$W$9:$W$5008,3877)</f>
        <v>276.75263611525446</v>
      </c>
      <c r="AR3879">
        <f>1/(COUNT('Iter No Test'!$W$9:$W$5008)-1)+$AR$3878</f>
        <v>0.77535507101416279</v>
      </c>
    </row>
    <row r="3880" spans="22:44">
      <c r="V3880">
        <v>3872</v>
      </c>
      <c r="W3880">
        <v>90.890868400184843</v>
      </c>
      <c r="AQ3880">
        <f>SMALL('Iter No Test'!$W$9:$W$5008,3878)</f>
        <v>276.75594650020668</v>
      </c>
      <c r="AR3880">
        <f>1/(COUNT('Iter No Test'!$W$9:$W$5008)-1)+$AR$3879</f>
        <v>0.77555511102216435</v>
      </c>
    </row>
    <row r="3881" spans="22:44">
      <c r="V3881">
        <v>3873</v>
      </c>
      <c r="W3881">
        <v>231.76897192683353</v>
      </c>
      <c r="AQ3881">
        <f>SMALL('Iter No Test'!$W$9:$W$5008,3879)</f>
        <v>276.79616384606652</v>
      </c>
      <c r="AR3881">
        <f>1/(COUNT('Iter No Test'!$W$9:$W$5008)-1)+$AR$3880</f>
        <v>0.7757551510301659</v>
      </c>
    </row>
    <row r="3882" spans="22:44">
      <c r="V3882">
        <v>3874</v>
      </c>
      <c r="W3882">
        <v>251.42882049382715</v>
      </c>
      <c r="AQ3882">
        <f>SMALL('Iter No Test'!$W$9:$W$5008,3880)</f>
        <v>276.84281639227447</v>
      </c>
      <c r="AR3882">
        <f>1/(COUNT('Iter No Test'!$W$9:$W$5008)-1)+$AR$3881</f>
        <v>0.77595519103816746</v>
      </c>
    </row>
    <row r="3883" spans="22:44">
      <c r="V3883">
        <v>3875</v>
      </c>
      <c r="W3883">
        <v>294.402006679046</v>
      </c>
      <c r="AQ3883">
        <f>SMALL('Iter No Test'!$W$9:$W$5008,3881)</f>
        <v>276.92351963136576</v>
      </c>
      <c r="AR3883">
        <f>1/(COUNT('Iter No Test'!$W$9:$W$5008)-1)+$AR$3882</f>
        <v>0.77615523104616901</v>
      </c>
    </row>
    <row r="3884" spans="22:44">
      <c r="V3884">
        <v>3876</v>
      </c>
      <c r="W3884">
        <v>76.6515814051902</v>
      </c>
      <c r="AQ3884">
        <f>SMALL('Iter No Test'!$W$9:$W$5008,3882)</f>
        <v>277.09598359225248</v>
      </c>
      <c r="AR3884">
        <f>1/(COUNT('Iter No Test'!$W$9:$W$5008)-1)+$AR$3883</f>
        <v>0.77635527105417057</v>
      </c>
    </row>
    <row r="3885" spans="22:44">
      <c r="V3885">
        <v>3877</v>
      </c>
      <c r="W3885">
        <v>351.82217770868306</v>
      </c>
      <c r="AQ3885">
        <f>SMALL('Iter No Test'!$W$9:$W$5008,3883)</f>
        <v>277.20788105469205</v>
      </c>
      <c r="AR3885">
        <f>1/(COUNT('Iter No Test'!$W$9:$W$5008)-1)+$AR$3884</f>
        <v>0.77655531106217213</v>
      </c>
    </row>
    <row r="3886" spans="22:44">
      <c r="V3886">
        <v>3878</v>
      </c>
      <c r="W3886">
        <v>153.7624230950438</v>
      </c>
      <c r="AQ3886">
        <f>SMALL('Iter No Test'!$W$9:$W$5008,3884)</f>
        <v>277.32057694453442</v>
      </c>
      <c r="AR3886">
        <f>1/(COUNT('Iter No Test'!$W$9:$W$5008)-1)+$AR$3885</f>
        <v>0.77675535107017368</v>
      </c>
    </row>
    <row r="3887" spans="22:44">
      <c r="V3887">
        <v>3879</v>
      </c>
      <c r="W3887">
        <v>191.2494976888124</v>
      </c>
      <c r="AQ3887">
        <f>SMALL('Iter No Test'!$W$9:$W$5008,3885)</f>
        <v>277.40227780477557</v>
      </c>
      <c r="AR3887">
        <f>1/(COUNT('Iter No Test'!$W$9:$W$5008)-1)+$AR$3886</f>
        <v>0.77695539107817524</v>
      </c>
    </row>
    <row r="3888" spans="22:44">
      <c r="V3888">
        <v>3880</v>
      </c>
      <c r="W3888">
        <v>250.08292370721739</v>
      </c>
      <c r="AQ3888">
        <f>SMALL('Iter No Test'!$W$9:$W$5008,3886)</f>
        <v>277.57325426080706</v>
      </c>
      <c r="AR3888">
        <f>1/(COUNT('Iter No Test'!$W$9:$W$5008)-1)+$AR$3887</f>
        <v>0.7771554310861768</v>
      </c>
    </row>
    <row r="3889" spans="22:44">
      <c r="V3889">
        <v>3881</v>
      </c>
      <c r="W3889">
        <v>361.01206625907707</v>
      </c>
      <c r="AQ3889">
        <f>SMALL('Iter No Test'!$W$9:$W$5008,3887)</f>
        <v>277.60869729413588</v>
      </c>
      <c r="AR3889">
        <f>1/(COUNT('Iter No Test'!$W$9:$W$5008)-1)+$AR$3888</f>
        <v>0.77735547109417835</v>
      </c>
    </row>
    <row r="3890" spans="22:44">
      <c r="V3890">
        <v>3882</v>
      </c>
      <c r="W3890">
        <v>248.18171519488035</v>
      </c>
      <c r="AQ3890">
        <f>SMALL('Iter No Test'!$W$9:$W$5008,3888)</f>
        <v>277.65871904768619</v>
      </c>
      <c r="AR3890">
        <f>1/(COUNT('Iter No Test'!$W$9:$W$5008)-1)+$AR$3889</f>
        <v>0.77755551110217991</v>
      </c>
    </row>
    <row r="3891" spans="22:44">
      <c r="V3891">
        <v>3883</v>
      </c>
      <c r="W3891">
        <v>197.605484944956</v>
      </c>
      <c r="AQ3891">
        <f>SMALL('Iter No Test'!$W$9:$W$5008,3889)</f>
        <v>277.92826749313542</v>
      </c>
      <c r="AR3891">
        <f>1/(COUNT('Iter No Test'!$W$9:$W$5008)-1)+$AR$3890</f>
        <v>0.77775555111018146</v>
      </c>
    </row>
    <row r="3892" spans="22:44">
      <c r="V3892">
        <v>3884</v>
      </c>
      <c r="W3892">
        <v>36.522089971857525</v>
      </c>
      <c r="AQ3892">
        <f>SMALL('Iter No Test'!$W$9:$W$5008,3890)</f>
        <v>277.99903471952427</v>
      </c>
      <c r="AR3892">
        <f>1/(COUNT('Iter No Test'!$W$9:$W$5008)-1)+$AR$3891</f>
        <v>0.77795559111818302</v>
      </c>
    </row>
    <row r="3893" spans="22:44">
      <c r="V3893">
        <v>3885</v>
      </c>
      <c r="W3893">
        <v>200.83375906617619</v>
      </c>
      <c r="AQ3893">
        <f>SMALL('Iter No Test'!$W$9:$W$5008,3891)</f>
        <v>278.03563692987274</v>
      </c>
      <c r="AR3893">
        <f>1/(COUNT('Iter No Test'!$W$9:$W$5008)-1)+$AR$3892</f>
        <v>0.77815563112618458</v>
      </c>
    </row>
    <row r="3894" spans="22:44">
      <c r="V3894">
        <v>3886</v>
      </c>
      <c r="W3894">
        <v>304.58231368711773</v>
      </c>
      <c r="AQ3894">
        <f>SMALL('Iter No Test'!$W$9:$W$5008,3892)</f>
        <v>278.0903591025056</v>
      </c>
      <c r="AR3894">
        <f>1/(COUNT('Iter No Test'!$W$9:$W$5008)-1)+$AR$3893</f>
        <v>0.77835567113418613</v>
      </c>
    </row>
    <row r="3895" spans="22:44">
      <c r="V3895">
        <v>3887</v>
      </c>
      <c r="W3895">
        <v>379.28042209678949</v>
      </c>
      <c r="AQ3895">
        <f>SMALL('Iter No Test'!$W$9:$W$5008,3893)</f>
        <v>278.09795142915249</v>
      </c>
      <c r="AR3895">
        <f>1/(COUNT('Iter No Test'!$W$9:$W$5008)-1)+$AR$3894</f>
        <v>0.77855571114218769</v>
      </c>
    </row>
    <row r="3896" spans="22:44">
      <c r="V3896">
        <v>3888</v>
      </c>
      <c r="W3896">
        <v>145.01420420759166</v>
      </c>
      <c r="AQ3896">
        <f>SMALL('Iter No Test'!$W$9:$W$5008,3894)</f>
        <v>278.10206137780722</v>
      </c>
      <c r="AR3896">
        <f>1/(COUNT('Iter No Test'!$W$9:$W$5008)-1)+$AR$3895</f>
        <v>0.77875575115018925</v>
      </c>
    </row>
    <row r="3897" spans="22:44">
      <c r="V3897">
        <v>3889</v>
      </c>
      <c r="W3897">
        <v>334.93253433604616</v>
      </c>
      <c r="AQ3897">
        <f>SMALL('Iter No Test'!$W$9:$W$5008,3895)</f>
        <v>278.2610205361803</v>
      </c>
      <c r="AR3897">
        <f>1/(COUNT('Iter No Test'!$W$9:$W$5008)-1)+$AR$3896</f>
        <v>0.7789557911581908</v>
      </c>
    </row>
    <row r="3898" spans="22:44">
      <c r="V3898">
        <v>3890</v>
      </c>
      <c r="W3898">
        <v>123.58412861161342</v>
      </c>
      <c r="AQ3898">
        <f>SMALL('Iter No Test'!$W$9:$W$5008,3896)</f>
        <v>278.26337739688245</v>
      </c>
      <c r="AR3898">
        <f>1/(COUNT('Iter No Test'!$W$9:$W$5008)-1)+$AR$3897</f>
        <v>0.77915583116619236</v>
      </c>
    </row>
    <row r="3899" spans="22:44">
      <c r="V3899">
        <v>3891</v>
      </c>
      <c r="W3899">
        <v>226.72588468674826</v>
      </c>
      <c r="AQ3899">
        <f>SMALL('Iter No Test'!$W$9:$W$5008,3897)</f>
        <v>278.27139361001537</v>
      </c>
      <c r="AR3899">
        <f>1/(COUNT('Iter No Test'!$W$9:$W$5008)-1)+$AR$3898</f>
        <v>0.77935587117419391</v>
      </c>
    </row>
    <row r="3900" spans="22:44">
      <c r="V3900">
        <v>3892</v>
      </c>
      <c r="W3900">
        <v>145.46310235213807</v>
      </c>
      <c r="AQ3900">
        <f>SMALL('Iter No Test'!$W$9:$W$5008,3898)</f>
        <v>278.32214665628982</v>
      </c>
      <c r="AR3900">
        <f>1/(COUNT('Iter No Test'!$W$9:$W$5008)-1)+$AR$3899</f>
        <v>0.77955591118219547</v>
      </c>
    </row>
    <row r="3901" spans="22:44">
      <c r="V3901">
        <v>3893</v>
      </c>
      <c r="W3901">
        <v>308.65819867283602</v>
      </c>
      <c r="AQ3901">
        <f>SMALL('Iter No Test'!$W$9:$W$5008,3899)</f>
        <v>278.33312939025086</v>
      </c>
      <c r="AR3901">
        <f>1/(COUNT('Iter No Test'!$W$9:$W$5008)-1)+$AR$3900</f>
        <v>0.77975595119019703</v>
      </c>
    </row>
    <row r="3902" spans="22:44">
      <c r="V3902">
        <v>3894</v>
      </c>
      <c r="W3902">
        <v>138.46490497892015</v>
      </c>
      <c r="AQ3902">
        <f>SMALL('Iter No Test'!$W$9:$W$5008,3900)</f>
        <v>278.35413948675466</v>
      </c>
      <c r="AR3902">
        <f>1/(COUNT('Iter No Test'!$W$9:$W$5008)-1)+$AR$3901</f>
        <v>0.77995599119819858</v>
      </c>
    </row>
    <row r="3903" spans="22:44">
      <c r="V3903">
        <v>3895</v>
      </c>
      <c r="W3903">
        <v>57.032836783285063</v>
      </c>
      <c r="AQ3903">
        <f>SMALL('Iter No Test'!$W$9:$W$5008,3901)</f>
        <v>278.51988953451973</v>
      </c>
      <c r="AR3903">
        <f>1/(COUNT('Iter No Test'!$W$9:$W$5008)-1)+$AR$3902</f>
        <v>0.78015603120620014</v>
      </c>
    </row>
    <row r="3904" spans="22:44">
      <c r="V3904">
        <v>3896</v>
      </c>
      <c r="W3904">
        <v>110.7387572502512</v>
      </c>
      <c r="AQ3904">
        <f>SMALL('Iter No Test'!$W$9:$W$5008,3902)</f>
        <v>278.69080595454272</v>
      </c>
      <c r="AR3904">
        <f>1/(COUNT('Iter No Test'!$W$9:$W$5008)-1)+$AR$3903</f>
        <v>0.7803560712142017</v>
      </c>
    </row>
    <row r="3905" spans="22:44">
      <c r="V3905">
        <v>3897</v>
      </c>
      <c r="W3905">
        <v>75.590494327453285</v>
      </c>
      <c r="AQ3905">
        <f>SMALL('Iter No Test'!$W$9:$W$5008,3903)</f>
        <v>278.81493714360761</v>
      </c>
      <c r="AR3905">
        <f>1/(COUNT('Iter No Test'!$W$9:$W$5008)-1)+$AR$3904</f>
        <v>0.78055611122220325</v>
      </c>
    </row>
    <row r="3906" spans="22:44">
      <c r="V3906">
        <v>3898</v>
      </c>
      <c r="W3906">
        <v>249.35603580569637</v>
      </c>
      <c r="AQ3906">
        <f>SMALL('Iter No Test'!$W$9:$W$5008,3904)</f>
        <v>278.82901844277194</v>
      </c>
      <c r="AR3906">
        <f>1/(COUNT('Iter No Test'!$W$9:$W$5008)-1)+$AR$3905</f>
        <v>0.78075615123020481</v>
      </c>
    </row>
    <row r="3907" spans="22:44">
      <c r="V3907">
        <v>3899</v>
      </c>
      <c r="W3907">
        <v>189.473298380263</v>
      </c>
      <c r="AQ3907">
        <f>SMALL('Iter No Test'!$W$9:$W$5008,3905)</f>
        <v>278.84479896444986</v>
      </c>
      <c r="AR3907">
        <f>1/(COUNT('Iter No Test'!$W$9:$W$5008)-1)+$AR$3906</f>
        <v>0.78095619123820637</v>
      </c>
    </row>
    <row r="3908" spans="22:44">
      <c r="V3908">
        <v>3900</v>
      </c>
      <c r="W3908">
        <v>291.23949640639933</v>
      </c>
      <c r="AQ3908">
        <f>SMALL('Iter No Test'!$W$9:$W$5008,3906)</f>
        <v>278.88653289992556</v>
      </c>
      <c r="AR3908">
        <f>1/(COUNT('Iter No Test'!$W$9:$W$5008)-1)+$AR$3907</f>
        <v>0.78115623124620792</v>
      </c>
    </row>
    <row r="3909" spans="22:44">
      <c r="V3909">
        <v>3901</v>
      </c>
      <c r="W3909">
        <v>204.1744334797165</v>
      </c>
      <c r="AQ3909">
        <f>SMALL('Iter No Test'!$W$9:$W$5008,3907)</f>
        <v>278.92608917941902</v>
      </c>
      <c r="AR3909">
        <f>1/(COUNT('Iter No Test'!$W$9:$W$5008)-1)+$AR$3908</f>
        <v>0.78135627125420948</v>
      </c>
    </row>
    <row r="3910" spans="22:44">
      <c r="V3910">
        <v>3902</v>
      </c>
      <c r="W3910">
        <v>211.31112127893914</v>
      </c>
      <c r="AQ3910">
        <f>SMALL('Iter No Test'!$W$9:$W$5008,3908)</f>
        <v>279.11345309467151</v>
      </c>
      <c r="AR3910">
        <f>1/(COUNT('Iter No Test'!$W$9:$W$5008)-1)+$AR$3909</f>
        <v>0.78155631126221103</v>
      </c>
    </row>
    <row r="3911" spans="22:44">
      <c r="V3911">
        <v>3903</v>
      </c>
      <c r="W3911">
        <v>131.63381348202492</v>
      </c>
      <c r="AQ3911">
        <f>SMALL('Iter No Test'!$W$9:$W$5008,3909)</f>
        <v>279.159037673699</v>
      </c>
      <c r="AR3911">
        <f>1/(COUNT('Iter No Test'!$W$9:$W$5008)-1)+$AR$3910</f>
        <v>0.78175635127021259</v>
      </c>
    </row>
    <row r="3912" spans="22:44">
      <c r="V3912">
        <v>3904</v>
      </c>
      <c r="W3912">
        <v>206.28748195201712</v>
      </c>
      <c r="AQ3912">
        <f>SMALL('Iter No Test'!$W$9:$W$5008,3910)</f>
        <v>279.19641324147801</v>
      </c>
      <c r="AR3912">
        <f>1/(COUNT('Iter No Test'!$W$9:$W$5008)-1)+$AR$3911</f>
        <v>0.78195639127821415</v>
      </c>
    </row>
    <row r="3913" spans="22:44">
      <c r="V3913">
        <v>3905</v>
      </c>
      <c r="W3913">
        <v>183.31866941459262</v>
      </c>
      <c r="AQ3913">
        <f>SMALL('Iter No Test'!$W$9:$W$5008,3911)</f>
        <v>279.23858418167237</v>
      </c>
      <c r="AR3913">
        <f>1/(COUNT('Iter No Test'!$W$9:$W$5008)-1)+$AR$3912</f>
        <v>0.7821564312862157</v>
      </c>
    </row>
    <row r="3914" spans="22:44">
      <c r="V3914">
        <v>3906</v>
      </c>
      <c r="W3914">
        <v>194.76866096634831</v>
      </c>
      <c r="AQ3914">
        <f>SMALL('Iter No Test'!$W$9:$W$5008,3912)</f>
        <v>279.39688377410926</v>
      </c>
      <c r="AR3914">
        <f>1/(COUNT('Iter No Test'!$W$9:$W$5008)-1)+$AR$3913</f>
        <v>0.78235647129421726</v>
      </c>
    </row>
    <row r="3915" spans="22:44">
      <c r="V3915">
        <v>3907</v>
      </c>
      <c r="W3915">
        <v>253.76677248963421</v>
      </c>
      <c r="AQ3915">
        <f>SMALL('Iter No Test'!$W$9:$W$5008,3913)</f>
        <v>279.4458849441321</v>
      </c>
      <c r="AR3915">
        <f>1/(COUNT('Iter No Test'!$W$9:$W$5008)-1)+$AR$3914</f>
        <v>0.78255651130221882</v>
      </c>
    </row>
    <row r="3916" spans="22:44">
      <c r="V3916">
        <v>3908</v>
      </c>
      <c r="W3916">
        <v>131.55983183266198</v>
      </c>
      <c r="AQ3916">
        <f>SMALL('Iter No Test'!$W$9:$W$5008,3914)</f>
        <v>279.46427421129829</v>
      </c>
      <c r="AR3916">
        <f>1/(COUNT('Iter No Test'!$W$9:$W$5008)-1)+$AR$3915</f>
        <v>0.78275655131022037</v>
      </c>
    </row>
    <row r="3917" spans="22:44">
      <c r="V3917">
        <v>3909</v>
      </c>
      <c r="W3917">
        <v>192.40227921874177</v>
      </c>
      <c r="AQ3917">
        <f>SMALL('Iter No Test'!$W$9:$W$5008,3915)</f>
        <v>279.55521737794913</v>
      </c>
      <c r="AR3917">
        <f>1/(COUNT('Iter No Test'!$W$9:$W$5008)-1)+$AR$3916</f>
        <v>0.78295659131822193</v>
      </c>
    </row>
    <row r="3918" spans="22:44">
      <c r="V3918">
        <v>3910</v>
      </c>
      <c r="W3918">
        <v>122.30728429766407</v>
      </c>
      <c r="AQ3918">
        <f>SMALL('Iter No Test'!$W$9:$W$5008,3916)</f>
        <v>279.59316247038828</v>
      </c>
      <c r="AR3918">
        <f>1/(COUNT('Iter No Test'!$W$9:$W$5008)-1)+$AR$3917</f>
        <v>0.78315663132622348</v>
      </c>
    </row>
    <row r="3919" spans="22:44">
      <c r="V3919">
        <v>3911</v>
      </c>
      <c r="W3919">
        <v>197.50894809017265</v>
      </c>
      <c r="AQ3919">
        <f>SMALL('Iter No Test'!$W$9:$W$5008,3917)</f>
        <v>279.73450014481597</v>
      </c>
      <c r="AR3919">
        <f>1/(COUNT('Iter No Test'!$W$9:$W$5008)-1)+$AR$3918</f>
        <v>0.78335667133422504</v>
      </c>
    </row>
    <row r="3920" spans="22:44">
      <c r="V3920">
        <v>3912</v>
      </c>
      <c r="W3920">
        <v>230.86753078539439</v>
      </c>
      <c r="AQ3920">
        <f>SMALL('Iter No Test'!$W$9:$W$5008,3918)</f>
        <v>279.78189370960069</v>
      </c>
      <c r="AR3920">
        <f>1/(COUNT('Iter No Test'!$W$9:$W$5008)-1)+$AR$3919</f>
        <v>0.7835567113422266</v>
      </c>
    </row>
    <row r="3921" spans="22:44">
      <c r="V3921">
        <v>3913</v>
      </c>
      <c r="W3921">
        <v>267.15025976776462</v>
      </c>
      <c r="AQ3921">
        <f>SMALL('Iter No Test'!$W$9:$W$5008,3919)</f>
        <v>279.79174443127226</v>
      </c>
      <c r="AR3921">
        <f>1/(COUNT('Iter No Test'!$W$9:$W$5008)-1)+$AR$3920</f>
        <v>0.78375675135022815</v>
      </c>
    </row>
    <row r="3922" spans="22:44">
      <c r="V3922">
        <v>3914</v>
      </c>
      <c r="W3922">
        <v>163.92198762057811</v>
      </c>
      <c r="AQ3922">
        <f>SMALL('Iter No Test'!$W$9:$W$5008,3920)</f>
        <v>279.82991715886374</v>
      </c>
      <c r="AR3922">
        <f>1/(COUNT('Iter No Test'!$W$9:$W$5008)-1)+$AR$3921</f>
        <v>0.78395679135822971</v>
      </c>
    </row>
    <row r="3923" spans="22:44">
      <c r="V3923">
        <v>3915</v>
      </c>
      <c r="W3923">
        <v>216.35987239598489</v>
      </c>
      <c r="AQ3923">
        <f>SMALL('Iter No Test'!$W$9:$W$5008,3921)</f>
        <v>279.98803731994508</v>
      </c>
      <c r="AR3923">
        <f>1/(COUNT('Iter No Test'!$W$9:$W$5008)-1)+$AR$3922</f>
        <v>0.78415683136623127</v>
      </c>
    </row>
    <row r="3924" spans="22:44">
      <c r="V3924">
        <v>3916</v>
      </c>
      <c r="W3924">
        <v>189.56834904557996</v>
      </c>
      <c r="AQ3924">
        <f>SMALL('Iter No Test'!$W$9:$W$5008,3922)</f>
        <v>280.0491284655435</v>
      </c>
      <c r="AR3924">
        <f>1/(COUNT('Iter No Test'!$W$9:$W$5008)-1)+$AR$3923</f>
        <v>0.78435687137423282</v>
      </c>
    </row>
    <row r="3925" spans="22:44">
      <c r="V3925">
        <v>3917</v>
      </c>
      <c r="W3925">
        <v>203.08876969958177</v>
      </c>
      <c r="AQ3925">
        <f>SMALL('Iter No Test'!$W$9:$W$5008,3923)</f>
        <v>280.09856603841911</v>
      </c>
      <c r="AR3925">
        <f>1/(COUNT('Iter No Test'!$W$9:$W$5008)-1)+$AR$3924</f>
        <v>0.78455691138223438</v>
      </c>
    </row>
    <row r="3926" spans="22:44">
      <c r="V3926">
        <v>3918</v>
      </c>
      <c r="W3926">
        <v>165.68061029147506</v>
      </c>
      <c r="AQ3926">
        <f>SMALL('Iter No Test'!$W$9:$W$5008,3924)</f>
        <v>280.11362764932653</v>
      </c>
      <c r="AR3926">
        <f>1/(COUNT('Iter No Test'!$W$9:$W$5008)-1)+$AR$3925</f>
        <v>0.78475695139023594</v>
      </c>
    </row>
    <row r="3927" spans="22:44">
      <c r="V3927">
        <v>3919</v>
      </c>
      <c r="W3927">
        <v>171.22863563678311</v>
      </c>
      <c r="AQ3927">
        <f>SMALL('Iter No Test'!$W$9:$W$5008,3925)</f>
        <v>280.15907173764623</v>
      </c>
      <c r="AR3927">
        <f>1/(COUNT('Iter No Test'!$W$9:$W$5008)-1)+$AR$3926</f>
        <v>0.78495699139823749</v>
      </c>
    </row>
    <row r="3928" spans="22:44">
      <c r="V3928">
        <v>3920</v>
      </c>
      <c r="W3928">
        <v>250.26603512108935</v>
      </c>
      <c r="AQ3928">
        <f>SMALL('Iter No Test'!$W$9:$W$5008,3926)</f>
        <v>280.24674745183415</v>
      </c>
      <c r="AR3928">
        <f>1/(COUNT('Iter No Test'!$W$9:$W$5008)-1)+$AR$3927</f>
        <v>0.78515703140623905</v>
      </c>
    </row>
    <row r="3929" spans="22:44">
      <c r="V3929">
        <v>3921</v>
      </c>
      <c r="W3929">
        <v>176.68599244597661</v>
      </c>
      <c r="AQ3929">
        <f>SMALL('Iter No Test'!$W$9:$W$5008,3927)</f>
        <v>280.30108744399035</v>
      </c>
      <c r="AR3929">
        <f>1/(COUNT('Iter No Test'!$W$9:$W$5008)-1)+$AR$3928</f>
        <v>0.7853570714142406</v>
      </c>
    </row>
    <row r="3930" spans="22:44">
      <c r="V3930">
        <v>3922</v>
      </c>
      <c r="W3930">
        <v>192.48809783795278</v>
      </c>
      <c r="AQ3930">
        <f>SMALL('Iter No Test'!$W$9:$W$5008,3928)</f>
        <v>280.31396795596595</v>
      </c>
      <c r="AR3930">
        <f>1/(COUNT('Iter No Test'!$W$9:$W$5008)-1)+$AR$3929</f>
        <v>0.78555711142224216</v>
      </c>
    </row>
    <row r="3931" spans="22:44">
      <c r="V3931">
        <v>3923</v>
      </c>
      <c r="W3931">
        <v>159.16185411037085</v>
      </c>
      <c r="AQ3931">
        <f>SMALL('Iter No Test'!$W$9:$W$5008,3929)</f>
        <v>280.34070758581998</v>
      </c>
      <c r="AR3931">
        <f>1/(COUNT('Iter No Test'!$W$9:$W$5008)-1)+$AR$3930</f>
        <v>0.78575715143024372</v>
      </c>
    </row>
    <row r="3932" spans="22:44">
      <c r="V3932">
        <v>3924</v>
      </c>
      <c r="W3932">
        <v>144.87590664833175</v>
      </c>
      <c r="AQ3932">
        <f>SMALL('Iter No Test'!$W$9:$W$5008,3930)</f>
        <v>280.46554830121016</v>
      </c>
      <c r="AR3932">
        <f>1/(COUNT('Iter No Test'!$W$9:$W$5008)-1)+$AR$3931</f>
        <v>0.78595719143824527</v>
      </c>
    </row>
    <row r="3933" spans="22:44">
      <c r="V3933">
        <v>3925</v>
      </c>
      <c r="W3933">
        <v>247.02532372548126</v>
      </c>
      <c r="AQ3933">
        <f>SMALL('Iter No Test'!$W$9:$W$5008,3931)</f>
        <v>280.49076040317334</v>
      </c>
      <c r="AR3933">
        <f>1/(COUNT('Iter No Test'!$W$9:$W$5008)-1)+$AR$3932</f>
        <v>0.78615723144624683</v>
      </c>
    </row>
    <row r="3934" spans="22:44">
      <c r="V3934">
        <v>3926</v>
      </c>
      <c r="W3934">
        <v>231.00623699604017</v>
      </c>
      <c r="AQ3934">
        <f>SMALL('Iter No Test'!$W$9:$W$5008,3932)</f>
        <v>280.49494940698855</v>
      </c>
      <c r="AR3934">
        <f>1/(COUNT('Iter No Test'!$W$9:$W$5008)-1)+$AR$3933</f>
        <v>0.78635727145424839</v>
      </c>
    </row>
    <row r="3935" spans="22:44">
      <c r="V3935">
        <v>3927</v>
      </c>
      <c r="W3935">
        <v>121.45601545141008</v>
      </c>
      <c r="AQ3935">
        <f>SMALL('Iter No Test'!$W$9:$W$5008,3933)</f>
        <v>280.59562891458518</v>
      </c>
      <c r="AR3935">
        <f>1/(COUNT('Iter No Test'!$W$9:$W$5008)-1)+$AR$3934</f>
        <v>0.78655731146224994</v>
      </c>
    </row>
    <row r="3936" spans="22:44">
      <c r="V3936">
        <v>3928</v>
      </c>
      <c r="W3936">
        <v>122.69767482743802</v>
      </c>
      <c r="AQ3936">
        <f>SMALL('Iter No Test'!$W$9:$W$5008,3934)</f>
        <v>280.60866716587691</v>
      </c>
      <c r="AR3936">
        <f>1/(COUNT('Iter No Test'!$W$9:$W$5008)-1)+$AR$3935</f>
        <v>0.7867573514702515</v>
      </c>
    </row>
    <row r="3937" spans="22:44">
      <c r="V3937">
        <v>3929</v>
      </c>
      <c r="W3937">
        <v>285.0355429132245</v>
      </c>
      <c r="AQ3937">
        <f>SMALL('Iter No Test'!$W$9:$W$5008,3935)</f>
        <v>280.61394336911741</v>
      </c>
      <c r="AR3937">
        <f>1/(COUNT('Iter No Test'!$W$9:$W$5008)-1)+$AR$3936</f>
        <v>0.78695739147825305</v>
      </c>
    </row>
    <row r="3938" spans="22:44">
      <c r="V3938">
        <v>3930</v>
      </c>
      <c r="W3938">
        <v>222.1426350882887</v>
      </c>
      <c r="AQ3938">
        <f>SMALL('Iter No Test'!$W$9:$W$5008,3936)</f>
        <v>280.68857607965532</v>
      </c>
      <c r="AR3938">
        <f>1/(COUNT('Iter No Test'!$W$9:$W$5008)-1)+$AR$3937</f>
        <v>0.78715743148625461</v>
      </c>
    </row>
    <row r="3939" spans="22:44">
      <c r="V3939">
        <v>3931</v>
      </c>
      <c r="W3939">
        <v>180.05587438185833</v>
      </c>
      <c r="AQ3939">
        <f>SMALL('Iter No Test'!$W$9:$W$5008,3937)</f>
        <v>280.71904865165641</v>
      </c>
      <c r="AR3939">
        <f>1/(COUNT('Iter No Test'!$W$9:$W$5008)-1)+$AR$3938</f>
        <v>0.78735747149425617</v>
      </c>
    </row>
    <row r="3940" spans="22:44">
      <c r="V3940">
        <v>3932</v>
      </c>
      <c r="W3940">
        <v>154.71031359689042</v>
      </c>
      <c r="AQ3940">
        <f>SMALL('Iter No Test'!$W$9:$W$5008,3938)</f>
        <v>280.95123062107393</v>
      </c>
      <c r="AR3940">
        <f>1/(COUNT('Iter No Test'!$W$9:$W$5008)-1)+$AR$3939</f>
        <v>0.78755751150225772</v>
      </c>
    </row>
    <row r="3941" spans="22:44">
      <c r="V3941">
        <v>3933</v>
      </c>
      <c r="W3941">
        <v>193.78958515219119</v>
      </c>
      <c r="AQ3941">
        <f>SMALL('Iter No Test'!$W$9:$W$5008,3939)</f>
        <v>280.98765205260401</v>
      </c>
      <c r="AR3941">
        <f>1/(COUNT('Iter No Test'!$W$9:$W$5008)-1)+$AR$3940</f>
        <v>0.78775755151025928</v>
      </c>
    </row>
    <row r="3942" spans="22:44">
      <c r="V3942">
        <v>3934</v>
      </c>
      <c r="W3942">
        <v>153.44481229735342</v>
      </c>
      <c r="AQ3942">
        <f>SMALL('Iter No Test'!$W$9:$W$5008,3940)</f>
        <v>281.26268097490833</v>
      </c>
      <c r="AR3942">
        <f>1/(COUNT('Iter No Test'!$W$9:$W$5008)-1)+$AR$3941</f>
        <v>0.78795759151826084</v>
      </c>
    </row>
    <row r="3943" spans="22:44">
      <c r="V3943">
        <v>3935</v>
      </c>
      <c r="W3943">
        <v>290.48730621450875</v>
      </c>
      <c r="AQ3943">
        <f>SMALL('Iter No Test'!$W$9:$W$5008,3941)</f>
        <v>281.3208114268233</v>
      </c>
      <c r="AR3943">
        <f>1/(COUNT('Iter No Test'!$W$9:$W$5008)-1)+$AR$3942</f>
        <v>0.78815763152626239</v>
      </c>
    </row>
    <row r="3944" spans="22:44">
      <c r="V3944">
        <v>3936</v>
      </c>
      <c r="W3944">
        <v>-1.6854059086602717</v>
      </c>
      <c r="AQ3944">
        <f>SMALL('Iter No Test'!$W$9:$W$5008,3942)</f>
        <v>281.33250701202513</v>
      </c>
      <c r="AR3944">
        <f>1/(COUNT('Iter No Test'!$W$9:$W$5008)-1)+$AR$3943</f>
        <v>0.78835767153426395</v>
      </c>
    </row>
    <row r="3945" spans="22:44">
      <c r="V3945">
        <v>3937</v>
      </c>
      <c r="W3945">
        <v>51.116664904356398</v>
      </c>
      <c r="AQ3945">
        <f>SMALL('Iter No Test'!$W$9:$W$5008,3943)</f>
        <v>281.35204449088724</v>
      </c>
      <c r="AR3945">
        <f>1/(COUNT('Iter No Test'!$W$9:$W$5008)-1)+$AR$3944</f>
        <v>0.7885577115422655</v>
      </c>
    </row>
    <row r="3946" spans="22:44">
      <c r="V3946">
        <v>3938</v>
      </c>
      <c r="W3946">
        <v>251.21093759414009</v>
      </c>
      <c r="AQ3946">
        <f>SMALL('Iter No Test'!$W$9:$W$5008,3944)</f>
        <v>281.37612695821269</v>
      </c>
      <c r="AR3946">
        <f>1/(COUNT('Iter No Test'!$W$9:$W$5008)-1)+$AR$3945</f>
        <v>0.78875775155026706</v>
      </c>
    </row>
    <row r="3947" spans="22:44">
      <c r="V3947">
        <v>3939</v>
      </c>
      <c r="W3947">
        <v>171.13507274534305</v>
      </c>
      <c r="AQ3947">
        <f>SMALL('Iter No Test'!$W$9:$W$5008,3945)</f>
        <v>281.42263154182183</v>
      </c>
      <c r="AR3947">
        <f>1/(COUNT('Iter No Test'!$W$9:$W$5008)-1)+$AR$3946</f>
        <v>0.78895779155826862</v>
      </c>
    </row>
    <row r="3948" spans="22:44">
      <c r="V3948">
        <v>3940</v>
      </c>
      <c r="W3948">
        <v>78.809304095315483</v>
      </c>
      <c r="AQ3948">
        <f>SMALL('Iter No Test'!$W$9:$W$5008,3946)</f>
        <v>281.47481526793047</v>
      </c>
      <c r="AR3948">
        <f>1/(COUNT('Iter No Test'!$W$9:$W$5008)-1)+$AR$3947</f>
        <v>0.78915783156627017</v>
      </c>
    </row>
    <row r="3949" spans="22:44">
      <c r="V3949">
        <v>3941</v>
      </c>
      <c r="W3949">
        <v>407.61089365594739</v>
      </c>
      <c r="AQ3949">
        <f>SMALL('Iter No Test'!$W$9:$W$5008,3947)</f>
        <v>281.71158570130922</v>
      </c>
      <c r="AR3949">
        <f>1/(COUNT('Iter No Test'!$W$9:$W$5008)-1)+$AR$3948</f>
        <v>0.78935787157427173</v>
      </c>
    </row>
    <row r="3950" spans="22:44">
      <c r="V3950">
        <v>3942</v>
      </c>
      <c r="W3950">
        <v>99.420177961898233</v>
      </c>
      <c r="AQ3950">
        <f>SMALL('Iter No Test'!$W$9:$W$5008,3948)</f>
        <v>281.75452202883343</v>
      </c>
      <c r="AR3950">
        <f>1/(COUNT('Iter No Test'!$W$9:$W$5008)-1)+$AR$3949</f>
        <v>0.78955791158227329</v>
      </c>
    </row>
    <row r="3951" spans="22:44">
      <c r="V3951">
        <v>3943</v>
      </c>
      <c r="W3951">
        <v>392.09731634326454</v>
      </c>
      <c r="AQ3951">
        <f>SMALL('Iter No Test'!$W$9:$W$5008,3949)</f>
        <v>281.78549826487586</v>
      </c>
      <c r="AR3951">
        <f>1/(COUNT('Iter No Test'!$W$9:$W$5008)-1)+$AR$3950</f>
        <v>0.78975795159027484</v>
      </c>
    </row>
    <row r="3952" spans="22:44">
      <c r="V3952">
        <v>3944</v>
      </c>
      <c r="W3952">
        <v>261.96194542605315</v>
      </c>
      <c r="AQ3952">
        <f>SMALL('Iter No Test'!$W$9:$W$5008,3950)</f>
        <v>281.79880308966108</v>
      </c>
      <c r="AR3952">
        <f>1/(COUNT('Iter No Test'!$W$9:$W$5008)-1)+$AR$3951</f>
        <v>0.7899579915982764</v>
      </c>
    </row>
    <row r="3953" spans="22:44">
      <c r="V3953">
        <v>3945</v>
      </c>
      <c r="W3953">
        <v>332.51296763722655</v>
      </c>
      <c r="AQ3953">
        <f>SMALL('Iter No Test'!$W$9:$W$5008,3951)</f>
        <v>281.88738379647941</v>
      </c>
      <c r="AR3953">
        <f>1/(COUNT('Iter No Test'!$W$9:$W$5008)-1)+$AR$3952</f>
        <v>0.79015803160627796</v>
      </c>
    </row>
    <row r="3954" spans="22:44">
      <c r="V3954">
        <v>3946</v>
      </c>
      <c r="W3954">
        <v>315.14490864211933</v>
      </c>
      <c r="AQ3954">
        <f>SMALL('Iter No Test'!$W$9:$W$5008,3952)</f>
        <v>281.89954071048942</v>
      </c>
      <c r="AR3954">
        <f>1/(COUNT('Iter No Test'!$W$9:$W$5008)-1)+$AR$3953</f>
        <v>0.79035807161427951</v>
      </c>
    </row>
    <row r="3955" spans="22:44">
      <c r="V3955">
        <v>3947</v>
      </c>
      <c r="W3955">
        <v>155.44231248032506</v>
      </c>
      <c r="AQ3955">
        <f>SMALL('Iter No Test'!$W$9:$W$5008,3953)</f>
        <v>281.92898362394237</v>
      </c>
      <c r="AR3955">
        <f>1/(COUNT('Iter No Test'!$W$9:$W$5008)-1)+$AR$3954</f>
        <v>0.79055811162228107</v>
      </c>
    </row>
    <row r="3956" spans="22:44">
      <c r="V3956">
        <v>3948</v>
      </c>
      <c r="W3956">
        <v>262.77178081905254</v>
      </c>
      <c r="AQ3956">
        <f>SMALL('Iter No Test'!$W$9:$W$5008,3954)</f>
        <v>281.97973519994491</v>
      </c>
      <c r="AR3956">
        <f>1/(COUNT('Iter No Test'!$W$9:$W$5008)-1)+$AR$3955</f>
        <v>0.79075815163028262</v>
      </c>
    </row>
    <row r="3957" spans="22:44">
      <c r="V3957">
        <v>3949</v>
      </c>
      <c r="W3957">
        <v>392.41986054291431</v>
      </c>
      <c r="AQ3957">
        <f>SMALL('Iter No Test'!$W$9:$W$5008,3955)</f>
        <v>281.98737301394402</v>
      </c>
      <c r="AR3957">
        <f>1/(COUNT('Iter No Test'!$W$9:$W$5008)-1)+$AR$3956</f>
        <v>0.79095819163828418</v>
      </c>
    </row>
    <row r="3958" spans="22:44">
      <c r="V3958">
        <v>3950</v>
      </c>
      <c r="W3958">
        <v>316.71440563396453</v>
      </c>
      <c r="AQ3958">
        <f>SMALL('Iter No Test'!$W$9:$W$5008,3956)</f>
        <v>281.992094749655</v>
      </c>
      <c r="AR3958">
        <f>1/(COUNT('Iter No Test'!$W$9:$W$5008)-1)+$AR$3957</f>
        <v>0.79115823164628574</v>
      </c>
    </row>
    <row r="3959" spans="22:44">
      <c r="V3959">
        <v>3951</v>
      </c>
      <c r="W3959">
        <v>247.81917408433324</v>
      </c>
      <c r="AQ3959">
        <f>SMALL('Iter No Test'!$W$9:$W$5008,3957)</f>
        <v>282.0331342923696</v>
      </c>
      <c r="AR3959">
        <f>1/(COUNT('Iter No Test'!$W$9:$W$5008)-1)+$AR$3958</f>
        <v>0.79135827165428729</v>
      </c>
    </row>
    <row r="3960" spans="22:44">
      <c r="V3960">
        <v>3952</v>
      </c>
      <c r="W3960">
        <v>231.28283055769526</v>
      </c>
      <c r="AQ3960">
        <f>SMALL('Iter No Test'!$W$9:$W$5008,3958)</f>
        <v>282.06604596920238</v>
      </c>
      <c r="AR3960">
        <f>1/(COUNT('Iter No Test'!$W$9:$W$5008)-1)+$AR$3959</f>
        <v>0.79155831166228885</v>
      </c>
    </row>
    <row r="3961" spans="22:44">
      <c r="V3961">
        <v>3953</v>
      </c>
      <c r="W3961">
        <v>283.88879281510174</v>
      </c>
      <c r="AQ3961">
        <f>SMALL('Iter No Test'!$W$9:$W$5008,3959)</f>
        <v>282.11642575973599</v>
      </c>
      <c r="AR3961">
        <f>1/(COUNT('Iter No Test'!$W$9:$W$5008)-1)+$AR$3960</f>
        <v>0.79175835167029041</v>
      </c>
    </row>
    <row r="3962" spans="22:44">
      <c r="V3962">
        <v>3954</v>
      </c>
      <c r="W3962">
        <v>204.90724515027142</v>
      </c>
      <c r="AQ3962">
        <f>SMALL('Iter No Test'!$W$9:$W$5008,3960)</f>
        <v>282.17966122996847</v>
      </c>
      <c r="AR3962">
        <f>1/(COUNT('Iter No Test'!$W$9:$W$5008)-1)+$AR$3961</f>
        <v>0.79195839167829196</v>
      </c>
    </row>
    <row r="3963" spans="22:44">
      <c r="V3963">
        <v>3955</v>
      </c>
      <c r="W3963">
        <v>300.2477939566686</v>
      </c>
      <c r="AQ3963">
        <f>SMALL('Iter No Test'!$W$9:$W$5008,3961)</f>
        <v>282.22219628456185</v>
      </c>
      <c r="AR3963">
        <f>1/(COUNT('Iter No Test'!$W$9:$W$5008)-1)+$AR$3962</f>
        <v>0.79215843168629352</v>
      </c>
    </row>
    <row r="3964" spans="22:44">
      <c r="V3964">
        <v>3956</v>
      </c>
      <c r="W3964">
        <v>179.03038146347993</v>
      </c>
      <c r="AQ3964">
        <f>SMALL('Iter No Test'!$W$9:$W$5008,3962)</f>
        <v>282.25260955608564</v>
      </c>
      <c r="AR3964">
        <f>1/(COUNT('Iter No Test'!$W$9:$W$5008)-1)+$AR$3963</f>
        <v>0.79235847169429507</v>
      </c>
    </row>
    <row r="3965" spans="22:44">
      <c r="V3965">
        <v>3957</v>
      </c>
      <c r="W3965">
        <v>178.44140207395725</v>
      </c>
      <c r="AQ3965">
        <f>SMALL('Iter No Test'!$W$9:$W$5008,3963)</f>
        <v>282.27067843686245</v>
      </c>
      <c r="AR3965">
        <f>1/(COUNT('Iter No Test'!$W$9:$W$5008)-1)+$AR$3964</f>
        <v>0.79255851170229663</v>
      </c>
    </row>
    <row r="3966" spans="22:44">
      <c r="V3966">
        <v>3958</v>
      </c>
      <c r="W3966">
        <v>150.60108078403928</v>
      </c>
      <c r="AQ3966">
        <f>SMALL('Iter No Test'!$W$9:$W$5008,3964)</f>
        <v>282.3361296956881</v>
      </c>
      <c r="AR3966">
        <f>1/(COUNT('Iter No Test'!$W$9:$W$5008)-1)+$AR$3965</f>
        <v>0.79275855171029819</v>
      </c>
    </row>
    <row r="3967" spans="22:44">
      <c r="V3967">
        <v>3959</v>
      </c>
      <c r="W3967">
        <v>242.81631417779238</v>
      </c>
      <c r="AQ3967">
        <f>SMALL('Iter No Test'!$W$9:$W$5008,3965)</f>
        <v>282.40017433669283</v>
      </c>
      <c r="AR3967">
        <f>1/(COUNT('Iter No Test'!$W$9:$W$5008)-1)+$AR$3966</f>
        <v>0.79295859171829974</v>
      </c>
    </row>
    <row r="3968" spans="22:44">
      <c r="V3968">
        <v>3960</v>
      </c>
      <c r="W3968">
        <v>424.14926115347055</v>
      </c>
      <c r="AQ3968">
        <f>SMALL('Iter No Test'!$W$9:$W$5008,3966)</f>
        <v>282.49843567572111</v>
      </c>
      <c r="AR3968">
        <f>1/(COUNT('Iter No Test'!$W$9:$W$5008)-1)+$AR$3967</f>
        <v>0.7931586317263013</v>
      </c>
    </row>
    <row r="3969" spans="22:44">
      <c r="V3969">
        <v>3961</v>
      </c>
      <c r="W3969">
        <v>293.23536056230546</v>
      </c>
      <c r="AQ3969">
        <f>SMALL('Iter No Test'!$W$9:$W$5008,3967)</f>
        <v>282.50543636606812</v>
      </c>
      <c r="AR3969">
        <f>1/(COUNT('Iter No Test'!$W$9:$W$5008)-1)+$AR$3968</f>
        <v>0.79335867173430286</v>
      </c>
    </row>
    <row r="3970" spans="22:44">
      <c r="V3970">
        <v>3962</v>
      </c>
      <c r="W3970">
        <v>378.3262559647826</v>
      </c>
      <c r="AQ3970">
        <f>SMALL('Iter No Test'!$W$9:$W$5008,3968)</f>
        <v>282.58011707709272</v>
      </c>
      <c r="AR3970">
        <f>1/(COUNT('Iter No Test'!$W$9:$W$5008)-1)+$AR$3969</f>
        <v>0.79355871174230441</v>
      </c>
    </row>
    <row r="3971" spans="22:44">
      <c r="V3971">
        <v>3963</v>
      </c>
      <c r="W3971">
        <v>298.7255692663224</v>
      </c>
      <c r="AQ3971">
        <f>SMALL('Iter No Test'!$W$9:$W$5008,3969)</f>
        <v>282.629684268966</v>
      </c>
      <c r="AR3971">
        <f>1/(COUNT('Iter No Test'!$W$9:$W$5008)-1)+$AR$3970</f>
        <v>0.79375875175030597</v>
      </c>
    </row>
    <row r="3972" spans="22:44">
      <c r="V3972">
        <v>3964</v>
      </c>
      <c r="W3972">
        <v>189.28382683785392</v>
      </c>
      <c r="AQ3972">
        <f>SMALL('Iter No Test'!$W$9:$W$5008,3970)</f>
        <v>282.70392108912239</v>
      </c>
      <c r="AR3972">
        <f>1/(COUNT('Iter No Test'!$W$9:$W$5008)-1)+$AR$3971</f>
        <v>0.79395879175830752</v>
      </c>
    </row>
    <row r="3973" spans="22:44">
      <c r="V3973">
        <v>3965</v>
      </c>
      <c r="W3973">
        <v>253.45417526866225</v>
      </c>
      <c r="AQ3973">
        <f>SMALL('Iter No Test'!$W$9:$W$5008,3971)</f>
        <v>282.72519961424689</v>
      </c>
      <c r="AR3973">
        <f>1/(COUNT('Iter No Test'!$W$9:$W$5008)-1)+$AR$3972</f>
        <v>0.79415883176630908</v>
      </c>
    </row>
    <row r="3974" spans="22:44">
      <c r="V3974">
        <v>3966</v>
      </c>
      <c r="W3974">
        <v>166.13288056874615</v>
      </c>
      <c r="AQ3974">
        <f>SMALL('Iter No Test'!$W$9:$W$5008,3972)</f>
        <v>282.90418869437008</v>
      </c>
      <c r="AR3974">
        <f>1/(COUNT('Iter No Test'!$W$9:$W$5008)-1)+$AR$3973</f>
        <v>0.79435887177431064</v>
      </c>
    </row>
    <row r="3975" spans="22:44">
      <c r="V3975">
        <v>3967</v>
      </c>
      <c r="W3975">
        <v>296.9717219828508</v>
      </c>
      <c r="AQ3975">
        <f>SMALL('Iter No Test'!$W$9:$W$5008,3973)</f>
        <v>282.96667559657186</v>
      </c>
      <c r="AR3975">
        <f>1/(COUNT('Iter No Test'!$W$9:$W$5008)-1)+$AR$3974</f>
        <v>0.79455891178231219</v>
      </c>
    </row>
    <row r="3976" spans="22:44">
      <c r="V3976">
        <v>3968</v>
      </c>
      <c r="W3976">
        <v>145.94331375063939</v>
      </c>
      <c r="AQ3976">
        <f>SMALL('Iter No Test'!$W$9:$W$5008,3974)</f>
        <v>283.1441632112676</v>
      </c>
      <c r="AR3976">
        <f>1/(COUNT('Iter No Test'!$W$9:$W$5008)-1)+$AR$3975</f>
        <v>0.79475895179031375</v>
      </c>
    </row>
    <row r="3977" spans="22:44">
      <c r="V3977">
        <v>3969</v>
      </c>
      <c r="W3977">
        <v>289.55787181121786</v>
      </c>
      <c r="AQ3977">
        <f>SMALL('Iter No Test'!$W$9:$W$5008,3975)</f>
        <v>283.15121206483428</v>
      </c>
      <c r="AR3977">
        <f>1/(COUNT('Iter No Test'!$W$9:$W$5008)-1)+$AR$3976</f>
        <v>0.79495899179831531</v>
      </c>
    </row>
    <row r="3978" spans="22:44">
      <c r="V3978">
        <v>3970</v>
      </c>
      <c r="W3978">
        <v>158.91934815314829</v>
      </c>
      <c r="AQ3978">
        <f>SMALL('Iter No Test'!$W$9:$W$5008,3976)</f>
        <v>283.22348778346611</v>
      </c>
      <c r="AR3978">
        <f>1/(COUNT('Iter No Test'!$W$9:$W$5008)-1)+$AR$3977</f>
        <v>0.79515903180631686</v>
      </c>
    </row>
    <row r="3979" spans="22:44">
      <c r="V3979">
        <v>3971</v>
      </c>
      <c r="W3979">
        <v>314.41920589146457</v>
      </c>
      <c r="AQ3979">
        <f>SMALL('Iter No Test'!$W$9:$W$5008,3977)</f>
        <v>283.24191618592789</v>
      </c>
      <c r="AR3979">
        <f>1/(COUNT('Iter No Test'!$W$9:$W$5008)-1)+$AR$3978</f>
        <v>0.79535907181431842</v>
      </c>
    </row>
    <row r="3980" spans="22:44">
      <c r="V3980">
        <v>3972</v>
      </c>
      <c r="W3980">
        <v>200.69974170126599</v>
      </c>
      <c r="AQ3980">
        <f>SMALL('Iter No Test'!$W$9:$W$5008,3978)</f>
        <v>283.28061577256943</v>
      </c>
      <c r="AR3980">
        <f>1/(COUNT('Iter No Test'!$W$9:$W$5008)-1)+$AR$3979</f>
        <v>0.79555911182231998</v>
      </c>
    </row>
    <row r="3981" spans="22:44">
      <c r="V3981">
        <v>3973</v>
      </c>
      <c r="W3981">
        <v>224.18574570770522</v>
      </c>
      <c r="AQ3981">
        <f>SMALL('Iter No Test'!$W$9:$W$5008,3979)</f>
        <v>283.28507867962048</v>
      </c>
      <c r="AR3981">
        <f>1/(COUNT('Iter No Test'!$W$9:$W$5008)-1)+$AR$3980</f>
        <v>0.79575915183032153</v>
      </c>
    </row>
    <row r="3982" spans="22:44">
      <c r="V3982">
        <v>3974</v>
      </c>
      <c r="W3982">
        <v>227.86002596820339</v>
      </c>
      <c r="AQ3982">
        <f>SMALL('Iter No Test'!$W$9:$W$5008,3980)</f>
        <v>283.401988483477</v>
      </c>
      <c r="AR3982">
        <f>1/(COUNT('Iter No Test'!$W$9:$W$5008)-1)+$AR$3981</f>
        <v>0.79595919183832309</v>
      </c>
    </row>
    <row r="3983" spans="22:44">
      <c r="V3983">
        <v>3975</v>
      </c>
      <c r="W3983">
        <v>117.07831402868908</v>
      </c>
      <c r="AQ3983">
        <f>SMALL('Iter No Test'!$W$9:$W$5008,3981)</f>
        <v>283.491385725839</v>
      </c>
      <c r="AR3983">
        <f>1/(COUNT('Iter No Test'!$W$9:$W$5008)-1)+$AR$3982</f>
        <v>0.79615923184632464</v>
      </c>
    </row>
    <row r="3984" spans="22:44">
      <c r="V3984">
        <v>3976</v>
      </c>
      <c r="W3984">
        <v>197.9994021967814</v>
      </c>
      <c r="AQ3984">
        <f>SMALL('Iter No Test'!$W$9:$W$5008,3982)</f>
        <v>283.4938349977952</v>
      </c>
      <c r="AR3984">
        <f>1/(COUNT('Iter No Test'!$W$9:$W$5008)-1)+$AR$3983</f>
        <v>0.7963592718543262</v>
      </c>
    </row>
    <row r="3985" spans="22:44">
      <c r="V3985">
        <v>3977</v>
      </c>
      <c r="W3985">
        <v>230.7382417303117</v>
      </c>
      <c r="AQ3985">
        <f>SMALL('Iter No Test'!$W$9:$W$5008,3983)</f>
        <v>283.56645115565698</v>
      </c>
      <c r="AR3985">
        <f>1/(COUNT('Iter No Test'!$W$9:$W$5008)-1)+$AR$3984</f>
        <v>0.79655931186232776</v>
      </c>
    </row>
    <row r="3986" spans="22:44">
      <c r="V3986">
        <v>3978</v>
      </c>
      <c r="W3986">
        <v>191.36274265799651</v>
      </c>
      <c r="AQ3986">
        <f>SMALL('Iter No Test'!$W$9:$W$5008,3984)</f>
        <v>283.67283938340131</v>
      </c>
      <c r="AR3986">
        <f>1/(COUNT('Iter No Test'!$W$9:$W$5008)-1)+$AR$3985</f>
        <v>0.79675935187032931</v>
      </c>
    </row>
    <row r="3987" spans="22:44">
      <c r="V3987">
        <v>3979</v>
      </c>
      <c r="W3987">
        <v>216.20127472115095</v>
      </c>
      <c r="AQ3987">
        <f>SMALL('Iter No Test'!$W$9:$W$5008,3985)</f>
        <v>283.75378309260657</v>
      </c>
      <c r="AR3987">
        <f>1/(COUNT('Iter No Test'!$W$9:$W$5008)-1)+$AR$3986</f>
        <v>0.79695939187833087</v>
      </c>
    </row>
    <row r="3988" spans="22:44">
      <c r="V3988">
        <v>3980</v>
      </c>
      <c r="W3988">
        <v>112.50741997731708</v>
      </c>
      <c r="AQ3988">
        <f>SMALL('Iter No Test'!$W$9:$W$5008,3986)</f>
        <v>283.80766226043801</v>
      </c>
      <c r="AR3988">
        <f>1/(COUNT('Iter No Test'!$W$9:$W$5008)-1)+$AR$3987</f>
        <v>0.79715943188633243</v>
      </c>
    </row>
    <row r="3989" spans="22:44">
      <c r="V3989">
        <v>3981</v>
      </c>
      <c r="W3989">
        <v>220.66029900630531</v>
      </c>
      <c r="AQ3989">
        <f>SMALL('Iter No Test'!$W$9:$W$5008,3987)</f>
        <v>283.87988134385</v>
      </c>
      <c r="AR3989">
        <f>1/(COUNT('Iter No Test'!$W$9:$W$5008)-1)+$AR$3988</f>
        <v>0.79735947189433398</v>
      </c>
    </row>
    <row r="3990" spans="22:44">
      <c r="V3990">
        <v>3982</v>
      </c>
      <c r="W3990">
        <v>272.61983335062928</v>
      </c>
      <c r="AQ3990">
        <f>SMALL('Iter No Test'!$W$9:$W$5008,3988)</f>
        <v>283.88879281510174</v>
      </c>
      <c r="AR3990">
        <f>1/(COUNT('Iter No Test'!$W$9:$W$5008)-1)+$AR$3989</f>
        <v>0.79755951190233554</v>
      </c>
    </row>
    <row r="3991" spans="22:44">
      <c r="V3991">
        <v>3983</v>
      </c>
      <c r="W3991">
        <v>230.30093704768254</v>
      </c>
      <c r="AQ3991">
        <f>SMALL('Iter No Test'!$W$9:$W$5008,3989)</f>
        <v>283.97082391334811</v>
      </c>
      <c r="AR3991">
        <f>1/(COUNT('Iter No Test'!$W$9:$W$5008)-1)+$AR$3990</f>
        <v>0.79775955191033709</v>
      </c>
    </row>
    <row r="3992" spans="22:44">
      <c r="V3992">
        <v>3984</v>
      </c>
      <c r="W3992">
        <v>355.23879590823867</v>
      </c>
      <c r="AQ3992">
        <f>SMALL('Iter No Test'!$W$9:$W$5008,3990)</f>
        <v>284.01989080487294</v>
      </c>
      <c r="AR3992">
        <f>1/(COUNT('Iter No Test'!$W$9:$W$5008)-1)+$AR$3991</f>
        <v>0.79795959191833865</v>
      </c>
    </row>
    <row r="3993" spans="22:44">
      <c r="V3993">
        <v>3985</v>
      </c>
      <c r="W3993">
        <v>146.27967608315473</v>
      </c>
      <c r="AQ3993">
        <f>SMALL('Iter No Test'!$W$9:$W$5008,3991)</f>
        <v>284.05143183350083</v>
      </c>
      <c r="AR3993">
        <f>1/(COUNT('Iter No Test'!$W$9:$W$5008)-1)+$AR$3992</f>
        <v>0.79815963192634021</v>
      </c>
    </row>
    <row r="3994" spans="22:44">
      <c r="V3994">
        <v>3986</v>
      </c>
      <c r="W3994">
        <v>422.64082218821062</v>
      </c>
      <c r="AQ3994">
        <f>SMALL('Iter No Test'!$W$9:$W$5008,3992)</f>
        <v>284.07427030555164</v>
      </c>
      <c r="AR3994">
        <f>1/(COUNT('Iter No Test'!$W$9:$W$5008)-1)+$AR$3993</f>
        <v>0.79835967193434176</v>
      </c>
    </row>
    <row r="3995" spans="22:44">
      <c r="V3995">
        <v>3987</v>
      </c>
      <c r="W3995">
        <v>484.67707079434615</v>
      </c>
      <c r="AQ3995">
        <f>SMALL('Iter No Test'!$W$9:$W$5008,3993)</f>
        <v>284.11298245710327</v>
      </c>
      <c r="AR3995">
        <f>1/(COUNT('Iter No Test'!$W$9:$W$5008)-1)+$AR$3994</f>
        <v>0.79855971194234332</v>
      </c>
    </row>
    <row r="3996" spans="22:44">
      <c r="V3996">
        <v>3988</v>
      </c>
      <c r="W3996">
        <v>163.40990353198356</v>
      </c>
      <c r="AQ3996">
        <f>SMALL('Iter No Test'!$W$9:$W$5008,3994)</f>
        <v>284.2553423198882</v>
      </c>
      <c r="AR3996">
        <f>1/(COUNT('Iter No Test'!$W$9:$W$5008)-1)+$AR$3995</f>
        <v>0.79875975195034488</v>
      </c>
    </row>
    <row r="3997" spans="22:44">
      <c r="V3997">
        <v>3989</v>
      </c>
      <c r="W3997">
        <v>284.99377248260737</v>
      </c>
      <c r="AQ3997">
        <f>SMALL('Iter No Test'!$W$9:$W$5008,3995)</f>
        <v>284.27258483517642</v>
      </c>
      <c r="AR3997">
        <f>1/(COUNT('Iter No Test'!$W$9:$W$5008)-1)+$AR$3996</f>
        <v>0.79895979195834643</v>
      </c>
    </row>
    <row r="3998" spans="22:44">
      <c r="V3998">
        <v>3990</v>
      </c>
      <c r="W3998">
        <v>216.74269208026416</v>
      </c>
      <c r="AQ3998">
        <f>SMALL('Iter No Test'!$W$9:$W$5008,3996)</f>
        <v>284.32027789045247</v>
      </c>
      <c r="AR3998">
        <f>1/(COUNT('Iter No Test'!$W$9:$W$5008)-1)+$AR$3997</f>
        <v>0.79915983196634799</v>
      </c>
    </row>
    <row r="3999" spans="22:44">
      <c r="V3999">
        <v>3991</v>
      </c>
      <c r="W3999">
        <v>206.82071213534522</v>
      </c>
      <c r="AQ3999">
        <f>SMALL('Iter No Test'!$W$9:$W$5008,3997)</f>
        <v>284.35162324743646</v>
      </c>
      <c r="AR3999">
        <f>1/(COUNT('Iter No Test'!$W$9:$W$5008)-1)+$AR$3998</f>
        <v>0.79935987197434955</v>
      </c>
    </row>
    <row r="4000" spans="22:44">
      <c r="V4000">
        <v>3992</v>
      </c>
      <c r="W4000">
        <v>129.86433951043475</v>
      </c>
      <c r="AQ4000">
        <f>SMALL('Iter No Test'!$W$9:$W$5008,3998)</f>
        <v>284.37952487459307</v>
      </c>
      <c r="AR4000">
        <f>1/(COUNT('Iter No Test'!$W$9:$W$5008)-1)+$AR$3999</f>
        <v>0.7995599119823511</v>
      </c>
    </row>
    <row r="4001" spans="22:44">
      <c r="V4001">
        <v>3993</v>
      </c>
      <c r="W4001">
        <v>171.52025949172364</v>
      </c>
      <c r="AQ4001">
        <f>SMALL('Iter No Test'!$W$9:$W$5008,3999)</f>
        <v>284.42207021140268</v>
      </c>
      <c r="AR4001">
        <f>1/(COUNT('Iter No Test'!$W$9:$W$5008)-1)+$AR$4000</f>
        <v>0.79975995199035266</v>
      </c>
    </row>
    <row r="4002" spans="22:44">
      <c r="V4002">
        <v>3994</v>
      </c>
      <c r="W4002">
        <v>295.4998539543198</v>
      </c>
      <c r="AQ4002">
        <f>SMALL('Iter No Test'!$W$9:$W$5008,4000)</f>
        <v>284.57725927761555</v>
      </c>
      <c r="AR4002">
        <f>1/(COUNT('Iter No Test'!$W$9:$W$5008)-1)+$AR$4001</f>
        <v>0.79995999199835421</v>
      </c>
    </row>
    <row r="4003" spans="22:44">
      <c r="V4003">
        <v>3995</v>
      </c>
      <c r="W4003">
        <v>153.97657247334669</v>
      </c>
      <c r="AQ4003">
        <f>SMALL('Iter No Test'!$W$9:$W$5008,4001)</f>
        <v>284.59907375062539</v>
      </c>
      <c r="AR4003">
        <f>1/(COUNT('Iter No Test'!$W$9:$W$5008)-1)+$AR$4002</f>
        <v>0.80016003200635577</v>
      </c>
    </row>
    <row r="4004" spans="22:44">
      <c r="V4004">
        <v>3996</v>
      </c>
      <c r="W4004">
        <v>272.08610994220066</v>
      </c>
      <c r="AQ4004">
        <f>SMALL('Iter No Test'!$W$9:$W$5008,4002)</f>
        <v>284.62046294795408</v>
      </c>
      <c r="AR4004">
        <f>1/(COUNT('Iter No Test'!$W$9:$W$5008)-1)+$AR$4003</f>
        <v>0.80036007201435733</v>
      </c>
    </row>
    <row r="4005" spans="22:44">
      <c r="V4005">
        <v>3997</v>
      </c>
      <c r="W4005">
        <v>179.03099325966238</v>
      </c>
      <c r="AQ4005">
        <f>SMALL('Iter No Test'!$W$9:$W$5008,4003)</f>
        <v>284.65895780330135</v>
      </c>
      <c r="AR4005">
        <f>1/(COUNT('Iter No Test'!$W$9:$W$5008)-1)+$AR$4004</f>
        <v>0.80056011202235888</v>
      </c>
    </row>
    <row r="4006" spans="22:44">
      <c r="V4006">
        <v>3998</v>
      </c>
      <c r="W4006">
        <v>294.54980762576264</v>
      </c>
      <c r="AQ4006">
        <f>SMALL('Iter No Test'!$W$9:$W$5008,4004)</f>
        <v>284.76630967349843</v>
      </c>
      <c r="AR4006">
        <f>1/(COUNT('Iter No Test'!$W$9:$W$5008)-1)+$AR$4005</f>
        <v>0.80076015203036044</v>
      </c>
    </row>
    <row r="4007" spans="22:44">
      <c r="V4007">
        <v>3999</v>
      </c>
      <c r="W4007">
        <v>195.82927424537581</v>
      </c>
      <c r="AQ4007">
        <f>SMALL('Iter No Test'!$W$9:$W$5008,4005)</f>
        <v>284.78077603674478</v>
      </c>
      <c r="AR4007">
        <f>1/(COUNT('Iter No Test'!$W$9:$W$5008)-1)+$AR$4006</f>
        <v>0.800960192038362</v>
      </c>
    </row>
    <row r="4008" spans="22:44">
      <c r="V4008">
        <v>4000</v>
      </c>
      <c r="W4008">
        <v>244.8405421056392</v>
      </c>
      <c r="AQ4008">
        <f>SMALL('Iter No Test'!$W$9:$W$5008,4006)</f>
        <v>284.94555312322791</v>
      </c>
      <c r="AR4008">
        <f>1/(COUNT('Iter No Test'!$W$9:$W$5008)-1)+$AR$4007</f>
        <v>0.80116023204636355</v>
      </c>
    </row>
    <row r="4009" spans="22:44">
      <c r="V4009">
        <v>4001</v>
      </c>
      <c r="W4009">
        <v>360.80953839038096</v>
      </c>
      <c r="AQ4009">
        <f>SMALL('Iter No Test'!$W$9:$W$5008,4007)</f>
        <v>284.9579052404132</v>
      </c>
      <c r="AR4009">
        <f>1/(COUNT('Iter No Test'!$W$9:$W$5008)-1)+$AR$4008</f>
        <v>0.80136027205436511</v>
      </c>
    </row>
    <row r="4010" spans="22:44">
      <c r="V4010">
        <v>4002</v>
      </c>
      <c r="W4010">
        <v>269.16436238820052</v>
      </c>
      <c r="AQ4010">
        <f>SMALL('Iter No Test'!$W$9:$W$5008,4008)</f>
        <v>284.97684066618172</v>
      </c>
      <c r="AR4010">
        <f>1/(COUNT('Iter No Test'!$W$9:$W$5008)-1)+$AR$4009</f>
        <v>0.80156031206236666</v>
      </c>
    </row>
    <row r="4011" spans="22:44">
      <c r="V4011">
        <v>4003</v>
      </c>
      <c r="W4011">
        <v>280.71904865165641</v>
      </c>
      <c r="AQ4011">
        <f>SMALL('Iter No Test'!$W$9:$W$5008,4009)</f>
        <v>284.99377248260737</v>
      </c>
      <c r="AR4011">
        <f>1/(COUNT('Iter No Test'!$W$9:$W$5008)-1)+$AR$4010</f>
        <v>0.80176035207036822</v>
      </c>
    </row>
    <row r="4012" spans="22:44">
      <c r="V4012">
        <v>4004</v>
      </c>
      <c r="W4012">
        <v>284.62046294795408</v>
      </c>
      <c r="AQ4012">
        <f>SMALL('Iter No Test'!$W$9:$W$5008,4010)</f>
        <v>285.0355429132245</v>
      </c>
      <c r="AR4012">
        <f>1/(COUNT('Iter No Test'!$W$9:$W$5008)-1)+$AR$4011</f>
        <v>0.80196039207836978</v>
      </c>
    </row>
    <row r="4013" spans="22:44">
      <c r="V4013">
        <v>4005</v>
      </c>
      <c r="W4013">
        <v>224.65763210167802</v>
      </c>
      <c r="AQ4013">
        <f>SMALL('Iter No Test'!$W$9:$W$5008,4011)</f>
        <v>285.11388736914057</v>
      </c>
      <c r="AR4013">
        <f>1/(COUNT('Iter No Test'!$W$9:$W$5008)-1)+$AR$4012</f>
        <v>0.80216043208637133</v>
      </c>
    </row>
    <row r="4014" spans="22:44">
      <c r="V4014">
        <v>4006</v>
      </c>
      <c r="W4014">
        <v>104.73794268793006</v>
      </c>
      <c r="AQ4014">
        <f>SMALL('Iter No Test'!$W$9:$W$5008,4012)</f>
        <v>285.21759497597003</v>
      </c>
      <c r="AR4014">
        <f>1/(COUNT('Iter No Test'!$W$9:$W$5008)-1)+$AR$4013</f>
        <v>0.80236047209437289</v>
      </c>
    </row>
    <row r="4015" spans="22:44">
      <c r="V4015">
        <v>4007</v>
      </c>
      <c r="W4015">
        <v>338.24993735539465</v>
      </c>
      <c r="AQ4015">
        <f>SMALL('Iter No Test'!$W$9:$W$5008,4013)</f>
        <v>285.41613149301384</v>
      </c>
      <c r="AR4015">
        <f>1/(COUNT('Iter No Test'!$W$9:$W$5008)-1)+$AR$4014</f>
        <v>0.80256051210237445</v>
      </c>
    </row>
    <row r="4016" spans="22:44">
      <c r="V4016">
        <v>4008</v>
      </c>
      <c r="W4016">
        <v>163.7072433419757</v>
      </c>
      <c r="AQ4016">
        <f>SMALL('Iter No Test'!$W$9:$W$5008,4014)</f>
        <v>285.51528091867738</v>
      </c>
      <c r="AR4016">
        <f>1/(COUNT('Iter No Test'!$W$9:$W$5008)-1)+$AR$4015</f>
        <v>0.802760552110376</v>
      </c>
    </row>
    <row r="4017" spans="22:44">
      <c r="V4017">
        <v>4009</v>
      </c>
      <c r="W4017">
        <v>211.90480281663724</v>
      </c>
      <c r="AQ4017">
        <f>SMALL('Iter No Test'!$W$9:$W$5008,4015)</f>
        <v>285.70334289548214</v>
      </c>
      <c r="AR4017">
        <f>1/(COUNT('Iter No Test'!$W$9:$W$5008)-1)+$AR$4016</f>
        <v>0.80296059211837756</v>
      </c>
    </row>
    <row r="4018" spans="22:44">
      <c r="V4018">
        <v>4010</v>
      </c>
      <c r="W4018">
        <v>280.31396795596595</v>
      </c>
      <c r="AQ4018">
        <f>SMALL('Iter No Test'!$W$9:$W$5008,4016)</f>
        <v>285.75207972716942</v>
      </c>
      <c r="AR4018">
        <f>1/(COUNT('Iter No Test'!$W$9:$W$5008)-1)+$AR$4017</f>
        <v>0.80316063212637911</v>
      </c>
    </row>
    <row r="4019" spans="22:44">
      <c r="V4019">
        <v>4011</v>
      </c>
      <c r="W4019">
        <v>192.62065275860397</v>
      </c>
      <c r="AQ4019">
        <f>SMALL('Iter No Test'!$W$9:$W$5008,4017)</f>
        <v>285.81068109045998</v>
      </c>
      <c r="AR4019">
        <f>1/(COUNT('Iter No Test'!$W$9:$W$5008)-1)+$AR$4018</f>
        <v>0.80336067213438067</v>
      </c>
    </row>
    <row r="4020" spans="22:44">
      <c r="V4020">
        <v>4012</v>
      </c>
      <c r="W4020">
        <v>138.81645798026059</v>
      </c>
      <c r="AQ4020">
        <f>SMALL('Iter No Test'!$W$9:$W$5008,4018)</f>
        <v>286.02423043594604</v>
      </c>
      <c r="AR4020">
        <f>1/(COUNT('Iter No Test'!$W$9:$W$5008)-1)+$AR$4019</f>
        <v>0.80356071214238223</v>
      </c>
    </row>
    <row r="4021" spans="22:44">
      <c r="V4021">
        <v>4013</v>
      </c>
      <c r="W4021">
        <v>224.13595225771058</v>
      </c>
      <c r="AQ4021">
        <f>SMALL('Iter No Test'!$W$9:$W$5008,4019)</f>
        <v>286.07327497286281</v>
      </c>
      <c r="AR4021">
        <f>1/(COUNT('Iter No Test'!$W$9:$W$5008)-1)+$AR$4020</f>
        <v>0.80376075215038378</v>
      </c>
    </row>
    <row r="4022" spans="22:44">
      <c r="V4022">
        <v>4014</v>
      </c>
      <c r="W4022">
        <v>382.56526734878923</v>
      </c>
      <c r="AQ4022">
        <f>SMALL('Iter No Test'!$W$9:$W$5008,4020)</f>
        <v>286.31330094574787</v>
      </c>
      <c r="AR4022">
        <f>1/(COUNT('Iter No Test'!$W$9:$W$5008)-1)+$AR$4021</f>
        <v>0.80396079215838534</v>
      </c>
    </row>
    <row r="4023" spans="22:44">
      <c r="V4023">
        <v>4015</v>
      </c>
      <c r="W4023">
        <v>177.42818321687221</v>
      </c>
      <c r="AQ4023">
        <f>SMALL('Iter No Test'!$W$9:$W$5008,4021)</f>
        <v>286.50644736761222</v>
      </c>
      <c r="AR4023">
        <f>1/(COUNT('Iter No Test'!$W$9:$W$5008)-1)+$AR$4022</f>
        <v>0.8041608321663869</v>
      </c>
    </row>
    <row r="4024" spans="22:44">
      <c r="V4024">
        <v>4016</v>
      </c>
      <c r="W4024">
        <v>261.87365961911991</v>
      </c>
      <c r="AQ4024">
        <f>SMALL('Iter No Test'!$W$9:$W$5008,4022)</f>
        <v>286.52819229311359</v>
      </c>
      <c r="AR4024">
        <f>1/(COUNT('Iter No Test'!$W$9:$W$5008)-1)+$AR$4023</f>
        <v>0.80436087217438845</v>
      </c>
    </row>
    <row r="4025" spans="22:44">
      <c r="V4025">
        <v>4017</v>
      </c>
      <c r="W4025">
        <v>198.78303900790991</v>
      </c>
      <c r="AQ4025">
        <f>SMALL('Iter No Test'!$W$9:$W$5008,4023)</f>
        <v>286.53117000545285</v>
      </c>
      <c r="AR4025">
        <f>1/(COUNT('Iter No Test'!$W$9:$W$5008)-1)+$AR$4024</f>
        <v>0.80456091218239001</v>
      </c>
    </row>
    <row r="4026" spans="22:44">
      <c r="V4026">
        <v>4018</v>
      </c>
      <c r="W4026">
        <v>178.67061998177746</v>
      </c>
      <c r="AQ4026">
        <f>SMALL('Iter No Test'!$W$9:$W$5008,4024)</f>
        <v>286.77840696020832</v>
      </c>
      <c r="AR4026">
        <f>1/(COUNT('Iter No Test'!$W$9:$W$5008)-1)+$AR$4025</f>
        <v>0.80476095219039157</v>
      </c>
    </row>
    <row r="4027" spans="22:44">
      <c r="V4027">
        <v>4019</v>
      </c>
      <c r="W4027">
        <v>212.91870685267924</v>
      </c>
      <c r="AQ4027">
        <f>SMALL('Iter No Test'!$W$9:$W$5008,4025)</f>
        <v>286.85442008448535</v>
      </c>
      <c r="AR4027">
        <f>1/(COUNT('Iter No Test'!$W$9:$W$5008)-1)+$AR$4026</f>
        <v>0.80496099219839312</v>
      </c>
    </row>
    <row r="4028" spans="22:44">
      <c r="V4028">
        <v>4020</v>
      </c>
      <c r="W4028">
        <v>409.11229682186649</v>
      </c>
      <c r="AQ4028">
        <f>SMALL('Iter No Test'!$W$9:$W$5008,4026)</f>
        <v>286.87788389755349</v>
      </c>
      <c r="AR4028">
        <f>1/(COUNT('Iter No Test'!$W$9:$W$5008)-1)+$AR$4027</f>
        <v>0.80516103220639468</v>
      </c>
    </row>
    <row r="4029" spans="22:44">
      <c r="V4029">
        <v>4021</v>
      </c>
      <c r="W4029">
        <v>144.24268548450857</v>
      </c>
      <c r="AQ4029">
        <f>SMALL('Iter No Test'!$W$9:$W$5008,4027)</f>
        <v>286.8835358129088</v>
      </c>
      <c r="AR4029">
        <f>1/(COUNT('Iter No Test'!$W$9:$W$5008)-1)+$AR$4028</f>
        <v>0.80536107221439623</v>
      </c>
    </row>
    <row r="4030" spans="22:44">
      <c r="V4030">
        <v>4022</v>
      </c>
      <c r="W4030">
        <v>206.08266230068932</v>
      </c>
      <c r="AQ4030">
        <f>SMALL('Iter No Test'!$W$9:$W$5008,4028)</f>
        <v>287.04849048995123</v>
      </c>
      <c r="AR4030">
        <f>1/(COUNT('Iter No Test'!$W$9:$W$5008)-1)+$AR$4029</f>
        <v>0.80556111222239779</v>
      </c>
    </row>
    <row r="4031" spans="22:44">
      <c r="V4031">
        <v>4023</v>
      </c>
      <c r="W4031">
        <v>355.43585566386946</v>
      </c>
      <c r="AQ4031">
        <f>SMALL('Iter No Test'!$W$9:$W$5008,4029)</f>
        <v>287.05998430929645</v>
      </c>
      <c r="AR4031">
        <f>1/(COUNT('Iter No Test'!$W$9:$W$5008)-1)+$AR$4030</f>
        <v>0.80576115223039935</v>
      </c>
    </row>
    <row r="4032" spans="22:44">
      <c r="V4032">
        <v>4024</v>
      </c>
      <c r="W4032">
        <v>235.80614211480543</v>
      </c>
      <c r="AQ4032">
        <f>SMALL('Iter No Test'!$W$9:$W$5008,4030)</f>
        <v>287.27386488919535</v>
      </c>
      <c r="AR4032">
        <f>1/(COUNT('Iter No Test'!$W$9:$W$5008)-1)+$AR$4031</f>
        <v>0.8059611922384009</v>
      </c>
    </row>
    <row r="4033" spans="22:44">
      <c r="V4033">
        <v>4025</v>
      </c>
      <c r="W4033">
        <v>161.7457954641983</v>
      </c>
      <c r="AQ4033">
        <f>SMALL('Iter No Test'!$W$9:$W$5008,4031)</f>
        <v>287.35785124488257</v>
      </c>
      <c r="AR4033">
        <f>1/(COUNT('Iter No Test'!$W$9:$W$5008)-1)+$AR$4032</f>
        <v>0.80616123224640246</v>
      </c>
    </row>
    <row r="4034" spans="22:44">
      <c r="V4034">
        <v>4026</v>
      </c>
      <c r="W4034">
        <v>107.17022491723439</v>
      </c>
      <c r="AQ4034">
        <f>SMALL('Iter No Test'!$W$9:$W$5008,4032)</f>
        <v>287.38305124453336</v>
      </c>
      <c r="AR4034">
        <f>1/(COUNT('Iter No Test'!$W$9:$W$5008)-1)+$AR$4033</f>
        <v>0.80636127225440402</v>
      </c>
    </row>
    <row r="4035" spans="22:44">
      <c r="V4035">
        <v>4027</v>
      </c>
      <c r="W4035">
        <v>63.579060837751797</v>
      </c>
      <c r="AQ4035">
        <f>SMALL('Iter No Test'!$W$9:$W$5008,4033)</f>
        <v>287.43160715051135</v>
      </c>
      <c r="AR4035">
        <f>1/(COUNT('Iter No Test'!$W$9:$W$5008)-1)+$AR$4034</f>
        <v>0.80656131226240557</v>
      </c>
    </row>
    <row r="4036" spans="22:44">
      <c r="V4036">
        <v>4028</v>
      </c>
      <c r="W4036">
        <v>134.10412714470482</v>
      </c>
      <c r="AQ4036">
        <f>SMALL('Iter No Test'!$W$9:$W$5008,4034)</f>
        <v>287.45227074971103</v>
      </c>
      <c r="AR4036">
        <f>1/(COUNT('Iter No Test'!$W$9:$W$5008)-1)+$AR$4035</f>
        <v>0.80676135227040713</v>
      </c>
    </row>
    <row r="4037" spans="22:44">
      <c r="V4037">
        <v>4029</v>
      </c>
      <c r="W4037">
        <v>234.71324724875518</v>
      </c>
      <c r="AQ4037">
        <f>SMALL('Iter No Test'!$W$9:$W$5008,4035)</f>
        <v>287.59127120545861</v>
      </c>
      <c r="AR4037">
        <f>1/(COUNT('Iter No Test'!$W$9:$W$5008)-1)+$AR$4036</f>
        <v>0.80696139227840868</v>
      </c>
    </row>
    <row r="4038" spans="22:44">
      <c r="V4038">
        <v>4030</v>
      </c>
      <c r="W4038">
        <v>266.09480877998413</v>
      </c>
      <c r="AQ4038">
        <f>SMALL('Iter No Test'!$W$9:$W$5008,4036)</f>
        <v>287.64593931389902</v>
      </c>
      <c r="AR4038">
        <f>1/(COUNT('Iter No Test'!$W$9:$W$5008)-1)+$AR$4037</f>
        <v>0.80716143228641024</v>
      </c>
    </row>
    <row r="4039" spans="22:44">
      <c r="V4039">
        <v>4031</v>
      </c>
      <c r="W4039">
        <v>319.97160001974305</v>
      </c>
      <c r="AQ4039">
        <f>SMALL('Iter No Test'!$W$9:$W$5008,4037)</f>
        <v>287.65610370255064</v>
      </c>
      <c r="AR4039">
        <f>1/(COUNT('Iter No Test'!$W$9:$W$5008)-1)+$AR$4038</f>
        <v>0.8073614722944118</v>
      </c>
    </row>
    <row r="4040" spans="22:44">
      <c r="V4040">
        <v>4032</v>
      </c>
      <c r="W4040">
        <v>114.65813896944292</v>
      </c>
      <c r="AQ4040">
        <f>SMALL('Iter No Test'!$W$9:$W$5008,4038)</f>
        <v>287.68764761449575</v>
      </c>
      <c r="AR4040">
        <f>1/(COUNT('Iter No Test'!$W$9:$W$5008)-1)+$AR$4039</f>
        <v>0.80756151230241335</v>
      </c>
    </row>
    <row r="4041" spans="22:44">
      <c r="V4041">
        <v>4033</v>
      </c>
      <c r="W4041">
        <v>242.99214973349569</v>
      </c>
      <c r="AQ4041">
        <f>SMALL('Iter No Test'!$W$9:$W$5008,4039)</f>
        <v>287.77602165192366</v>
      </c>
      <c r="AR4041">
        <f>1/(COUNT('Iter No Test'!$W$9:$W$5008)-1)+$AR$4040</f>
        <v>0.80776155231041491</v>
      </c>
    </row>
    <row r="4042" spans="22:44">
      <c r="V4042">
        <v>4034</v>
      </c>
      <c r="W4042">
        <v>195.79424442559085</v>
      </c>
      <c r="AQ4042">
        <f>SMALL('Iter No Test'!$W$9:$W$5008,4040)</f>
        <v>287.81747282133938</v>
      </c>
      <c r="AR4042">
        <f>1/(COUNT('Iter No Test'!$W$9:$W$5008)-1)+$AR$4041</f>
        <v>0.80796159231841647</v>
      </c>
    </row>
    <row r="4043" spans="22:44">
      <c r="V4043">
        <v>4035</v>
      </c>
      <c r="W4043">
        <v>168.75142283099825</v>
      </c>
      <c r="AQ4043">
        <f>SMALL('Iter No Test'!$W$9:$W$5008,4041)</f>
        <v>287.93820459386353</v>
      </c>
      <c r="AR4043">
        <f>1/(COUNT('Iter No Test'!$W$9:$W$5008)-1)+$AR$4042</f>
        <v>0.80816163232641802</v>
      </c>
    </row>
    <row r="4044" spans="22:44">
      <c r="V4044">
        <v>4036</v>
      </c>
      <c r="W4044">
        <v>79.268823326834024</v>
      </c>
      <c r="AQ4044">
        <f>SMALL('Iter No Test'!$W$9:$W$5008,4042)</f>
        <v>287.98507699105892</v>
      </c>
      <c r="AR4044">
        <f>1/(COUNT('Iter No Test'!$W$9:$W$5008)-1)+$AR$4043</f>
        <v>0.80836167233441958</v>
      </c>
    </row>
    <row r="4045" spans="22:44">
      <c r="V4045">
        <v>4037</v>
      </c>
      <c r="W4045">
        <v>187.31854309686122</v>
      </c>
      <c r="AQ4045">
        <f>SMALL('Iter No Test'!$W$9:$W$5008,4043)</f>
        <v>288.02747353178387</v>
      </c>
      <c r="AR4045">
        <f>1/(COUNT('Iter No Test'!$W$9:$W$5008)-1)+$AR$4044</f>
        <v>0.80856171234242113</v>
      </c>
    </row>
    <row r="4046" spans="22:44">
      <c r="V4046">
        <v>4038</v>
      </c>
      <c r="W4046">
        <v>243.54868581146144</v>
      </c>
      <c r="AQ4046">
        <f>SMALL('Iter No Test'!$W$9:$W$5008,4044)</f>
        <v>288.11327525738614</v>
      </c>
      <c r="AR4046">
        <f>1/(COUNT('Iter No Test'!$W$9:$W$5008)-1)+$AR$4045</f>
        <v>0.80876175235042269</v>
      </c>
    </row>
    <row r="4047" spans="22:44">
      <c r="V4047">
        <v>4039</v>
      </c>
      <c r="W4047">
        <v>192.62325769406408</v>
      </c>
      <c r="AQ4047">
        <f>SMALL('Iter No Test'!$W$9:$W$5008,4045)</f>
        <v>288.22181230916982</v>
      </c>
      <c r="AR4047">
        <f>1/(COUNT('Iter No Test'!$W$9:$W$5008)-1)+$AR$4046</f>
        <v>0.80896179235842425</v>
      </c>
    </row>
    <row r="4048" spans="22:44">
      <c r="V4048">
        <v>4040</v>
      </c>
      <c r="W4048">
        <v>74.231228442358116</v>
      </c>
      <c r="AQ4048">
        <f>SMALL('Iter No Test'!$W$9:$W$5008,4046)</f>
        <v>288.31882971793658</v>
      </c>
      <c r="AR4048">
        <f>1/(COUNT('Iter No Test'!$W$9:$W$5008)-1)+$AR$4047</f>
        <v>0.8091618323664258</v>
      </c>
    </row>
    <row r="4049" spans="22:44">
      <c r="V4049">
        <v>4041</v>
      </c>
      <c r="W4049">
        <v>33.547854777038239</v>
      </c>
      <c r="AQ4049">
        <f>SMALL('Iter No Test'!$W$9:$W$5008,4047)</f>
        <v>288.37109715460178</v>
      </c>
      <c r="AR4049">
        <f>1/(COUNT('Iter No Test'!$W$9:$W$5008)-1)+$AR$4048</f>
        <v>0.80936187237442736</v>
      </c>
    </row>
    <row r="4050" spans="22:44">
      <c r="V4050">
        <v>4042</v>
      </c>
      <c r="W4050">
        <v>167.54019866712531</v>
      </c>
      <c r="AQ4050">
        <f>SMALL('Iter No Test'!$W$9:$W$5008,4048)</f>
        <v>288.44330654825114</v>
      </c>
      <c r="AR4050">
        <f>1/(COUNT('Iter No Test'!$W$9:$W$5008)-1)+$AR$4049</f>
        <v>0.80956191238242892</v>
      </c>
    </row>
    <row r="4051" spans="22:44">
      <c r="V4051">
        <v>4043</v>
      </c>
      <c r="W4051">
        <v>174.69093837189649</v>
      </c>
      <c r="AQ4051">
        <f>SMALL('Iter No Test'!$W$9:$W$5008,4049)</f>
        <v>288.46506538330942</v>
      </c>
      <c r="AR4051">
        <f>1/(COUNT('Iter No Test'!$W$9:$W$5008)-1)+$AR$4050</f>
        <v>0.80976195239043047</v>
      </c>
    </row>
    <row r="4052" spans="22:44">
      <c r="V4052">
        <v>4044</v>
      </c>
      <c r="W4052">
        <v>343.5859372165018</v>
      </c>
      <c r="AQ4052">
        <f>SMALL('Iter No Test'!$W$9:$W$5008,4050)</f>
        <v>288.4745567494511</v>
      </c>
      <c r="AR4052">
        <f>1/(COUNT('Iter No Test'!$W$9:$W$5008)-1)+$AR$4051</f>
        <v>0.80996199239843203</v>
      </c>
    </row>
    <row r="4053" spans="22:44">
      <c r="V4053">
        <v>4045</v>
      </c>
      <c r="W4053">
        <v>53.164314672811201</v>
      </c>
      <c r="AQ4053">
        <f>SMALL('Iter No Test'!$W$9:$W$5008,4051)</f>
        <v>288.49962605445376</v>
      </c>
      <c r="AR4053">
        <f>1/(COUNT('Iter No Test'!$W$9:$W$5008)-1)+$AR$4052</f>
        <v>0.81016203240643359</v>
      </c>
    </row>
    <row r="4054" spans="22:44">
      <c r="V4054">
        <v>4046</v>
      </c>
      <c r="W4054">
        <v>229.6773983095367</v>
      </c>
      <c r="AQ4054">
        <f>SMALL('Iter No Test'!$W$9:$W$5008,4052)</f>
        <v>288.52756723667437</v>
      </c>
      <c r="AR4054">
        <f>1/(COUNT('Iter No Test'!$W$9:$W$5008)-1)+$AR$4053</f>
        <v>0.81036207241443514</v>
      </c>
    </row>
    <row r="4055" spans="22:44">
      <c r="V4055">
        <v>4047</v>
      </c>
      <c r="W4055">
        <v>163.15489072054754</v>
      </c>
      <c r="AQ4055">
        <f>SMALL('Iter No Test'!$W$9:$W$5008,4053)</f>
        <v>288.53003448852161</v>
      </c>
      <c r="AR4055">
        <f>1/(COUNT('Iter No Test'!$W$9:$W$5008)-1)+$AR$4054</f>
        <v>0.8105621124224367</v>
      </c>
    </row>
    <row r="4056" spans="22:44">
      <c r="V4056">
        <v>4048</v>
      </c>
      <c r="W4056">
        <v>152.8064354906623</v>
      </c>
      <c r="AQ4056">
        <f>SMALL('Iter No Test'!$W$9:$W$5008,4054)</f>
        <v>288.55564418083793</v>
      </c>
      <c r="AR4056">
        <f>1/(COUNT('Iter No Test'!$W$9:$W$5008)-1)+$AR$4055</f>
        <v>0.81076215243043825</v>
      </c>
    </row>
    <row r="4057" spans="22:44">
      <c r="V4057">
        <v>4049</v>
      </c>
      <c r="W4057">
        <v>152.4004695688896</v>
      </c>
      <c r="AQ4057">
        <f>SMALL('Iter No Test'!$W$9:$W$5008,4055)</f>
        <v>288.60362201179703</v>
      </c>
      <c r="AR4057">
        <f>1/(COUNT('Iter No Test'!$W$9:$W$5008)-1)+$AR$4056</f>
        <v>0.81096219243843981</v>
      </c>
    </row>
    <row r="4058" spans="22:44">
      <c r="V4058">
        <v>4050</v>
      </c>
      <c r="W4058">
        <v>182.94473695740288</v>
      </c>
      <c r="AQ4058">
        <f>SMALL('Iter No Test'!$W$9:$W$5008,4056)</f>
        <v>288.68511603646243</v>
      </c>
      <c r="AR4058">
        <f>1/(COUNT('Iter No Test'!$W$9:$W$5008)-1)+$AR$4057</f>
        <v>0.81116223244644137</v>
      </c>
    </row>
    <row r="4059" spans="22:44">
      <c r="V4059">
        <v>4051</v>
      </c>
      <c r="W4059">
        <v>212.98374711022433</v>
      </c>
      <c r="AQ4059">
        <f>SMALL('Iter No Test'!$W$9:$W$5008,4057)</f>
        <v>288.68771328487719</v>
      </c>
      <c r="AR4059">
        <f>1/(COUNT('Iter No Test'!$W$9:$W$5008)-1)+$AR$4058</f>
        <v>0.81136227245444292</v>
      </c>
    </row>
    <row r="4060" spans="22:44">
      <c r="V4060">
        <v>4052</v>
      </c>
      <c r="W4060">
        <v>108.81634580733288</v>
      </c>
      <c r="AQ4060">
        <f>SMALL('Iter No Test'!$W$9:$W$5008,4058)</f>
        <v>288.79474762098528</v>
      </c>
      <c r="AR4060">
        <f>1/(COUNT('Iter No Test'!$W$9:$W$5008)-1)+$AR$4059</f>
        <v>0.81156231246244448</v>
      </c>
    </row>
    <row r="4061" spans="22:44">
      <c r="V4061">
        <v>4053</v>
      </c>
      <c r="W4061">
        <v>160.59011400687311</v>
      </c>
      <c r="AQ4061">
        <f>SMALL('Iter No Test'!$W$9:$W$5008,4059)</f>
        <v>288.80981689110831</v>
      </c>
      <c r="AR4061">
        <f>1/(COUNT('Iter No Test'!$W$9:$W$5008)-1)+$AR$4060</f>
        <v>0.81176235247044604</v>
      </c>
    </row>
    <row r="4062" spans="22:44">
      <c r="V4062">
        <v>4054</v>
      </c>
      <c r="W4062">
        <v>180.08390252389356</v>
      </c>
      <c r="AQ4062">
        <f>SMALL('Iter No Test'!$W$9:$W$5008,4060)</f>
        <v>288.98481169688233</v>
      </c>
      <c r="AR4062">
        <f>1/(COUNT('Iter No Test'!$W$9:$W$5008)-1)+$AR$4061</f>
        <v>0.81196239247844759</v>
      </c>
    </row>
    <row r="4063" spans="22:44">
      <c r="V4063">
        <v>4055</v>
      </c>
      <c r="W4063">
        <v>121.96950319665025</v>
      </c>
      <c r="AQ4063">
        <f>SMALL('Iter No Test'!$W$9:$W$5008,4061)</f>
        <v>288.98519173348546</v>
      </c>
      <c r="AR4063">
        <f>1/(COUNT('Iter No Test'!$W$9:$W$5008)-1)+$AR$4062</f>
        <v>0.81216243248644915</v>
      </c>
    </row>
    <row r="4064" spans="22:44">
      <c r="V4064">
        <v>4056</v>
      </c>
      <c r="W4064">
        <v>10.937277895556534</v>
      </c>
      <c r="AQ4064">
        <f>SMALL('Iter No Test'!$W$9:$W$5008,4062)</f>
        <v>289.41704261795519</v>
      </c>
      <c r="AR4064">
        <f>1/(COUNT('Iter No Test'!$W$9:$W$5008)-1)+$AR$4063</f>
        <v>0.8123624724944507</v>
      </c>
    </row>
    <row r="4065" spans="22:44">
      <c r="V4065">
        <v>4057</v>
      </c>
      <c r="W4065">
        <v>196.57075616009854</v>
      </c>
      <c r="AQ4065">
        <f>SMALL('Iter No Test'!$W$9:$W$5008,4063)</f>
        <v>289.47598633947644</v>
      </c>
      <c r="AR4065">
        <f>1/(COUNT('Iter No Test'!$W$9:$W$5008)-1)+$AR$4064</f>
        <v>0.81256251250245226</v>
      </c>
    </row>
    <row r="4066" spans="22:44">
      <c r="V4066">
        <v>4058</v>
      </c>
      <c r="W4066">
        <v>267.87116777126278</v>
      </c>
      <c r="AQ4066">
        <f>SMALL('Iter No Test'!$W$9:$W$5008,4064)</f>
        <v>289.55787181121786</v>
      </c>
      <c r="AR4066">
        <f>1/(COUNT('Iter No Test'!$W$9:$W$5008)-1)+$AR$4065</f>
        <v>0.81276255251045382</v>
      </c>
    </row>
    <row r="4067" spans="22:44">
      <c r="V4067">
        <v>4059</v>
      </c>
      <c r="W4067">
        <v>90.592377581843209</v>
      </c>
      <c r="AQ4067">
        <f>SMALL('Iter No Test'!$W$9:$W$5008,4065)</f>
        <v>289.65981911243364</v>
      </c>
      <c r="AR4067">
        <f>1/(COUNT('Iter No Test'!$W$9:$W$5008)-1)+$AR$4066</f>
        <v>0.81296259251845537</v>
      </c>
    </row>
    <row r="4068" spans="22:44">
      <c r="V4068">
        <v>4060</v>
      </c>
      <c r="W4068">
        <v>78.020830613609348</v>
      </c>
      <c r="AQ4068">
        <f>SMALL('Iter No Test'!$W$9:$W$5008,4066)</f>
        <v>289.76128285501034</v>
      </c>
      <c r="AR4068">
        <f>1/(COUNT('Iter No Test'!$W$9:$W$5008)-1)+$AR$4067</f>
        <v>0.81316263252645693</v>
      </c>
    </row>
    <row r="4069" spans="22:44">
      <c r="V4069">
        <v>4061</v>
      </c>
      <c r="W4069">
        <v>248.82907404298834</v>
      </c>
      <c r="AQ4069">
        <f>SMALL('Iter No Test'!$W$9:$W$5008,4067)</f>
        <v>289.77045355578224</v>
      </c>
      <c r="AR4069">
        <f>1/(COUNT('Iter No Test'!$W$9:$W$5008)-1)+$AR$4068</f>
        <v>0.81336267253445849</v>
      </c>
    </row>
    <row r="4070" spans="22:44">
      <c r="V4070">
        <v>4062</v>
      </c>
      <c r="W4070">
        <v>114.7689500673095</v>
      </c>
      <c r="AQ4070">
        <f>SMALL('Iter No Test'!$W$9:$W$5008,4068)</f>
        <v>289.7776290559782</v>
      </c>
      <c r="AR4070">
        <f>1/(COUNT('Iter No Test'!$W$9:$W$5008)-1)+$AR$4069</f>
        <v>0.81356271254246004</v>
      </c>
    </row>
    <row r="4071" spans="22:44">
      <c r="V4071">
        <v>4063</v>
      </c>
      <c r="W4071">
        <v>301.11548820393546</v>
      </c>
      <c r="AQ4071">
        <f>SMALL('Iter No Test'!$W$9:$W$5008,4069)</f>
        <v>289.854164228576</v>
      </c>
      <c r="AR4071">
        <f>1/(COUNT('Iter No Test'!$W$9:$W$5008)-1)+$AR$4070</f>
        <v>0.8137627525504616</v>
      </c>
    </row>
    <row r="4072" spans="22:44">
      <c r="V4072">
        <v>4064</v>
      </c>
      <c r="W4072">
        <v>241.33592076276815</v>
      </c>
      <c r="AQ4072">
        <f>SMALL('Iter No Test'!$W$9:$W$5008,4070)</f>
        <v>289.87643629330057</v>
      </c>
      <c r="AR4072">
        <f>1/(COUNT('Iter No Test'!$W$9:$W$5008)-1)+$AR$4071</f>
        <v>0.81396279255846316</v>
      </c>
    </row>
    <row r="4073" spans="22:44">
      <c r="V4073">
        <v>4065</v>
      </c>
      <c r="W4073">
        <v>187.87813412511036</v>
      </c>
      <c r="AQ4073">
        <f>SMALL('Iter No Test'!$W$9:$W$5008,4071)</f>
        <v>289.91359164314338</v>
      </c>
      <c r="AR4073">
        <f>1/(COUNT('Iter No Test'!$W$9:$W$5008)-1)+$AR$4072</f>
        <v>0.81416283256646471</v>
      </c>
    </row>
    <row r="4074" spans="22:44">
      <c r="V4074">
        <v>4066</v>
      </c>
      <c r="W4074">
        <v>164.30179426773503</v>
      </c>
      <c r="AQ4074">
        <f>SMALL('Iter No Test'!$W$9:$W$5008,4072)</f>
        <v>289.92216969857907</v>
      </c>
      <c r="AR4074">
        <f>1/(COUNT('Iter No Test'!$W$9:$W$5008)-1)+$AR$4073</f>
        <v>0.81436287257446627</v>
      </c>
    </row>
    <row r="4075" spans="22:44">
      <c r="V4075">
        <v>4067</v>
      </c>
      <c r="W4075">
        <v>196.37825169024708</v>
      </c>
      <c r="AQ4075">
        <f>SMALL('Iter No Test'!$W$9:$W$5008,4073)</f>
        <v>290.00776835479974</v>
      </c>
      <c r="AR4075">
        <f>1/(COUNT('Iter No Test'!$W$9:$W$5008)-1)+$AR$4074</f>
        <v>0.81456291258246782</v>
      </c>
    </row>
    <row r="4076" spans="22:44">
      <c r="V4076">
        <v>4068</v>
      </c>
      <c r="W4076">
        <v>398.65444304384175</v>
      </c>
      <c r="AQ4076">
        <f>SMALL('Iter No Test'!$W$9:$W$5008,4074)</f>
        <v>290.02675076872845</v>
      </c>
      <c r="AR4076">
        <f>1/(COUNT('Iter No Test'!$W$9:$W$5008)-1)+$AR$4075</f>
        <v>0.81476295259046938</v>
      </c>
    </row>
    <row r="4077" spans="22:44">
      <c r="V4077">
        <v>4069</v>
      </c>
      <c r="W4077">
        <v>276.84281639227447</v>
      </c>
      <c r="AQ4077">
        <f>SMALL('Iter No Test'!$W$9:$W$5008,4075)</f>
        <v>290.13345290173879</v>
      </c>
      <c r="AR4077">
        <f>1/(COUNT('Iter No Test'!$W$9:$W$5008)-1)+$AR$4076</f>
        <v>0.81496299259847094</v>
      </c>
    </row>
    <row r="4078" spans="22:44">
      <c r="V4078">
        <v>4070</v>
      </c>
      <c r="W4078">
        <v>348.32731889252034</v>
      </c>
      <c r="AQ4078">
        <f>SMALL('Iter No Test'!$W$9:$W$5008,4076)</f>
        <v>290.18730909057172</v>
      </c>
      <c r="AR4078">
        <f>1/(COUNT('Iter No Test'!$W$9:$W$5008)-1)+$AR$4077</f>
        <v>0.81516303260647249</v>
      </c>
    </row>
    <row r="4079" spans="22:44">
      <c r="V4079">
        <v>4071</v>
      </c>
      <c r="W4079">
        <v>202.96789837059853</v>
      </c>
      <c r="AQ4079">
        <f>SMALL('Iter No Test'!$W$9:$W$5008,4077)</f>
        <v>290.23313161332777</v>
      </c>
      <c r="AR4079">
        <f>1/(COUNT('Iter No Test'!$W$9:$W$5008)-1)+$AR$4078</f>
        <v>0.81536307261447405</v>
      </c>
    </row>
    <row r="4080" spans="22:44">
      <c r="V4080">
        <v>4072</v>
      </c>
      <c r="W4080">
        <v>239.02832967586454</v>
      </c>
      <c r="AQ4080">
        <f>SMALL('Iter No Test'!$W$9:$W$5008,4078)</f>
        <v>290.25736545484835</v>
      </c>
      <c r="AR4080">
        <f>1/(COUNT('Iter No Test'!$W$9:$W$5008)-1)+$AR$4079</f>
        <v>0.81556311262247561</v>
      </c>
    </row>
    <row r="4081" spans="22:44">
      <c r="V4081">
        <v>4073</v>
      </c>
      <c r="W4081">
        <v>294.64736498149159</v>
      </c>
      <c r="AQ4081">
        <f>SMALL('Iter No Test'!$W$9:$W$5008,4079)</f>
        <v>290.28860630552373</v>
      </c>
      <c r="AR4081">
        <f>1/(COUNT('Iter No Test'!$W$9:$W$5008)-1)+$AR$4080</f>
        <v>0.81576315263047716</v>
      </c>
    </row>
    <row r="4082" spans="22:44">
      <c r="V4082">
        <v>4074</v>
      </c>
      <c r="W4082">
        <v>207.57451247804826</v>
      </c>
      <c r="AQ4082">
        <f>SMALL('Iter No Test'!$W$9:$W$5008,4080)</f>
        <v>290.47818467737085</v>
      </c>
      <c r="AR4082">
        <f>1/(COUNT('Iter No Test'!$W$9:$W$5008)-1)+$AR$4081</f>
        <v>0.81596319263847872</v>
      </c>
    </row>
    <row r="4083" spans="22:44">
      <c r="V4083">
        <v>4075</v>
      </c>
      <c r="W4083">
        <v>219.95178232959648</v>
      </c>
      <c r="AQ4083">
        <f>SMALL('Iter No Test'!$W$9:$W$5008,4081)</f>
        <v>290.48730621450875</v>
      </c>
      <c r="AR4083">
        <f>1/(COUNT('Iter No Test'!$W$9:$W$5008)-1)+$AR$4082</f>
        <v>0.81616323264648027</v>
      </c>
    </row>
    <row r="4084" spans="22:44">
      <c r="V4084">
        <v>4076</v>
      </c>
      <c r="W4084">
        <v>146.55707597718549</v>
      </c>
      <c r="AQ4084">
        <f>SMALL('Iter No Test'!$W$9:$W$5008,4082)</f>
        <v>290.48927640144507</v>
      </c>
      <c r="AR4084">
        <f>1/(COUNT('Iter No Test'!$W$9:$W$5008)-1)+$AR$4083</f>
        <v>0.81636327265448183</v>
      </c>
    </row>
    <row r="4085" spans="22:44">
      <c r="V4085">
        <v>4077</v>
      </c>
      <c r="W4085">
        <v>278.26337739688245</v>
      </c>
      <c r="AQ4085">
        <f>SMALL('Iter No Test'!$W$9:$W$5008,4083)</f>
        <v>290.63821514267272</v>
      </c>
      <c r="AR4085">
        <f>1/(COUNT('Iter No Test'!$W$9:$W$5008)-1)+$AR$4084</f>
        <v>0.81656331266248339</v>
      </c>
    </row>
    <row r="4086" spans="22:44">
      <c r="V4086">
        <v>4078</v>
      </c>
      <c r="W4086">
        <v>337.68534730343652</v>
      </c>
      <c r="AQ4086">
        <f>SMALL('Iter No Test'!$W$9:$W$5008,4084)</f>
        <v>290.64577237879882</v>
      </c>
      <c r="AR4086">
        <f>1/(COUNT('Iter No Test'!$W$9:$W$5008)-1)+$AR$4085</f>
        <v>0.81676335267048494</v>
      </c>
    </row>
    <row r="4087" spans="22:44">
      <c r="V4087">
        <v>4079</v>
      </c>
      <c r="W4087">
        <v>246.78909926354351</v>
      </c>
      <c r="AQ4087">
        <f>SMALL('Iter No Test'!$W$9:$W$5008,4085)</f>
        <v>290.76499017162303</v>
      </c>
      <c r="AR4087">
        <f>1/(COUNT('Iter No Test'!$W$9:$W$5008)-1)+$AR$4086</f>
        <v>0.8169633926784865</v>
      </c>
    </row>
    <row r="4088" spans="22:44">
      <c r="V4088">
        <v>4080</v>
      </c>
      <c r="W4088">
        <v>293.11136467116012</v>
      </c>
      <c r="AQ4088">
        <f>SMALL('Iter No Test'!$W$9:$W$5008,4086)</f>
        <v>290.94873491651765</v>
      </c>
      <c r="AR4088">
        <f>1/(COUNT('Iter No Test'!$W$9:$W$5008)-1)+$AR$4087</f>
        <v>0.81716343268648806</v>
      </c>
    </row>
    <row r="4089" spans="22:44">
      <c r="V4089">
        <v>4081</v>
      </c>
      <c r="W4089">
        <v>191.02494474503624</v>
      </c>
      <c r="AQ4089">
        <f>SMALL('Iter No Test'!$W$9:$W$5008,4087)</f>
        <v>290.99431559503751</v>
      </c>
      <c r="AR4089">
        <f>1/(COUNT('Iter No Test'!$W$9:$W$5008)-1)+$AR$4088</f>
        <v>0.81736347269448961</v>
      </c>
    </row>
    <row r="4090" spans="22:44">
      <c r="V4090">
        <v>4082</v>
      </c>
      <c r="W4090">
        <v>250.10606338043019</v>
      </c>
      <c r="AQ4090">
        <f>SMALL('Iter No Test'!$W$9:$W$5008,4088)</f>
        <v>291.08643924956021</v>
      </c>
      <c r="AR4090">
        <f>1/(COUNT('Iter No Test'!$W$9:$W$5008)-1)+$AR$4089</f>
        <v>0.81756351270249117</v>
      </c>
    </row>
    <row r="4091" spans="22:44">
      <c r="V4091">
        <v>4083</v>
      </c>
      <c r="W4091">
        <v>208.97884829986154</v>
      </c>
      <c r="AQ4091">
        <f>SMALL('Iter No Test'!$W$9:$W$5008,4089)</f>
        <v>291.11778365073945</v>
      </c>
      <c r="AR4091">
        <f>1/(COUNT('Iter No Test'!$W$9:$W$5008)-1)+$AR$4090</f>
        <v>0.81776355271049272</v>
      </c>
    </row>
    <row r="4092" spans="22:44">
      <c r="V4092">
        <v>4084</v>
      </c>
      <c r="W4092">
        <v>85.391703917574375</v>
      </c>
      <c r="AQ4092">
        <f>SMALL('Iter No Test'!$W$9:$W$5008,4090)</f>
        <v>291.13222258824464</v>
      </c>
      <c r="AR4092">
        <f>1/(COUNT('Iter No Test'!$W$9:$W$5008)-1)+$AR$4091</f>
        <v>0.81796359271849428</v>
      </c>
    </row>
    <row r="4093" spans="22:44">
      <c r="V4093">
        <v>4085</v>
      </c>
      <c r="W4093">
        <v>115.72891037194108</v>
      </c>
      <c r="AQ4093">
        <f>SMALL('Iter No Test'!$W$9:$W$5008,4091)</f>
        <v>291.17534566858581</v>
      </c>
      <c r="AR4093">
        <f>1/(COUNT('Iter No Test'!$W$9:$W$5008)-1)+$AR$4092</f>
        <v>0.81816363272649584</v>
      </c>
    </row>
    <row r="4094" spans="22:44">
      <c r="V4094">
        <v>4086</v>
      </c>
      <c r="W4094">
        <v>157.2408366421285</v>
      </c>
      <c r="AQ4094">
        <f>SMALL('Iter No Test'!$W$9:$W$5008,4092)</f>
        <v>291.18327590510955</v>
      </c>
      <c r="AR4094">
        <f>1/(COUNT('Iter No Test'!$W$9:$W$5008)-1)+$AR$4093</f>
        <v>0.81836367273449739</v>
      </c>
    </row>
    <row r="4095" spans="22:44">
      <c r="V4095">
        <v>4087</v>
      </c>
      <c r="W4095">
        <v>178.7449739581966</v>
      </c>
      <c r="AQ4095">
        <f>SMALL('Iter No Test'!$W$9:$W$5008,4093)</f>
        <v>291.19539490823234</v>
      </c>
      <c r="AR4095">
        <f>1/(COUNT('Iter No Test'!$W$9:$W$5008)-1)+$AR$4094</f>
        <v>0.81856371274249895</v>
      </c>
    </row>
    <row r="4096" spans="22:44">
      <c r="V4096">
        <v>4088</v>
      </c>
      <c r="W4096">
        <v>117.19159374964465</v>
      </c>
      <c r="AQ4096">
        <f>SMALL('Iter No Test'!$W$9:$W$5008,4094)</f>
        <v>291.20202583346315</v>
      </c>
      <c r="AR4096">
        <f>1/(COUNT('Iter No Test'!$W$9:$W$5008)-1)+$AR$4095</f>
        <v>0.81876375275050051</v>
      </c>
    </row>
    <row r="4097" spans="22:44">
      <c r="V4097">
        <v>4089</v>
      </c>
      <c r="W4097">
        <v>94.163026931435454</v>
      </c>
      <c r="AQ4097">
        <f>SMALL('Iter No Test'!$W$9:$W$5008,4095)</f>
        <v>291.22774080057638</v>
      </c>
      <c r="AR4097">
        <f>1/(COUNT('Iter No Test'!$W$9:$W$5008)-1)+$AR$4096</f>
        <v>0.81896379275850206</v>
      </c>
    </row>
    <row r="4098" spans="22:44">
      <c r="V4098">
        <v>4090</v>
      </c>
      <c r="W4098">
        <v>334.09821437302594</v>
      </c>
      <c r="AQ4098">
        <f>SMALL('Iter No Test'!$W$9:$W$5008,4096)</f>
        <v>291.23949640639933</v>
      </c>
      <c r="AR4098">
        <f>1/(COUNT('Iter No Test'!$W$9:$W$5008)-1)+$AR$4097</f>
        <v>0.81916383276650362</v>
      </c>
    </row>
    <row r="4099" spans="22:44">
      <c r="V4099">
        <v>4091</v>
      </c>
      <c r="W4099">
        <v>28.115944871217422</v>
      </c>
      <c r="AQ4099">
        <f>SMALL('Iter No Test'!$W$9:$W$5008,4097)</f>
        <v>291.29206223191215</v>
      </c>
      <c r="AR4099">
        <f>1/(COUNT('Iter No Test'!$W$9:$W$5008)-1)+$AR$4098</f>
        <v>0.81936387277450518</v>
      </c>
    </row>
    <row r="4100" spans="22:44">
      <c r="V4100">
        <v>4092</v>
      </c>
      <c r="W4100">
        <v>135.29256583173148</v>
      </c>
      <c r="AQ4100">
        <f>SMALL('Iter No Test'!$W$9:$W$5008,4098)</f>
        <v>291.35967200546281</v>
      </c>
      <c r="AR4100">
        <f>1/(COUNT('Iter No Test'!$W$9:$W$5008)-1)+$AR$4099</f>
        <v>0.81956391278250673</v>
      </c>
    </row>
    <row r="4101" spans="22:44">
      <c r="V4101">
        <v>4093</v>
      </c>
      <c r="W4101">
        <v>173.4957026004995</v>
      </c>
      <c r="AQ4101">
        <f>SMALL('Iter No Test'!$W$9:$W$5008,4099)</f>
        <v>291.3642750012433</v>
      </c>
      <c r="AR4101">
        <f>1/(COUNT('Iter No Test'!$W$9:$W$5008)-1)+$AR$4100</f>
        <v>0.81976395279050829</v>
      </c>
    </row>
    <row r="4102" spans="22:44">
      <c r="V4102">
        <v>4094</v>
      </c>
      <c r="W4102">
        <v>130.24097118375792</v>
      </c>
      <c r="AQ4102">
        <f>SMALL('Iter No Test'!$W$9:$W$5008,4100)</f>
        <v>291.62291048087923</v>
      </c>
      <c r="AR4102">
        <f>1/(COUNT('Iter No Test'!$W$9:$W$5008)-1)+$AR$4101</f>
        <v>0.81996399279850984</v>
      </c>
    </row>
    <row r="4103" spans="22:44">
      <c r="V4103">
        <v>4095</v>
      </c>
      <c r="W4103">
        <v>133.27599573694837</v>
      </c>
      <c r="AQ4103">
        <f>SMALL('Iter No Test'!$W$9:$W$5008,4101)</f>
        <v>291.66789062588964</v>
      </c>
      <c r="AR4103">
        <f>1/(COUNT('Iter No Test'!$W$9:$W$5008)-1)+$AR$4102</f>
        <v>0.8201640328065114</v>
      </c>
    </row>
    <row r="4104" spans="22:44">
      <c r="V4104">
        <v>4096</v>
      </c>
      <c r="W4104">
        <v>225.33531745183626</v>
      </c>
      <c r="AQ4104">
        <f>SMALL('Iter No Test'!$W$9:$W$5008,4102)</f>
        <v>291.84080568686994</v>
      </c>
      <c r="AR4104">
        <f>1/(COUNT('Iter No Test'!$W$9:$W$5008)-1)+$AR$4103</f>
        <v>0.82036407281451296</v>
      </c>
    </row>
    <row r="4105" spans="22:44">
      <c r="V4105">
        <v>4097</v>
      </c>
      <c r="W4105">
        <v>183.08261083992281</v>
      </c>
      <c r="AQ4105">
        <f>SMALL('Iter No Test'!$W$9:$W$5008,4103)</f>
        <v>291.90238350175946</v>
      </c>
      <c r="AR4105">
        <f>1/(COUNT('Iter No Test'!$W$9:$W$5008)-1)+$AR$4104</f>
        <v>0.82056411282251451</v>
      </c>
    </row>
    <row r="4106" spans="22:44">
      <c r="V4106">
        <v>4098</v>
      </c>
      <c r="W4106">
        <v>314.61877370908832</v>
      </c>
      <c r="AQ4106">
        <f>SMALL('Iter No Test'!$W$9:$W$5008,4104)</f>
        <v>291.92908209271116</v>
      </c>
      <c r="AR4106">
        <f>1/(COUNT('Iter No Test'!$W$9:$W$5008)-1)+$AR$4105</f>
        <v>0.82076415283051607</v>
      </c>
    </row>
    <row r="4107" spans="22:44">
      <c r="V4107">
        <v>4099</v>
      </c>
      <c r="W4107">
        <v>263.55546363930728</v>
      </c>
      <c r="AQ4107">
        <f>SMALL('Iter No Test'!$W$9:$W$5008,4105)</f>
        <v>292.06668636073312</v>
      </c>
      <c r="AR4107">
        <f>1/(COUNT('Iter No Test'!$W$9:$W$5008)-1)+$AR$4106</f>
        <v>0.82096419283851763</v>
      </c>
    </row>
    <row r="4108" spans="22:44">
      <c r="V4108">
        <v>4100</v>
      </c>
      <c r="W4108">
        <v>187.6995135673269</v>
      </c>
      <c r="AQ4108">
        <f>SMALL('Iter No Test'!$W$9:$W$5008,4106)</f>
        <v>292.08830846210515</v>
      </c>
      <c r="AR4108">
        <f>1/(COUNT('Iter No Test'!$W$9:$W$5008)-1)+$AR$4107</f>
        <v>0.82116423284651918</v>
      </c>
    </row>
    <row r="4109" spans="22:44">
      <c r="V4109">
        <v>4101</v>
      </c>
      <c r="W4109">
        <v>116.24903910398508</v>
      </c>
      <c r="AQ4109">
        <f>SMALL('Iter No Test'!$W$9:$W$5008,4107)</f>
        <v>292.10087389069133</v>
      </c>
      <c r="AR4109">
        <f>1/(COUNT('Iter No Test'!$W$9:$W$5008)-1)+$AR$4108</f>
        <v>0.82136427285452074</v>
      </c>
    </row>
    <row r="4110" spans="22:44">
      <c r="V4110">
        <v>4102</v>
      </c>
      <c r="W4110">
        <v>369.14905577072284</v>
      </c>
      <c r="AQ4110">
        <f>SMALL('Iter No Test'!$W$9:$W$5008,4108)</f>
        <v>292.10427509362012</v>
      </c>
      <c r="AR4110">
        <f>1/(COUNT('Iter No Test'!$W$9:$W$5008)-1)+$AR$4109</f>
        <v>0.82156431286252229</v>
      </c>
    </row>
    <row r="4111" spans="22:44">
      <c r="V4111">
        <v>4103</v>
      </c>
      <c r="W4111">
        <v>221.71686659188583</v>
      </c>
      <c r="AQ4111">
        <f>SMALL('Iter No Test'!$W$9:$W$5008,4109)</f>
        <v>292.19407968445114</v>
      </c>
      <c r="AR4111">
        <f>1/(COUNT('Iter No Test'!$W$9:$W$5008)-1)+$AR$4110</f>
        <v>0.82176435287052385</v>
      </c>
    </row>
    <row r="4112" spans="22:44">
      <c r="V4112">
        <v>4104</v>
      </c>
      <c r="W4112">
        <v>223.30923915587155</v>
      </c>
      <c r="AQ4112">
        <f>SMALL('Iter No Test'!$W$9:$W$5008,4110)</f>
        <v>292.23175828149573</v>
      </c>
      <c r="AR4112">
        <f>1/(COUNT('Iter No Test'!$W$9:$W$5008)-1)+$AR$4111</f>
        <v>0.82196439287852541</v>
      </c>
    </row>
    <row r="4113" spans="22:44">
      <c r="V4113">
        <v>4105</v>
      </c>
      <c r="W4113">
        <v>299.35594786014815</v>
      </c>
      <c r="AQ4113">
        <f>SMALL('Iter No Test'!$W$9:$W$5008,4111)</f>
        <v>292.42786993714617</v>
      </c>
      <c r="AR4113">
        <f>1/(COUNT('Iter No Test'!$W$9:$W$5008)-1)+$AR$4112</f>
        <v>0.82216443288652696</v>
      </c>
    </row>
    <row r="4114" spans="22:44">
      <c r="V4114">
        <v>4106</v>
      </c>
      <c r="W4114">
        <v>371.63648417962406</v>
      </c>
      <c r="AQ4114">
        <f>SMALL('Iter No Test'!$W$9:$W$5008,4112)</f>
        <v>292.45439511401247</v>
      </c>
      <c r="AR4114">
        <f>1/(COUNT('Iter No Test'!$W$9:$W$5008)-1)+$AR$4113</f>
        <v>0.82236447289452852</v>
      </c>
    </row>
    <row r="4115" spans="22:44">
      <c r="V4115">
        <v>4107</v>
      </c>
      <c r="W4115">
        <v>257.17459485073596</v>
      </c>
      <c r="AQ4115">
        <f>SMALL('Iter No Test'!$W$9:$W$5008,4113)</f>
        <v>292.52136982058738</v>
      </c>
      <c r="AR4115">
        <f>1/(COUNT('Iter No Test'!$W$9:$W$5008)-1)+$AR$4114</f>
        <v>0.82256451290253008</v>
      </c>
    </row>
    <row r="4116" spans="22:44">
      <c r="V4116">
        <v>4108</v>
      </c>
      <c r="W4116">
        <v>305.27318984690805</v>
      </c>
      <c r="AQ4116">
        <f>SMALL('Iter No Test'!$W$9:$W$5008,4114)</f>
        <v>292.53768936658844</v>
      </c>
      <c r="AR4116">
        <f>1/(COUNT('Iter No Test'!$W$9:$W$5008)-1)+$AR$4115</f>
        <v>0.82276455291053163</v>
      </c>
    </row>
    <row r="4117" spans="22:44">
      <c r="V4117">
        <v>4109</v>
      </c>
      <c r="W4117">
        <v>163.71898025106208</v>
      </c>
      <c r="AQ4117">
        <f>SMALL('Iter No Test'!$W$9:$W$5008,4115)</f>
        <v>292.86207559374566</v>
      </c>
      <c r="AR4117">
        <f>1/(COUNT('Iter No Test'!$W$9:$W$5008)-1)+$AR$4116</f>
        <v>0.82296459291853319</v>
      </c>
    </row>
    <row r="4118" spans="22:44">
      <c r="V4118">
        <v>4110</v>
      </c>
      <c r="W4118">
        <v>293.7915062013642</v>
      </c>
      <c r="AQ4118">
        <f>SMALL('Iter No Test'!$W$9:$W$5008,4116)</f>
        <v>292.88685231669615</v>
      </c>
      <c r="AR4118">
        <f>1/(COUNT('Iter No Test'!$W$9:$W$5008)-1)+$AR$4117</f>
        <v>0.82316463292653475</v>
      </c>
    </row>
    <row r="4119" spans="22:44">
      <c r="V4119">
        <v>4111</v>
      </c>
      <c r="W4119">
        <v>434.33434230456453</v>
      </c>
      <c r="AQ4119">
        <f>SMALL('Iter No Test'!$W$9:$W$5008,4117)</f>
        <v>292.91897438013854</v>
      </c>
      <c r="AR4119">
        <f>1/(COUNT('Iter No Test'!$W$9:$W$5008)-1)+$AR$4118</f>
        <v>0.8233646729345363</v>
      </c>
    </row>
    <row r="4120" spans="22:44">
      <c r="V4120">
        <v>4112</v>
      </c>
      <c r="W4120">
        <v>268.37589870705011</v>
      </c>
      <c r="AQ4120">
        <f>SMALL('Iter No Test'!$W$9:$W$5008,4118)</f>
        <v>292.99966887483697</v>
      </c>
      <c r="AR4120">
        <f>1/(COUNT('Iter No Test'!$W$9:$W$5008)-1)+$AR$4119</f>
        <v>0.82356471294253786</v>
      </c>
    </row>
    <row r="4121" spans="22:44">
      <c r="V4121">
        <v>4113</v>
      </c>
      <c r="W4121">
        <v>315.35416312777517</v>
      </c>
      <c r="AQ4121">
        <f>SMALL('Iter No Test'!$W$9:$W$5008,4119)</f>
        <v>293.06878974060123</v>
      </c>
      <c r="AR4121">
        <f>1/(COUNT('Iter No Test'!$W$9:$W$5008)-1)+$AR$4120</f>
        <v>0.82376475295053941</v>
      </c>
    </row>
    <row r="4122" spans="22:44">
      <c r="V4122">
        <v>4114</v>
      </c>
      <c r="W4122">
        <v>224.18001838216708</v>
      </c>
      <c r="AQ4122">
        <f>SMALL('Iter No Test'!$W$9:$W$5008,4120)</f>
        <v>293.07882376391711</v>
      </c>
      <c r="AR4122">
        <f>1/(COUNT('Iter No Test'!$W$9:$W$5008)-1)+$AR$4121</f>
        <v>0.82396479295854097</v>
      </c>
    </row>
    <row r="4123" spans="22:44">
      <c r="V4123">
        <v>4115</v>
      </c>
      <c r="W4123">
        <v>42.749822116303704</v>
      </c>
      <c r="AQ4123">
        <f>SMALL('Iter No Test'!$W$9:$W$5008,4121)</f>
        <v>293.11136467116012</v>
      </c>
      <c r="AR4123">
        <f>1/(COUNT('Iter No Test'!$W$9:$W$5008)-1)+$AR$4122</f>
        <v>0.82416483296654253</v>
      </c>
    </row>
    <row r="4124" spans="22:44">
      <c r="V4124">
        <v>4116</v>
      </c>
      <c r="W4124">
        <v>150.05544408734346</v>
      </c>
      <c r="AQ4124">
        <f>SMALL('Iter No Test'!$W$9:$W$5008,4122)</f>
        <v>293.13341646981314</v>
      </c>
      <c r="AR4124">
        <f>1/(COUNT('Iter No Test'!$W$9:$W$5008)-1)+$AR$4123</f>
        <v>0.82436487297454408</v>
      </c>
    </row>
    <row r="4125" spans="22:44">
      <c r="V4125">
        <v>4117</v>
      </c>
      <c r="W4125">
        <v>307.58996797769288</v>
      </c>
      <c r="AQ4125">
        <f>SMALL('Iter No Test'!$W$9:$W$5008,4123)</f>
        <v>293.14953123536714</v>
      </c>
      <c r="AR4125">
        <f>1/(COUNT('Iter No Test'!$W$9:$W$5008)-1)+$AR$4124</f>
        <v>0.82456491298254564</v>
      </c>
    </row>
    <row r="4126" spans="22:44">
      <c r="V4126">
        <v>4118</v>
      </c>
      <c r="W4126">
        <v>370.67207937099823</v>
      </c>
      <c r="AQ4126">
        <f>SMALL('Iter No Test'!$W$9:$W$5008,4124)</f>
        <v>293.23536056230546</v>
      </c>
      <c r="AR4126">
        <f>1/(COUNT('Iter No Test'!$W$9:$W$5008)-1)+$AR$4125</f>
        <v>0.8247649529905472</v>
      </c>
    </row>
    <row r="4127" spans="22:44">
      <c r="V4127">
        <v>4119</v>
      </c>
      <c r="W4127">
        <v>133.38265766104442</v>
      </c>
      <c r="AQ4127">
        <f>SMALL('Iter No Test'!$W$9:$W$5008,4125)</f>
        <v>293.31017960569415</v>
      </c>
      <c r="AR4127">
        <f>1/(COUNT('Iter No Test'!$W$9:$W$5008)-1)+$AR$4126</f>
        <v>0.82496499299854875</v>
      </c>
    </row>
    <row r="4128" spans="22:44">
      <c r="V4128">
        <v>4120</v>
      </c>
      <c r="W4128">
        <v>292.10087389069133</v>
      </c>
      <c r="AQ4128">
        <f>SMALL('Iter No Test'!$W$9:$W$5008,4126)</f>
        <v>293.31864356986074</v>
      </c>
      <c r="AR4128">
        <f>1/(COUNT('Iter No Test'!$W$9:$W$5008)-1)+$AR$4127</f>
        <v>0.82516503300655031</v>
      </c>
    </row>
    <row r="4129" spans="22:44">
      <c r="V4129">
        <v>4121</v>
      </c>
      <c r="W4129">
        <v>295.89592600263967</v>
      </c>
      <c r="AQ4129">
        <f>SMALL('Iter No Test'!$W$9:$W$5008,4127)</f>
        <v>293.38920130711369</v>
      </c>
      <c r="AR4129">
        <f>1/(COUNT('Iter No Test'!$W$9:$W$5008)-1)+$AR$4128</f>
        <v>0.82536507301455186</v>
      </c>
    </row>
    <row r="4130" spans="22:44">
      <c r="V4130">
        <v>4122</v>
      </c>
      <c r="W4130">
        <v>230.78281884489044</v>
      </c>
      <c r="AQ4130">
        <f>SMALL('Iter No Test'!$W$9:$W$5008,4128)</f>
        <v>293.42386185948396</v>
      </c>
      <c r="AR4130">
        <f>1/(COUNT('Iter No Test'!$W$9:$W$5008)-1)+$AR$4129</f>
        <v>0.82556511302255342</v>
      </c>
    </row>
    <row r="4131" spans="22:44">
      <c r="V4131">
        <v>4123</v>
      </c>
      <c r="W4131">
        <v>96.100848016416293</v>
      </c>
      <c r="AQ4131">
        <f>SMALL('Iter No Test'!$W$9:$W$5008,4129)</f>
        <v>293.52669597812138</v>
      </c>
      <c r="AR4131">
        <f>1/(COUNT('Iter No Test'!$W$9:$W$5008)-1)+$AR$4130</f>
        <v>0.82576515303055498</v>
      </c>
    </row>
    <row r="4132" spans="22:44">
      <c r="V4132">
        <v>4124</v>
      </c>
      <c r="W4132">
        <v>246.26890978815757</v>
      </c>
      <c r="AQ4132">
        <f>SMALL('Iter No Test'!$W$9:$W$5008,4130)</f>
        <v>293.69623285226692</v>
      </c>
      <c r="AR4132">
        <f>1/(COUNT('Iter No Test'!$W$9:$W$5008)-1)+$AR$4131</f>
        <v>0.82596519303855653</v>
      </c>
    </row>
    <row r="4133" spans="22:44">
      <c r="V4133">
        <v>4125</v>
      </c>
      <c r="W4133">
        <v>264.23380011389452</v>
      </c>
      <c r="AQ4133">
        <f>SMALL('Iter No Test'!$W$9:$W$5008,4131)</f>
        <v>293.73326699211293</v>
      </c>
      <c r="AR4133">
        <f>1/(COUNT('Iter No Test'!$W$9:$W$5008)-1)+$AR$4132</f>
        <v>0.82616523304655809</v>
      </c>
    </row>
    <row r="4134" spans="22:44">
      <c r="V4134">
        <v>4126</v>
      </c>
      <c r="W4134">
        <v>111.14423090311465</v>
      </c>
      <c r="AQ4134">
        <f>SMALL('Iter No Test'!$W$9:$W$5008,4132)</f>
        <v>293.7915062013642</v>
      </c>
      <c r="AR4134">
        <f>1/(COUNT('Iter No Test'!$W$9:$W$5008)-1)+$AR$4133</f>
        <v>0.82636527305455965</v>
      </c>
    </row>
    <row r="4135" spans="22:44">
      <c r="V4135">
        <v>4127</v>
      </c>
      <c r="W4135">
        <v>212.94253216945793</v>
      </c>
      <c r="AQ4135">
        <f>SMALL('Iter No Test'!$W$9:$W$5008,4133)</f>
        <v>293.8350405107783</v>
      </c>
      <c r="AR4135">
        <f>1/(COUNT('Iter No Test'!$W$9:$W$5008)-1)+$AR$4134</f>
        <v>0.8265653130625612</v>
      </c>
    </row>
    <row r="4136" spans="22:44">
      <c r="V4136">
        <v>4128</v>
      </c>
      <c r="W4136">
        <v>333.59550793136475</v>
      </c>
      <c r="AQ4136">
        <f>SMALL('Iter No Test'!$W$9:$W$5008,4134)</f>
        <v>293.91379332314563</v>
      </c>
      <c r="AR4136">
        <f>1/(COUNT('Iter No Test'!$W$9:$W$5008)-1)+$AR$4135</f>
        <v>0.82676535307056276</v>
      </c>
    </row>
    <row r="4137" spans="22:44">
      <c r="V4137">
        <v>4129</v>
      </c>
      <c r="W4137">
        <v>338.09436598583261</v>
      </c>
      <c r="AQ4137">
        <f>SMALL('Iter No Test'!$W$9:$W$5008,4135)</f>
        <v>293.9394594920833</v>
      </c>
      <c r="AR4137">
        <f>1/(COUNT('Iter No Test'!$W$9:$W$5008)-1)+$AR$4136</f>
        <v>0.82696539307856431</v>
      </c>
    </row>
    <row r="4138" spans="22:44">
      <c r="V4138">
        <v>4130</v>
      </c>
      <c r="W4138">
        <v>276.51209049568547</v>
      </c>
      <c r="AQ4138">
        <f>SMALL('Iter No Test'!$W$9:$W$5008,4136)</f>
        <v>293.94575536408479</v>
      </c>
      <c r="AR4138">
        <f>1/(COUNT('Iter No Test'!$W$9:$W$5008)-1)+$AR$4137</f>
        <v>0.82716543308656587</v>
      </c>
    </row>
    <row r="4139" spans="22:44">
      <c r="V4139">
        <v>4131</v>
      </c>
      <c r="W4139">
        <v>204.54761454889695</v>
      </c>
      <c r="AQ4139">
        <f>SMALL('Iter No Test'!$W$9:$W$5008,4137)</f>
        <v>293.95281306271863</v>
      </c>
      <c r="AR4139">
        <f>1/(COUNT('Iter No Test'!$W$9:$W$5008)-1)+$AR$4138</f>
        <v>0.82736547309456743</v>
      </c>
    </row>
    <row r="4140" spans="22:44">
      <c r="V4140">
        <v>4132</v>
      </c>
      <c r="W4140">
        <v>245.44024726372913</v>
      </c>
      <c r="AQ4140">
        <f>SMALL('Iter No Test'!$W$9:$W$5008,4138)</f>
        <v>294.02301021652386</v>
      </c>
      <c r="AR4140">
        <f>1/(COUNT('Iter No Test'!$W$9:$W$5008)-1)+$AR$4139</f>
        <v>0.82756551310256898</v>
      </c>
    </row>
    <row r="4141" spans="22:44">
      <c r="V4141">
        <v>4133</v>
      </c>
      <c r="W4141">
        <v>177.95189360267076</v>
      </c>
      <c r="AQ4141">
        <f>SMALL('Iter No Test'!$W$9:$W$5008,4139)</f>
        <v>294.0726774420591</v>
      </c>
      <c r="AR4141">
        <f>1/(COUNT('Iter No Test'!$W$9:$W$5008)-1)+$AR$4140</f>
        <v>0.82776555311057054</v>
      </c>
    </row>
    <row r="4142" spans="22:44">
      <c r="V4142">
        <v>4134</v>
      </c>
      <c r="W4142">
        <v>43.684547195146138</v>
      </c>
      <c r="AQ4142">
        <f>SMALL('Iter No Test'!$W$9:$W$5008,4140)</f>
        <v>294.08476632891262</v>
      </c>
      <c r="AR4142">
        <f>1/(COUNT('Iter No Test'!$W$9:$W$5008)-1)+$AR$4141</f>
        <v>0.8279655931185721</v>
      </c>
    </row>
    <row r="4143" spans="22:44">
      <c r="V4143">
        <v>4135</v>
      </c>
      <c r="W4143">
        <v>150.29963703382197</v>
      </c>
      <c r="AQ4143">
        <f>SMALL('Iter No Test'!$W$9:$W$5008,4141)</f>
        <v>294.29354772725003</v>
      </c>
      <c r="AR4143">
        <f>1/(COUNT('Iter No Test'!$W$9:$W$5008)-1)+$AR$4142</f>
        <v>0.82816563312657365</v>
      </c>
    </row>
    <row r="4144" spans="22:44">
      <c r="V4144">
        <v>4136</v>
      </c>
      <c r="W4144">
        <v>192.23258594725195</v>
      </c>
      <c r="AQ4144">
        <f>SMALL('Iter No Test'!$W$9:$W$5008,4142)</f>
        <v>294.33107231332974</v>
      </c>
      <c r="AR4144">
        <f>1/(COUNT('Iter No Test'!$W$9:$W$5008)-1)+$AR$4143</f>
        <v>0.82836567313457521</v>
      </c>
    </row>
    <row r="4145" spans="22:44">
      <c r="V4145">
        <v>4137</v>
      </c>
      <c r="W4145">
        <v>72.421830102488826</v>
      </c>
      <c r="AQ4145">
        <f>SMALL('Iter No Test'!$W$9:$W$5008,4143)</f>
        <v>294.402006679046</v>
      </c>
      <c r="AR4145">
        <f>1/(COUNT('Iter No Test'!$W$9:$W$5008)-1)+$AR$4144</f>
        <v>0.82856571314257677</v>
      </c>
    </row>
    <row r="4146" spans="22:44">
      <c r="V4146">
        <v>4138</v>
      </c>
      <c r="W4146">
        <v>187.51394882587869</v>
      </c>
      <c r="AQ4146">
        <f>SMALL('Iter No Test'!$W$9:$W$5008,4144)</f>
        <v>294.45854984735342</v>
      </c>
      <c r="AR4146">
        <f>1/(COUNT('Iter No Test'!$W$9:$W$5008)-1)+$AR$4145</f>
        <v>0.82876575315057832</v>
      </c>
    </row>
    <row r="4147" spans="22:44">
      <c r="V4147">
        <v>4139</v>
      </c>
      <c r="W4147">
        <v>300.92060083938458</v>
      </c>
      <c r="AQ4147">
        <f>SMALL('Iter No Test'!$W$9:$W$5008,4145)</f>
        <v>294.48819144874</v>
      </c>
      <c r="AR4147">
        <f>1/(COUNT('Iter No Test'!$W$9:$W$5008)-1)+$AR$4146</f>
        <v>0.82896579315857988</v>
      </c>
    </row>
    <row r="4148" spans="22:44">
      <c r="V4148">
        <v>4140</v>
      </c>
      <c r="W4148">
        <v>283.75378309260657</v>
      </c>
      <c r="AQ4148">
        <f>SMALL('Iter No Test'!$W$9:$W$5008,4146)</f>
        <v>294.54554253734727</v>
      </c>
      <c r="AR4148">
        <f>1/(COUNT('Iter No Test'!$W$9:$W$5008)-1)+$AR$4147</f>
        <v>0.82916583316658143</v>
      </c>
    </row>
    <row r="4149" spans="22:44">
      <c r="V4149">
        <v>4141</v>
      </c>
      <c r="W4149">
        <v>146.40393528078985</v>
      </c>
      <c r="AQ4149">
        <f>SMALL('Iter No Test'!$W$9:$W$5008,4147)</f>
        <v>294.54805503837747</v>
      </c>
      <c r="AR4149">
        <f>1/(COUNT('Iter No Test'!$W$9:$W$5008)-1)+$AR$4148</f>
        <v>0.82936587317458299</v>
      </c>
    </row>
    <row r="4150" spans="22:44">
      <c r="V4150">
        <v>4142</v>
      </c>
      <c r="W4150">
        <v>233.90162029289911</v>
      </c>
      <c r="AQ4150">
        <f>SMALL('Iter No Test'!$W$9:$W$5008,4148)</f>
        <v>294.54980762576264</v>
      </c>
      <c r="AR4150">
        <f>1/(COUNT('Iter No Test'!$W$9:$W$5008)-1)+$AR$4149</f>
        <v>0.82956591318258455</v>
      </c>
    </row>
    <row r="4151" spans="22:44">
      <c r="V4151">
        <v>4143</v>
      </c>
      <c r="W4151">
        <v>134.05641938403028</v>
      </c>
      <c r="AQ4151">
        <f>SMALL('Iter No Test'!$W$9:$W$5008,4149)</f>
        <v>294.64736498149159</v>
      </c>
      <c r="AR4151">
        <f>1/(COUNT('Iter No Test'!$W$9:$W$5008)-1)+$AR$4150</f>
        <v>0.8297659531905861</v>
      </c>
    </row>
    <row r="4152" spans="22:44">
      <c r="V4152">
        <v>4144</v>
      </c>
      <c r="W4152">
        <v>96.540098539919939</v>
      </c>
      <c r="AQ4152">
        <f>SMALL('Iter No Test'!$W$9:$W$5008,4150)</f>
        <v>294.82076562527823</v>
      </c>
      <c r="AR4152">
        <f>1/(COUNT('Iter No Test'!$W$9:$W$5008)-1)+$AR$4151</f>
        <v>0.82996599319858766</v>
      </c>
    </row>
    <row r="4153" spans="22:44">
      <c r="V4153">
        <v>4145</v>
      </c>
      <c r="W4153">
        <v>203.34638985521994</v>
      </c>
      <c r="AQ4153">
        <f>SMALL('Iter No Test'!$W$9:$W$5008,4151)</f>
        <v>294.85113887286889</v>
      </c>
      <c r="AR4153">
        <f>1/(COUNT('Iter No Test'!$W$9:$W$5008)-1)+$AR$4152</f>
        <v>0.83016603320658922</v>
      </c>
    </row>
    <row r="4154" spans="22:44">
      <c r="V4154">
        <v>4146</v>
      </c>
      <c r="W4154">
        <v>137.50041944677739</v>
      </c>
      <c r="AQ4154">
        <f>SMALL('Iter No Test'!$W$9:$W$5008,4152)</f>
        <v>294.85202603429468</v>
      </c>
      <c r="AR4154">
        <f>1/(COUNT('Iter No Test'!$W$9:$W$5008)-1)+$AR$4153</f>
        <v>0.83036607321459077</v>
      </c>
    </row>
    <row r="4155" spans="22:44">
      <c r="V4155">
        <v>4147</v>
      </c>
      <c r="W4155">
        <v>216.72935209751114</v>
      </c>
      <c r="AQ4155">
        <f>SMALL('Iter No Test'!$W$9:$W$5008,4153)</f>
        <v>294.859470330367</v>
      </c>
      <c r="AR4155">
        <f>1/(COUNT('Iter No Test'!$W$9:$W$5008)-1)+$AR$4154</f>
        <v>0.83056611322259233</v>
      </c>
    </row>
    <row r="4156" spans="22:44">
      <c r="V4156">
        <v>4148</v>
      </c>
      <c r="W4156">
        <v>194.12102120127594</v>
      </c>
      <c r="AQ4156">
        <f>SMALL('Iter No Test'!$W$9:$W$5008,4154)</f>
        <v>294.88770127103385</v>
      </c>
      <c r="AR4156">
        <f>1/(COUNT('Iter No Test'!$W$9:$W$5008)-1)+$AR$4155</f>
        <v>0.83076615323059388</v>
      </c>
    </row>
    <row r="4157" spans="22:44">
      <c r="V4157">
        <v>4149</v>
      </c>
      <c r="W4157">
        <v>118.29344774252721</v>
      </c>
      <c r="AQ4157">
        <f>SMALL('Iter No Test'!$W$9:$W$5008,4155)</f>
        <v>294.95778442132087</v>
      </c>
      <c r="AR4157">
        <f>1/(COUNT('Iter No Test'!$W$9:$W$5008)-1)+$AR$4156</f>
        <v>0.83096619323859544</v>
      </c>
    </row>
    <row r="4158" spans="22:44">
      <c r="V4158">
        <v>4150</v>
      </c>
      <c r="W4158">
        <v>295.18415558706386</v>
      </c>
      <c r="AQ4158">
        <f>SMALL('Iter No Test'!$W$9:$W$5008,4156)</f>
        <v>295.01140089667177</v>
      </c>
      <c r="AR4158">
        <f>1/(COUNT('Iter No Test'!$W$9:$W$5008)-1)+$AR$4157</f>
        <v>0.831166233246597</v>
      </c>
    </row>
    <row r="4159" spans="22:44">
      <c r="V4159">
        <v>4151</v>
      </c>
      <c r="W4159">
        <v>187.10606064075267</v>
      </c>
      <c r="AQ4159">
        <f>SMALL('Iter No Test'!$W$9:$W$5008,4157)</f>
        <v>295.02898445315594</v>
      </c>
      <c r="AR4159">
        <f>1/(COUNT('Iter No Test'!$W$9:$W$5008)-1)+$AR$4158</f>
        <v>0.83136627325459855</v>
      </c>
    </row>
    <row r="4160" spans="22:44">
      <c r="V4160">
        <v>4152</v>
      </c>
      <c r="W4160">
        <v>102.07661207336658</v>
      </c>
      <c r="AQ4160">
        <f>SMALL('Iter No Test'!$W$9:$W$5008,4158)</f>
        <v>295.18415558706386</v>
      </c>
      <c r="AR4160">
        <f>1/(COUNT('Iter No Test'!$W$9:$W$5008)-1)+$AR$4159</f>
        <v>0.83156631326260011</v>
      </c>
    </row>
    <row r="4161" spans="22:44">
      <c r="V4161">
        <v>4153</v>
      </c>
      <c r="W4161">
        <v>213.89227608002432</v>
      </c>
      <c r="AQ4161">
        <f>SMALL('Iter No Test'!$W$9:$W$5008,4159)</f>
        <v>295.49257171753658</v>
      </c>
      <c r="AR4161">
        <f>1/(COUNT('Iter No Test'!$W$9:$W$5008)-1)+$AR$4160</f>
        <v>0.83176635327060167</v>
      </c>
    </row>
    <row r="4162" spans="22:44">
      <c r="V4162">
        <v>4154</v>
      </c>
      <c r="W4162">
        <v>331.09033253924042</v>
      </c>
      <c r="AQ4162">
        <f>SMALL('Iter No Test'!$W$9:$W$5008,4160)</f>
        <v>295.4998539543198</v>
      </c>
      <c r="AR4162">
        <f>1/(COUNT('Iter No Test'!$W$9:$W$5008)-1)+$AR$4161</f>
        <v>0.83196639327860322</v>
      </c>
    </row>
    <row r="4163" spans="22:44">
      <c r="V4163">
        <v>4155</v>
      </c>
      <c r="W4163">
        <v>217.11858852090222</v>
      </c>
      <c r="AQ4163">
        <f>SMALL('Iter No Test'!$W$9:$W$5008,4161)</f>
        <v>295.52817617986767</v>
      </c>
      <c r="AR4163">
        <f>1/(COUNT('Iter No Test'!$W$9:$W$5008)-1)+$AR$4162</f>
        <v>0.83216643328660478</v>
      </c>
    </row>
    <row r="4164" spans="22:44">
      <c r="V4164">
        <v>4156</v>
      </c>
      <c r="W4164">
        <v>202.16478885611892</v>
      </c>
      <c r="AQ4164">
        <f>SMALL('Iter No Test'!$W$9:$W$5008,4162)</f>
        <v>295.56426947711475</v>
      </c>
      <c r="AR4164">
        <f>1/(COUNT('Iter No Test'!$W$9:$W$5008)-1)+$AR$4163</f>
        <v>0.83236647329460633</v>
      </c>
    </row>
    <row r="4165" spans="22:44">
      <c r="V4165">
        <v>4157</v>
      </c>
      <c r="W4165">
        <v>285.70334289548214</v>
      </c>
      <c r="AQ4165">
        <f>SMALL('Iter No Test'!$W$9:$W$5008,4163)</f>
        <v>295.58710990561656</v>
      </c>
      <c r="AR4165">
        <f>1/(COUNT('Iter No Test'!$W$9:$W$5008)-1)+$AR$4164</f>
        <v>0.83256651330260789</v>
      </c>
    </row>
    <row r="4166" spans="22:44">
      <c r="V4166">
        <v>4158</v>
      </c>
      <c r="W4166">
        <v>176.77747652322427</v>
      </c>
      <c r="AQ4166">
        <f>SMALL('Iter No Test'!$W$9:$W$5008,4164)</f>
        <v>295.62249616140122</v>
      </c>
      <c r="AR4166">
        <f>1/(COUNT('Iter No Test'!$W$9:$W$5008)-1)+$AR$4165</f>
        <v>0.83276655331060945</v>
      </c>
    </row>
    <row r="4167" spans="22:44">
      <c r="V4167">
        <v>4159</v>
      </c>
      <c r="W4167">
        <v>281.88738379647941</v>
      </c>
      <c r="AQ4167">
        <f>SMALL('Iter No Test'!$W$9:$W$5008,4165)</f>
        <v>295.69280343658545</v>
      </c>
      <c r="AR4167">
        <f>1/(COUNT('Iter No Test'!$W$9:$W$5008)-1)+$AR$4166</f>
        <v>0.832966593318611</v>
      </c>
    </row>
    <row r="4168" spans="22:44">
      <c r="V4168">
        <v>4160</v>
      </c>
      <c r="W4168">
        <v>187.59242469740113</v>
      </c>
      <c r="AQ4168">
        <f>SMALL('Iter No Test'!$W$9:$W$5008,4166)</f>
        <v>295.74032676164137</v>
      </c>
      <c r="AR4168">
        <f>1/(COUNT('Iter No Test'!$W$9:$W$5008)-1)+$AR$4167</f>
        <v>0.83316663332661256</v>
      </c>
    </row>
    <row r="4169" spans="22:44">
      <c r="V4169">
        <v>4161</v>
      </c>
      <c r="W4169">
        <v>182.7868138656541</v>
      </c>
      <c r="AQ4169">
        <f>SMALL('Iter No Test'!$W$9:$W$5008,4167)</f>
        <v>295.78925225714011</v>
      </c>
      <c r="AR4169">
        <f>1/(COUNT('Iter No Test'!$W$9:$W$5008)-1)+$AR$4168</f>
        <v>0.83336667333461412</v>
      </c>
    </row>
    <row r="4170" spans="22:44">
      <c r="V4170">
        <v>4162</v>
      </c>
      <c r="W4170">
        <v>178.49634853736586</v>
      </c>
      <c r="AQ4170">
        <f>SMALL('Iter No Test'!$W$9:$W$5008,4168)</f>
        <v>295.7904792466714</v>
      </c>
      <c r="AR4170">
        <f>1/(COUNT('Iter No Test'!$W$9:$W$5008)-1)+$AR$4169</f>
        <v>0.83356671334261567</v>
      </c>
    </row>
    <row r="4171" spans="22:44">
      <c r="V4171">
        <v>4163</v>
      </c>
      <c r="W4171">
        <v>234.03431247199981</v>
      </c>
      <c r="AQ4171">
        <f>SMALL('Iter No Test'!$W$9:$W$5008,4169)</f>
        <v>295.85723229797077</v>
      </c>
      <c r="AR4171">
        <f>1/(COUNT('Iter No Test'!$W$9:$W$5008)-1)+$AR$4170</f>
        <v>0.83376675335061723</v>
      </c>
    </row>
    <row r="4172" spans="22:44">
      <c r="V4172">
        <v>4164</v>
      </c>
      <c r="W4172">
        <v>414.29533006026782</v>
      </c>
      <c r="AQ4172">
        <f>SMALL('Iter No Test'!$W$9:$W$5008,4170)</f>
        <v>295.89592600263967</v>
      </c>
      <c r="AR4172">
        <f>1/(COUNT('Iter No Test'!$W$9:$W$5008)-1)+$AR$4171</f>
        <v>0.83396679335861879</v>
      </c>
    </row>
    <row r="4173" spans="22:44">
      <c r="V4173">
        <v>4165</v>
      </c>
      <c r="W4173">
        <v>217.93067867772464</v>
      </c>
      <c r="AQ4173">
        <f>SMALL('Iter No Test'!$W$9:$W$5008,4171)</f>
        <v>295.94500587286279</v>
      </c>
      <c r="AR4173">
        <f>1/(COUNT('Iter No Test'!$W$9:$W$5008)-1)+$AR$4172</f>
        <v>0.83416683336662034</v>
      </c>
    </row>
    <row r="4174" spans="22:44">
      <c r="V4174">
        <v>4166</v>
      </c>
      <c r="W4174">
        <v>215.64877418711765</v>
      </c>
      <c r="AQ4174">
        <f>SMALL('Iter No Test'!$W$9:$W$5008,4172)</f>
        <v>295.94649645548498</v>
      </c>
      <c r="AR4174">
        <f>1/(COUNT('Iter No Test'!$W$9:$W$5008)-1)+$AR$4173</f>
        <v>0.8343668733746219</v>
      </c>
    </row>
    <row r="4175" spans="22:44">
      <c r="V4175">
        <v>4167</v>
      </c>
      <c r="W4175">
        <v>217.89164526798672</v>
      </c>
      <c r="AQ4175">
        <f>SMALL('Iter No Test'!$W$9:$W$5008,4173)</f>
        <v>296.15910003631848</v>
      </c>
      <c r="AR4175">
        <f>1/(COUNT('Iter No Test'!$W$9:$W$5008)-1)+$AR$4174</f>
        <v>0.83456691338262345</v>
      </c>
    </row>
    <row r="4176" spans="22:44">
      <c r="V4176">
        <v>4168</v>
      </c>
      <c r="W4176">
        <v>283.56645115565698</v>
      </c>
      <c r="AQ4176">
        <f>SMALL('Iter No Test'!$W$9:$W$5008,4174)</f>
        <v>296.25798522424429</v>
      </c>
      <c r="AR4176">
        <f>1/(COUNT('Iter No Test'!$W$9:$W$5008)-1)+$AR$4175</f>
        <v>0.83476695339062501</v>
      </c>
    </row>
    <row r="4177" spans="22:44">
      <c r="V4177">
        <v>4169</v>
      </c>
      <c r="W4177">
        <v>260.1519223851808</v>
      </c>
      <c r="AQ4177">
        <f>SMALL('Iter No Test'!$W$9:$W$5008,4175)</f>
        <v>296.41910906457917</v>
      </c>
      <c r="AR4177">
        <f>1/(COUNT('Iter No Test'!$W$9:$W$5008)-1)+$AR$4176</f>
        <v>0.83496699339862657</v>
      </c>
    </row>
    <row r="4178" spans="22:44">
      <c r="V4178">
        <v>4170</v>
      </c>
      <c r="W4178">
        <v>332.57536077796385</v>
      </c>
      <c r="AQ4178">
        <f>SMALL('Iter No Test'!$W$9:$W$5008,4176)</f>
        <v>296.42590432390125</v>
      </c>
      <c r="AR4178">
        <f>1/(COUNT('Iter No Test'!$W$9:$W$5008)-1)+$AR$4177</f>
        <v>0.83516703340662812</v>
      </c>
    </row>
    <row r="4179" spans="22:44">
      <c r="V4179">
        <v>4171</v>
      </c>
      <c r="W4179">
        <v>123.50767935362549</v>
      </c>
      <c r="AQ4179">
        <f>SMALL('Iter No Test'!$W$9:$W$5008,4177)</f>
        <v>296.42913593634341</v>
      </c>
      <c r="AR4179">
        <f>1/(COUNT('Iter No Test'!$W$9:$W$5008)-1)+$AR$4178</f>
        <v>0.83536707341462968</v>
      </c>
    </row>
    <row r="4180" spans="22:44">
      <c r="V4180">
        <v>4172</v>
      </c>
      <c r="W4180">
        <v>216.14764626069692</v>
      </c>
      <c r="AQ4180">
        <f>SMALL('Iter No Test'!$W$9:$W$5008,4178)</f>
        <v>296.64325319132018</v>
      </c>
      <c r="AR4180">
        <f>1/(COUNT('Iter No Test'!$W$9:$W$5008)-1)+$AR$4179</f>
        <v>0.83556711342263124</v>
      </c>
    </row>
    <row r="4181" spans="22:44">
      <c r="V4181">
        <v>4173</v>
      </c>
      <c r="W4181">
        <v>339.75755191178473</v>
      </c>
      <c r="AQ4181">
        <f>SMALL('Iter No Test'!$W$9:$W$5008,4179)</f>
        <v>296.66350803876674</v>
      </c>
      <c r="AR4181">
        <f>1/(COUNT('Iter No Test'!$W$9:$W$5008)-1)+$AR$4180</f>
        <v>0.83576715343063279</v>
      </c>
    </row>
    <row r="4182" spans="22:44">
      <c r="V4182">
        <v>4174</v>
      </c>
      <c r="W4182">
        <v>190.19718972093375</v>
      </c>
      <c r="AQ4182">
        <f>SMALL('Iter No Test'!$W$9:$W$5008,4180)</f>
        <v>296.72406068644653</v>
      </c>
      <c r="AR4182">
        <f>1/(COUNT('Iter No Test'!$W$9:$W$5008)-1)+$AR$4181</f>
        <v>0.83596719343863435</v>
      </c>
    </row>
    <row r="4183" spans="22:44">
      <c r="V4183">
        <v>4175</v>
      </c>
      <c r="W4183">
        <v>267.30892254565248</v>
      </c>
      <c r="AQ4183">
        <f>SMALL('Iter No Test'!$W$9:$W$5008,4181)</f>
        <v>296.72618137596771</v>
      </c>
      <c r="AR4183">
        <f>1/(COUNT('Iter No Test'!$W$9:$W$5008)-1)+$AR$4182</f>
        <v>0.8361672334466359</v>
      </c>
    </row>
    <row r="4184" spans="22:44">
      <c r="V4184">
        <v>4176</v>
      </c>
      <c r="W4184">
        <v>292.52136982058738</v>
      </c>
      <c r="AQ4184">
        <f>SMALL('Iter No Test'!$W$9:$W$5008,4182)</f>
        <v>296.92432214629889</v>
      </c>
      <c r="AR4184">
        <f>1/(COUNT('Iter No Test'!$W$9:$W$5008)-1)+$AR$4183</f>
        <v>0.83636727345463746</v>
      </c>
    </row>
    <row r="4185" spans="22:44">
      <c r="V4185">
        <v>4177</v>
      </c>
      <c r="W4185">
        <v>229.90179311835249</v>
      </c>
      <c r="AQ4185">
        <f>SMALL('Iter No Test'!$W$9:$W$5008,4183)</f>
        <v>296.9717219828508</v>
      </c>
      <c r="AR4185">
        <f>1/(COUNT('Iter No Test'!$W$9:$W$5008)-1)+$AR$4184</f>
        <v>0.83656731346263902</v>
      </c>
    </row>
    <row r="4186" spans="22:44">
      <c r="V4186">
        <v>4178</v>
      </c>
      <c r="W4186">
        <v>192.34066524244429</v>
      </c>
      <c r="AQ4186">
        <f>SMALL('Iter No Test'!$W$9:$W$5008,4184)</f>
        <v>297.04394644634641</v>
      </c>
      <c r="AR4186">
        <f>1/(COUNT('Iter No Test'!$W$9:$W$5008)-1)+$AR$4185</f>
        <v>0.83676735347064057</v>
      </c>
    </row>
    <row r="4187" spans="22:44">
      <c r="V4187">
        <v>4179</v>
      </c>
      <c r="W4187">
        <v>74.48942841669033</v>
      </c>
      <c r="AQ4187">
        <f>SMALL('Iter No Test'!$W$9:$W$5008,4185)</f>
        <v>297.07057492494977</v>
      </c>
      <c r="AR4187">
        <f>1/(COUNT('Iter No Test'!$W$9:$W$5008)-1)+$AR$4186</f>
        <v>0.83696739347864213</v>
      </c>
    </row>
    <row r="4188" spans="22:44">
      <c r="V4188">
        <v>4180</v>
      </c>
      <c r="W4188">
        <v>199.41194463048404</v>
      </c>
      <c r="AQ4188">
        <f>SMALL('Iter No Test'!$W$9:$W$5008,4186)</f>
        <v>297.19992266831093</v>
      </c>
      <c r="AR4188">
        <f>1/(COUNT('Iter No Test'!$W$9:$W$5008)-1)+$AR$4187</f>
        <v>0.83716743348664369</v>
      </c>
    </row>
    <row r="4189" spans="22:44">
      <c r="V4189">
        <v>4181</v>
      </c>
      <c r="W4189">
        <v>194.41932234737084</v>
      </c>
      <c r="AQ4189">
        <f>SMALL('Iter No Test'!$W$9:$W$5008,4187)</f>
        <v>297.27827057303716</v>
      </c>
      <c r="AR4189">
        <f>1/(COUNT('Iter No Test'!$W$9:$W$5008)-1)+$AR$4188</f>
        <v>0.83736747349464524</v>
      </c>
    </row>
    <row r="4190" spans="22:44">
      <c r="V4190">
        <v>4182</v>
      </c>
      <c r="W4190">
        <v>207.30920886867878</v>
      </c>
      <c r="AQ4190">
        <f>SMALL('Iter No Test'!$W$9:$W$5008,4188)</f>
        <v>297.89540454505368</v>
      </c>
      <c r="AR4190">
        <f>1/(COUNT('Iter No Test'!$W$9:$W$5008)-1)+$AR$4189</f>
        <v>0.8375675135026468</v>
      </c>
    </row>
    <row r="4191" spans="22:44">
      <c r="V4191">
        <v>4183</v>
      </c>
      <c r="W4191">
        <v>270.90560343511385</v>
      </c>
      <c r="AQ4191">
        <f>SMALL('Iter No Test'!$W$9:$W$5008,4189)</f>
        <v>298.06182374388766</v>
      </c>
      <c r="AR4191">
        <f>1/(COUNT('Iter No Test'!$W$9:$W$5008)-1)+$AR$4190</f>
        <v>0.83776755351064836</v>
      </c>
    </row>
    <row r="4192" spans="22:44">
      <c r="V4192">
        <v>4184</v>
      </c>
      <c r="W4192">
        <v>400.87790680733087</v>
      </c>
      <c r="AQ4192">
        <f>SMALL('Iter No Test'!$W$9:$W$5008,4190)</f>
        <v>298.18842779295517</v>
      </c>
      <c r="AR4192">
        <f>1/(COUNT('Iter No Test'!$W$9:$W$5008)-1)+$AR$4191</f>
        <v>0.83796759351864991</v>
      </c>
    </row>
    <row r="4193" spans="22:44">
      <c r="V4193">
        <v>4185</v>
      </c>
      <c r="W4193">
        <v>49.174546638165907</v>
      </c>
      <c r="AQ4193">
        <f>SMALL('Iter No Test'!$W$9:$W$5008,4191)</f>
        <v>298.22543774711971</v>
      </c>
      <c r="AR4193">
        <f>1/(COUNT('Iter No Test'!$W$9:$W$5008)-1)+$AR$4192</f>
        <v>0.83816763352665147</v>
      </c>
    </row>
    <row r="4194" spans="22:44">
      <c r="V4194">
        <v>4186</v>
      </c>
      <c r="W4194">
        <v>246.015874130529</v>
      </c>
      <c r="AQ4194">
        <f>SMALL('Iter No Test'!$W$9:$W$5008,4192)</f>
        <v>298.29820495104184</v>
      </c>
      <c r="AR4194">
        <f>1/(COUNT('Iter No Test'!$W$9:$W$5008)-1)+$AR$4193</f>
        <v>0.83836767353465302</v>
      </c>
    </row>
    <row r="4195" spans="22:44">
      <c r="V4195">
        <v>4187</v>
      </c>
      <c r="W4195">
        <v>330.52201575439653</v>
      </c>
      <c r="AQ4195">
        <f>SMALL('Iter No Test'!$W$9:$W$5008,4193)</f>
        <v>298.44422661181619</v>
      </c>
      <c r="AR4195">
        <f>1/(COUNT('Iter No Test'!$W$9:$W$5008)-1)+$AR$4194</f>
        <v>0.83856771354265458</v>
      </c>
    </row>
    <row r="4196" spans="22:44">
      <c r="V4196">
        <v>4188</v>
      </c>
      <c r="W4196">
        <v>137.06039563063393</v>
      </c>
      <c r="AQ4196">
        <f>SMALL('Iter No Test'!$W$9:$W$5008,4194)</f>
        <v>298.52768910194584</v>
      </c>
      <c r="AR4196">
        <f>1/(COUNT('Iter No Test'!$W$9:$W$5008)-1)+$AR$4195</f>
        <v>0.83876775355065614</v>
      </c>
    </row>
    <row r="4197" spans="22:44">
      <c r="V4197">
        <v>4189</v>
      </c>
      <c r="W4197">
        <v>308.33029545371915</v>
      </c>
      <c r="AQ4197">
        <f>SMALL('Iter No Test'!$W$9:$W$5008,4195)</f>
        <v>298.62278876639454</v>
      </c>
      <c r="AR4197">
        <f>1/(COUNT('Iter No Test'!$W$9:$W$5008)-1)+$AR$4196</f>
        <v>0.83896779355865769</v>
      </c>
    </row>
    <row r="4198" spans="22:44">
      <c r="V4198">
        <v>4190</v>
      </c>
      <c r="W4198">
        <v>303.1989808830017</v>
      </c>
      <c r="AQ4198">
        <f>SMALL('Iter No Test'!$W$9:$W$5008,4196)</f>
        <v>298.7033628884322</v>
      </c>
      <c r="AR4198">
        <f>1/(COUNT('Iter No Test'!$W$9:$W$5008)-1)+$AR$4197</f>
        <v>0.83916783356665925</v>
      </c>
    </row>
    <row r="4199" spans="22:44">
      <c r="V4199">
        <v>4191</v>
      </c>
      <c r="W4199">
        <v>115.7409053889242</v>
      </c>
      <c r="AQ4199">
        <f>SMALL('Iter No Test'!$W$9:$W$5008,4197)</f>
        <v>298.72211754543423</v>
      </c>
      <c r="AR4199">
        <f>1/(COUNT('Iter No Test'!$W$9:$W$5008)-1)+$AR$4198</f>
        <v>0.83936787357466081</v>
      </c>
    </row>
    <row r="4200" spans="22:44">
      <c r="V4200">
        <v>4192</v>
      </c>
      <c r="W4200">
        <v>168.42426830118598</v>
      </c>
      <c r="AQ4200">
        <f>SMALL('Iter No Test'!$W$9:$W$5008,4198)</f>
        <v>298.7255692663224</v>
      </c>
      <c r="AR4200">
        <f>1/(COUNT('Iter No Test'!$W$9:$W$5008)-1)+$AR$4199</f>
        <v>0.83956791358266236</v>
      </c>
    </row>
    <row r="4201" spans="22:44">
      <c r="V4201">
        <v>4193</v>
      </c>
      <c r="W4201">
        <v>61.172285964849223</v>
      </c>
      <c r="AQ4201">
        <f>SMALL('Iter No Test'!$W$9:$W$5008,4199)</f>
        <v>298.81501925207829</v>
      </c>
      <c r="AR4201">
        <f>1/(COUNT('Iter No Test'!$W$9:$W$5008)-1)+$AR$4200</f>
        <v>0.83976795359066392</v>
      </c>
    </row>
    <row r="4202" spans="22:44">
      <c r="V4202">
        <v>4194</v>
      </c>
      <c r="W4202">
        <v>198.62802341038497</v>
      </c>
      <c r="AQ4202">
        <f>SMALL('Iter No Test'!$W$9:$W$5008,4200)</f>
        <v>298.84030676509701</v>
      </c>
      <c r="AR4202">
        <f>1/(COUNT('Iter No Test'!$W$9:$W$5008)-1)+$AR$4201</f>
        <v>0.83996799359866547</v>
      </c>
    </row>
    <row r="4203" spans="22:44">
      <c r="V4203">
        <v>4195</v>
      </c>
      <c r="W4203">
        <v>261.77787885385578</v>
      </c>
      <c r="AQ4203">
        <f>SMALL('Iter No Test'!$W$9:$W$5008,4201)</f>
        <v>298.8550976577734</v>
      </c>
      <c r="AR4203">
        <f>1/(COUNT('Iter No Test'!$W$9:$W$5008)-1)+$AR$4202</f>
        <v>0.84016803360666703</v>
      </c>
    </row>
    <row r="4204" spans="22:44">
      <c r="V4204">
        <v>4196</v>
      </c>
      <c r="W4204">
        <v>273.84227341974906</v>
      </c>
      <c r="AQ4204">
        <f>SMALL('Iter No Test'!$W$9:$W$5008,4202)</f>
        <v>298.90579081464205</v>
      </c>
      <c r="AR4204">
        <f>1/(COUNT('Iter No Test'!$W$9:$W$5008)-1)+$AR$4203</f>
        <v>0.84036807361466859</v>
      </c>
    </row>
    <row r="4205" spans="22:44">
      <c r="V4205">
        <v>4197</v>
      </c>
      <c r="W4205">
        <v>293.31864356986074</v>
      </c>
      <c r="AQ4205">
        <f>SMALL('Iter No Test'!$W$9:$W$5008,4203)</f>
        <v>298.91940208893612</v>
      </c>
      <c r="AR4205">
        <f>1/(COUNT('Iter No Test'!$W$9:$W$5008)-1)+$AR$4204</f>
        <v>0.84056811362267014</v>
      </c>
    </row>
    <row r="4206" spans="22:44">
      <c r="V4206">
        <v>4198</v>
      </c>
      <c r="W4206">
        <v>278.81493714360761</v>
      </c>
      <c r="AQ4206">
        <f>SMALL('Iter No Test'!$W$9:$W$5008,4204)</f>
        <v>299.046176375644</v>
      </c>
      <c r="AR4206">
        <f>1/(COUNT('Iter No Test'!$W$9:$W$5008)-1)+$AR$4205</f>
        <v>0.8407681536306717</v>
      </c>
    </row>
    <row r="4207" spans="22:44">
      <c r="V4207">
        <v>4199</v>
      </c>
      <c r="W4207">
        <v>-33.631303029724506</v>
      </c>
      <c r="AQ4207">
        <f>SMALL('Iter No Test'!$W$9:$W$5008,4205)</f>
        <v>299.15995574341912</v>
      </c>
      <c r="AR4207">
        <f>1/(COUNT('Iter No Test'!$W$9:$W$5008)-1)+$AR$4206</f>
        <v>0.84096819363867326</v>
      </c>
    </row>
    <row r="4208" spans="22:44">
      <c r="V4208">
        <v>4200</v>
      </c>
      <c r="W4208">
        <v>345.16132822621944</v>
      </c>
      <c r="AQ4208">
        <f>SMALL('Iter No Test'!$W$9:$W$5008,4206)</f>
        <v>299.16985795944123</v>
      </c>
      <c r="AR4208">
        <f>1/(COUNT('Iter No Test'!$W$9:$W$5008)-1)+$AR$4207</f>
        <v>0.84116823364667481</v>
      </c>
    </row>
    <row r="4209" spans="22:44">
      <c r="V4209">
        <v>4201</v>
      </c>
      <c r="W4209">
        <v>152.2933689889241</v>
      </c>
      <c r="AQ4209">
        <f>SMALL('Iter No Test'!$W$9:$W$5008,4207)</f>
        <v>299.25323300957234</v>
      </c>
      <c r="AR4209">
        <f>1/(COUNT('Iter No Test'!$W$9:$W$5008)-1)+$AR$4208</f>
        <v>0.84136827365467637</v>
      </c>
    </row>
    <row r="4210" spans="22:44">
      <c r="V4210">
        <v>4202</v>
      </c>
      <c r="W4210">
        <v>158.9458629587136</v>
      </c>
      <c r="AQ4210">
        <f>SMALL('Iter No Test'!$W$9:$W$5008,4208)</f>
        <v>299.35594786014815</v>
      </c>
      <c r="AR4210">
        <f>1/(COUNT('Iter No Test'!$W$9:$W$5008)-1)+$AR$4209</f>
        <v>0.84156831366267792</v>
      </c>
    </row>
    <row r="4211" spans="22:44">
      <c r="V4211">
        <v>4203</v>
      </c>
      <c r="W4211">
        <v>192.92278781763895</v>
      </c>
      <c r="AQ4211">
        <f>SMALL('Iter No Test'!$W$9:$W$5008,4209)</f>
        <v>299.46848597805575</v>
      </c>
      <c r="AR4211">
        <f>1/(COUNT('Iter No Test'!$W$9:$W$5008)-1)+$AR$4210</f>
        <v>0.84176835367067948</v>
      </c>
    </row>
    <row r="4212" spans="22:44">
      <c r="V4212">
        <v>4204</v>
      </c>
      <c r="W4212">
        <v>194.07597563699477</v>
      </c>
      <c r="AQ4212">
        <f>SMALL('Iter No Test'!$W$9:$W$5008,4210)</f>
        <v>299.54675678950377</v>
      </c>
      <c r="AR4212">
        <f>1/(COUNT('Iter No Test'!$W$9:$W$5008)-1)+$AR$4211</f>
        <v>0.84196839367868104</v>
      </c>
    </row>
    <row r="4213" spans="22:44">
      <c r="V4213">
        <v>4205</v>
      </c>
      <c r="W4213">
        <v>106.34683749751029</v>
      </c>
      <c r="AQ4213">
        <f>SMALL('Iter No Test'!$W$9:$W$5008,4211)</f>
        <v>299.71780711485872</v>
      </c>
      <c r="AR4213">
        <f>1/(COUNT('Iter No Test'!$W$9:$W$5008)-1)+$AR$4212</f>
        <v>0.84216843368668259</v>
      </c>
    </row>
    <row r="4214" spans="22:44">
      <c r="V4214">
        <v>4206</v>
      </c>
      <c r="W4214">
        <v>-12.863866510431677</v>
      </c>
      <c r="AQ4214">
        <f>SMALL('Iter No Test'!$W$9:$W$5008,4212)</f>
        <v>299.77909199692164</v>
      </c>
      <c r="AR4214">
        <f>1/(COUNT('Iter No Test'!$W$9:$W$5008)-1)+$AR$4213</f>
        <v>0.84236847369468415</v>
      </c>
    </row>
    <row r="4215" spans="22:44">
      <c r="V4215">
        <v>4207</v>
      </c>
      <c r="W4215">
        <v>296.72618137596771</v>
      </c>
      <c r="AQ4215">
        <f>SMALL('Iter No Test'!$W$9:$W$5008,4213)</f>
        <v>299.81828091932374</v>
      </c>
      <c r="AR4215">
        <f>1/(COUNT('Iter No Test'!$W$9:$W$5008)-1)+$AR$4214</f>
        <v>0.84256851370268571</v>
      </c>
    </row>
    <row r="4216" spans="22:44">
      <c r="V4216">
        <v>4208</v>
      </c>
      <c r="W4216">
        <v>248.44563968904561</v>
      </c>
      <c r="AQ4216">
        <f>SMALL('Iter No Test'!$W$9:$W$5008,4214)</f>
        <v>299.83556423549203</v>
      </c>
      <c r="AR4216">
        <f>1/(COUNT('Iter No Test'!$W$9:$W$5008)-1)+$AR$4215</f>
        <v>0.84276855371068726</v>
      </c>
    </row>
    <row r="4217" spans="22:44">
      <c r="V4217">
        <v>4209</v>
      </c>
      <c r="W4217">
        <v>127.71539695828496</v>
      </c>
      <c r="AQ4217">
        <f>SMALL('Iter No Test'!$W$9:$W$5008,4215)</f>
        <v>299.89908954673422</v>
      </c>
      <c r="AR4217">
        <f>1/(COUNT('Iter No Test'!$W$9:$W$5008)-1)+$AR$4216</f>
        <v>0.84296859371868882</v>
      </c>
    </row>
    <row r="4218" spans="22:44">
      <c r="V4218">
        <v>4210</v>
      </c>
      <c r="W4218">
        <v>206.1814615742779</v>
      </c>
      <c r="AQ4218">
        <f>SMALL('Iter No Test'!$W$9:$W$5008,4216)</f>
        <v>300.13243265362695</v>
      </c>
      <c r="AR4218">
        <f>1/(COUNT('Iter No Test'!$W$9:$W$5008)-1)+$AR$4217</f>
        <v>0.84316863372669038</v>
      </c>
    </row>
    <row r="4219" spans="22:44">
      <c r="V4219">
        <v>4211</v>
      </c>
      <c r="W4219">
        <v>243.50662306980462</v>
      </c>
      <c r="AQ4219">
        <f>SMALL('Iter No Test'!$W$9:$W$5008,4217)</f>
        <v>300.13257627708322</v>
      </c>
      <c r="AR4219">
        <f>1/(COUNT('Iter No Test'!$W$9:$W$5008)-1)+$AR$4218</f>
        <v>0.84336867373469193</v>
      </c>
    </row>
    <row r="4220" spans="22:44">
      <c r="V4220">
        <v>4212</v>
      </c>
      <c r="W4220">
        <v>299.15995574341912</v>
      </c>
      <c r="AQ4220">
        <f>SMALL('Iter No Test'!$W$9:$W$5008,4218)</f>
        <v>300.14986391973662</v>
      </c>
      <c r="AR4220">
        <f>1/(COUNT('Iter No Test'!$W$9:$W$5008)-1)+$AR$4219</f>
        <v>0.84356871374269349</v>
      </c>
    </row>
    <row r="4221" spans="22:44">
      <c r="V4221">
        <v>4213</v>
      </c>
      <c r="W4221">
        <v>237.88396269405561</v>
      </c>
      <c r="AQ4221">
        <f>SMALL('Iter No Test'!$W$9:$W$5008,4219)</f>
        <v>300.23140657057559</v>
      </c>
      <c r="AR4221">
        <f>1/(COUNT('Iter No Test'!$W$9:$W$5008)-1)+$AR$4220</f>
        <v>0.84376875375069504</v>
      </c>
    </row>
    <row r="4222" spans="22:44">
      <c r="V4222">
        <v>4214</v>
      </c>
      <c r="W4222">
        <v>229.00620356190115</v>
      </c>
      <c r="AQ4222">
        <f>SMALL('Iter No Test'!$W$9:$W$5008,4220)</f>
        <v>300.2477939566686</v>
      </c>
      <c r="AR4222">
        <f>1/(COUNT('Iter No Test'!$W$9:$W$5008)-1)+$AR$4221</f>
        <v>0.8439687937586966</v>
      </c>
    </row>
    <row r="4223" spans="22:44">
      <c r="V4223">
        <v>4215</v>
      </c>
      <c r="W4223">
        <v>168.31011659854329</v>
      </c>
      <c r="AQ4223">
        <f>SMALL('Iter No Test'!$W$9:$W$5008,4221)</f>
        <v>300.27538387921641</v>
      </c>
      <c r="AR4223">
        <f>1/(COUNT('Iter No Test'!$W$9:$W$5008)-1)+$AR$4222</f>
        <v>0.84416883376669816</v>
      </c>
    </row>
    <row r="4224" spans="22:44">
      <c r="V4224">
        <v>4216</v>
      </c>
      <c r="W4224">
        <v>363.27318900414264</v>
      </c>
      <c r="AQ4224">
        <f>SMALL('Iter No Test'!$W$9:$W$5008,4222)</f>
        <v>300.43776197365059</v>
      </c>
      <c r="AR4224">
        <f>1/(COUNT('Iter No Test'!$W$9:$W$5008)-1)+$AR$4223</f>
        <v>0.84436887377469971</v>
      </c>
    </row>
    <row r="4225" spans="22:44">
      <c r="V4225">
        <v>4217</v>
      </c>
      <c r="W4225">
        <v>103.4396729805118</v>
      </c>
      <c r="AQ4225">
        <f>SMALL('Iter No Test'!$W$9:$W$5008,4223)</f>
        <v>300.46228477647173</v>
      </c>
      <c r="AR4225">
        <f>1/(COUNT('Iter No Test'!$W$9:$W$5008)-1)+$AR$4224</f>
        <v>0.84456891378270127</v>
      </c>
    </row>
    <row r="4226" spans="22:44">
      <c r="V4226">
        <v>4218</v>
      </c>
      <c r="W4226">
        <v>162.41155977614713</v>
      </c>
      <c r="AQ4226">
        <f>SMALL('Iter No Test'!$W$9:$W$5008,4224)</f>
        <v>300.46453687298492</v>
      </c>
      <c r="AR4226">
        <f>1/(COUNT('Iter No Test'!$W$9:$W$5008)-1)+$AR$4225</f>
        <v>0.84476895379070283</v>
      </c>
    </row>
    <row r="4227" spans="22:44">
      <c r="V4227">
        <v>4219</v>
      </c>
      <c r="W4227">
        <v>227.45874487805258</v>
      </c>
      <c r="AQ4227">
        <f>SMALL('Iter No Test'!$W$9:$W$5008,4225)</f>
        <v>300.60574518892702</v>
      </c>
      <c r="AR4227">
        <f>1/(COUNT('Iter No Test'!$W$9:$W$5008)-1)+$AR$4226</f>
        <v>0.84496899379870438</v>
      </c>
    </row>
    <row r="4228" spans="22:44">
      <c r="V4228">
        <v>4220</v>
      </c>
      <c r="W4228">
        <v>242.80202756358435</v>
      </c>
      <c r="AQ4228">
        <f>SMALL('Iter No Test'!$W$9:$W$5008,4226)</f>
        <v>300.74013999700117</v>
      </c>
      <c r="AR4228">
        <f>1/(COUNT('Iter No Test'!$W$9:$W$5008)-1)+$AR$4227</f>
        <v>0.84516903380670594</v>
      </c>
    </row>
    <row r="4229" spans="22:44">
      <c r="V4229">
        <v>4221</v>
      </c>
      <c r="W4229">
        <v>339.88013841705987</v>
      </c>
      <c r="AQ4229">
        <f>SMALL('Iter No Test'!$W$9:$W$5008,4227)</f>
        <v>300.92060083938458</v>
      </c>
      <c r="AR4229">
        <f>1/(COUNT('Iter No Test'!$W$9:$W$5008)-1)+$AR$4228</f>
        <v>0.84536907381470749</v>
      </c>
    </row>
    <row r="4230" spans="22:44">
      <c r="V4230">
        <v>4222</v>
      </c>
      <c r="W4230">
        <v>239.10630192515791</v>
      </c>
      <c r="AQ4230">
        <f>SMALL('Iter No Test'!$W$9:$W$5008,4228)</f>
        <v>300.97348802478791</v>
      </c>
      <c r="AR4230">
        <f>1/(COUNT('Iter No Test'!$W$9:$W$5008)-1)+$AR$4229</f>
        <v>0.84556911382270905</v>
      </c>
    </row>
    <row r="4231" spans="22:44">
      <c r="V4231">
        <v>4223</v>
      </c>
      <c r="W4231">
        <v>129.47274996554412</v>
      </c>
      <c r="AQ4231">
        <f>SMALL('Iter No Test'!$W$9:$W$5008,4229)</f>
        <v>301.11548820393546</v>
      </c>
      <c r="AR4231">
        <f>1/(COUNT('Iter No Test'!$W$9:$W$5008)-1)+$AR$4230</f>
        <v>0.84576915383071061</v>
      </c>
    </row>
    <row r="4232" spans="22:44">
      <c r="V4232">
        <v>4224</v>
      </c>
      <c r="W4232">
        <v>177.5751938977061</v>
      </c>
      <c r="AQ4232">
        <f>SMALL('Iter No Test'!$W$9:$W$5008,4230)</f>
        <v>301.17182674779656</v>
      </c>
      <c r="AR4232">
        <f>1/(COUNT('Iter No Test'!$W$9:$W$5008)-1)+$AR$4231</f>
        <v>0.84596919383871216</v>
      </c>
    </row>
    <row r="4233" spans="22:44">
      <c r="V4233">
        <v>4225</v>
      </c>
      <c r="W4233">
        <v>152.06970441128706</v>
      </c>
      <c r="AQ4233">
        <f>SMALL('Iter No Test'!$W$9:$W$5008,4231)</f>
        <v>301.24287938437476</v>
      </c>
      <c r="AR4233">
        <f>1/(COUNT('Iter No Test'!$W$9:$W$5008)-1)+$AR$4232</f>
        <v>0.84616923384671372</v>
      </c>
    </row>
    <row r="4234" spans="22:44">
      <c r="V4234">
        <v>4226</v>
      </c>
      <c r="W4234">
        <v>226.35026001851892</v>
      </c>
      <c r="AQ4234">
        <f>SMALL('Iter No Test'!$W$9:$W$5008,4232)</f>
        <v>301.42860772993595</v>
      </c>
      <c r="AR4234">
        <f>1/(COUNT('Iter No Test'!$W$9:$W$5008)-1)+$AR$4233</f>
        <v>0.84636927385471528</v>
      </c>
    </row>
    <row r="4235" spans="22:44">
      <c r="V4235">
        <v>4227</v>
      </c>
      <c r="W4235">
        <v>98.071523321279415</v>
      </c>
      <c r="AQ4235">
        <f>SMALL('Iter No Test'!$W$9:$W$5008,4233)</f>
        <v>301.43634686631981</v>
      </c>
      <c r="AR4235">
        <f>1/(COUNT('Iter No Test'!$W$9:$W$5008)-1)+$AR$4234</f>
        <v>0.84656931386271683</v>
      </c>
    </row>
    <row r="4236" spans="22:44">
      <c r="V4236">
        <v>4228</v>
      </c>
      <c r="W4236">
        <v>186.16502263620364</v>
      </c>
      <c r="AQ4236">
        <f>SMALL('Iter No Test'!$W$9:$W$5008,4234)</f>
        <v>301.86308663747604</v>
      </c>
      <c r="AR4236">
        <f>1/(COUNT('Iter No Test'!$W$9:$W$5008)-1)+$AR$4235</f>
        <v>0.84676935387071839</v>
      </c>
    </row>
    <row r="4237" spans="22:44">
      <c r="V4237">
        <v>4229</v>
      </c>
      <c r="W4237">
        <v>125.53147734685089</v>
      </c>
      <c r="AQ4237">
        <f>SMALL('Iter No Test'!$W$9:$W$5008,4235)</f>
        <v>302.00440238154624</v>
      </c>
      <c r="AR4237">
        <f>1/(COUNT('Iter No Test'!$W$9:$W$5008)-1)+$AR$4236</f>
        <v>0.84696939387871994</v>
      </c>
    </row>
    <row r="4238" spans="22:44">
      <c r="V4238">
        <v>4230</v>
      </c>
      <c r="W4238">
        <v>114.41221889004498</v>
      </c>
      <c r="AQ4238">
        <f>SMALL('Iter No Test'!$W$9:$W$5008,4236)</f>
        <v>302.11488426374638</v>
      </c>
      <c r="AR4238">
        <f>1/(COUNT('Iter No Test'!$W$9:$W$5008)-1)+$AR$4237</f>
        <v>0.8471694338867215</v>
      </c>
    </row>
    <row r="4239" spans="22:44">
      <c r="V4239">
        <v>4231</v>
      </c>
      <c r="W4239">
        <v>170.81316650546276</v>
      </c>
      <c r="AQ4239">
        <f>SMALL('Iter No Test'!$W$9:$W$5008,4237)</f>
        <v>302.22206942308037</v>
      </c>
      <c r="AR4239">
        <f>1/(COUNT('Iter No Test'!$W$9:$W$5008)-1)+$AR$4238</f>
        <v>0.84736947389472306</v>
      </c>
    </row>
    <row r="4240" spans="22:44">
      <c r="V4240">
        <v>4232</v>
      </c>
      <c r="W4240">
        <v>240.85135850882358</v>
      </c>
      <c r="AQ4240">
        <f>SMALL('Iter No Test'!$W$9:$W$5008,4238)</f>
        <v>302.25468450246871</v>
      </c>
      <c r="AR4240">
        <f>1/(COUNT('Iter No Test'!$W$9:$W$5008)-1)+$AR$4239</f>
        <v>0.84756951390272461</v>
      </c>
    </row>
    <row r="4241" spans="22:44">
      <c r="V4241">
        <v>4233</v>
      </c>
      <c r="W4241">
        <v>273.90164759465381</v>
      </c>
      <c r="AQ4241">
        <f>SMALL('Iter No Test'!$W$9:$W$5008,4239)</f>
        <v>302.323629656408</v>
      </c>
      <c r="AR4241">
        <f>1/(COUNT('Iter No Test'!$W$9:$W$5008)-1)+$AR$4240</f>
        <v>0.84776955391072617</v>
      </c>
    </row>
    <row r="4242" spans="22:44">
      <c r="V4242">
        <v>4234</v>
      </c>
      <c r="W4242">
        <v>182.49187925371882</v>
      </c>
      <c r="AQ4242">
        <f>SMALL('Iter No Test'!$W$9:$W$5008,4240)</f>
        <v>302.48629476759402</v>
      </c>
      <c r="AR4242">
        <f>1/(COUNT('Iter No Test'!$W$9:$W$5008)-1)+$AR$4241</f>
        <v>0.84796959391872773</v>
      </c>
    </row>
    <row r="4243" spans="22:44">
      <c r="V4243">
        <v>4235</v>
      </c>
      <c r="W4243">
        <v>303.40783334241763</v>
      </c>
      <c r="AQ4243">
        <f>SMALL('Iter No Test'!$W$9:$W$5008,4241)</f>
        <v>302.71596011960457</v>
      </c>
      <c r="AR4243">
        <f>1/(COUNT('Iter No Test'!$W$9:$W$5008)-1)+$AR$4242</f>
        <v>0.84816963392672928</v>
      </c>
    </row>
    <row r="4244" spans="22:44">
      <c r="V4244">
        <v>4236</v>
      </c>
      <c r="W4244">
        <v>193.94879465022035</v>
      </c>
      <c r="AQ4244">
        <f>SMALL('Iter No Test'!$W$9:$W$5008,4242)</f>
        <v>302.7231482469287</v>
      </c>
      <c r="AR4244">
        <f>1/(COUNT('Iter No Test'!$W$9:$W$5008)-1)+$AR$4243</f>
        <v>0.84836967393473084</v>
      </c>
    </row>
    <row r="4245" spans="22:44">
      <c r="V4245">
        <v>4237</v>
      </c>
      <c r="W4245">
        <v>216.48535640735724</v>
      </c>
      <c r="AQ4245">
        <f>SMALL('Iter No Test'!$W$9:$W$5008,4243)</f>
        <v>302.80243894991781</v>
      </c>
      <c r="AR4245">
        <f>1/(COUNT('Iter No Test'!$W$9:$W$5008)-1)+$AR$4244</f>
        <v>0.8485697139427324</v>
      </c>
    </row>
    <row r="4246" spans="22:44">
      <c r="V4246">
        <v>4238</v>
      </c>
      <c r="W4246">
        <v>207.97647029407472</v>
      </c>
      <c r="AQ4246">
        <f>SMALL('Iter No Test'!$W$9:$W$5008,4244)</f>
        <v>302.85708899619976</v>
      </c>
      <c r="AR4246">
        <f>1/(COUNT('Iter No Test'!$W$9:$W$5008)-1)+$AR$4245</f>
        <v>0.84876975395073395</v>
      </c>
    </row>
    <row r="4247" spans="22:44">
      <c r="V4247">
        <v>4239</v>
      </c>
      <c r="W4247">
        <v>112.81429635479016</v>
      </c>
      <c r="AQ4247">
        <f>SMALL('Iter No Test'!$W$9:$W$5008,4245)</f>
        <v>302.89747396340397</v>
      </c>
      <c r="AR4247">
        <f>1/(COUNT('Iter No Test'!$W$9:$W$5008)-1)+$AR$4246</f>
        <v>0.84896979395873551</v>
      </c>
    </row>
    <row r="4248" spans="22:44">
      <c r="V4248">
        <v>4240</v>
      </c>
      <c r="W4248">
        <v>367.71863723361548</v>
      </c>
      <c r="AQ4248">
        <f>SMALL('Iter No Test'!$W$9:$W$5008,4246)</f>
        <v>302.91354016300556</v>
      </c>
      <c r="AR4248">
        <f>1/(COUNT('Iter No Test'!$W$9:$W$5008)-1)+$AR$4247</f>
        <v>0.84916983396673706</v>
      </c>
    </row>
    <row r="4249" spans="22:44">
      <c r="V4249">
        <v>4241</v>
      </c>
      <c r="W4249">
        <v>107.06511797154035</v>
      </c>
      <c r="AQ4249">
        <f>SMALL('Iter No Test'!$W$9:$W$5008,4247)</f>
        <v>302.91729540002927</v>
      </c>
      <c r="AR4249">
        <f>1/(COUNT('Iter No Test'!$W$9:$W$5008)-1)+$AR$4248</f>
        <v>0.84936987397473862</v>
      </c>
    </row>
    <row r="4250" spans="22:44">
      <c r="V4250">
        <v>4242</v>
      </c>
      <c r="W4250">
        <v>313.30543373740181</v>
      </c>
      <c r="AQ4250">
        <f>SMALL('Iter No Test'!$W$9:$W$5008,4248)</f>
        <v>303.02982260405463</v>
      </c>
      <c r="AR4250">
        <f>1/(COUNT('Iter No Test'!$W$9:$W$5008)-1)+$AR$4249</f>
        <v>0.84956991398274018</v>
      </c>
    </row>
    <row r="4251" spans="22:44">
      <c r="V4251">
        <v>4243</v>
      </c>
      <c r="W4251">
        <v>286.8835358129088</v>
      </c>
      <c r="AQ4251">
        <f>SMALL('Iter No Test'!$W$9:$W$5008,4249)</f>
        <v>303.09619796435129</v>
      </c>
      <c r="AR4251">
        <f>1/(COUNT('Iter No Test'!$W$9:$W$5008)-1)+$AR$4250</f>
        <v>0.84976995399074173</v>
      </c>
    </row>
    <row r="4252" spans="22:44">
      <c r="V4252">
        <v>4244</v>
      </c>
      <c r="W4252">
        <v>282.629684268966</v>
      </c>
      <c r="AQ4252">
        <f>SMALL('Iter No Test'!$W$9:$W$5008,4250)</f>
        <v>303.13405642160876</v>
      </c>
      <c r="AR4252">
        <f>1/(COUNT('Iter No Test'!$W$9:$W$5008)-1)+$AR$4251</f>
        <v>0.84996999399874329</v>
      </c>
    </row>
    <row r="4253" spans="22:44">
      <c r="V4253">
        <v>4245</v>
      </c>
      <c r="W4253">
        <v>176.7990099592256</v>
      </c>
      <c r="AQ4253">
        <f>SMALL('Iter No Test'!$W$9:$W$5008,4251)</f>
        <v>303.14490807511919</v>
      </c>
      <c r="AR4253">
        <f>1/(COUNT('Iter No Test'!$W$9:$W$5008)-1)+$AR$4252</f>
        <v>0.85017003400674485</v>
      </c>
    </row>
    <row r="4254" spans="22:44">
      <c r="V4254">
        <v>4246</v>
      </c>
      <c r="W4254">
        <v>61.114230681426534</v>
      </c>
      <c r="AQ4254">
        <f>SMALL('Iter No Test'!$W$9:$W$5008,4252)</f>
        <v>303.1989808830017</v>
      </c>
      <c r="AR4254">
        <f>1/(COUNT('Iter No Test'!$W$9:$W$5008)-1)+$AR$4253</f>
        <v>0.8503700740147464</v>
      </c>
    </row>
    <row r="4255" spans="22:44">
      <c r="V4255">
        <v>4247</v>
      </c>
      <c r="W4255">
        <v>188.25439316811929</v>
      </c>
      <c r="AQ4255">
        <f>SMALL('Iter No Test'!$W$9:$W$5008,4253)</f>
        <v>303.36545216154741</v>
      </c>
      <c r="AR4255">
        <f>1/(COUNT('Iter No Test'!$W$9:$W$5008)-1)+$AR$4254</f>
        <v>0.85057011402274796</v>
      </c>
    </row>
    <row r="4256" spans="22:44">
      <c r="V4256">
        <v>4248</v>
      </c>
      <c r="W4256">
        <v>228.86010547983642</v>
      </c>
      <c r="AQ4256">
        <f>SMALL('Iter No Test'!$W$9:$W$5008,4254)</f>
        <v>303.40783334241763</v>
      </c>
      <c r="AR4256">
        <f>1/(COUNT('Iter No Test'!$W$9:$W$5008)-1)+$AR$4255</f>
        <v>0.85077015403074951</v>
      </c>
    </row>
    <row r="4257" spans="22:44">
      <c r="V4257">
        <v>4249</v>
      </c>
      <c r="W4257">
        <v>120.49377313309915</v>
      </c>
      <c r="AQ4257">
        <f>SMALL('Iter No Test'!$W$9:$W$5008,4255)</f>
        <v>303.42128963298592</v>
      </c>
      <c r="AR4257">
        <f>1/(COUNT('Iter No Test'!$W$9:$W$5008)-1)+$AR$4256</f>
        <v>0.85097019403875107</v>
      </c>
    </row>
    <row r="4258" spans="22:44">
      <c r="V4258">
        <v>4250</v>
      </c>
      <c r="W4258">
        <v>254.4562463081713</v>
      </c>
      <c r="AQ4258">
        <f>SMALL('Iter No Test'!$W$9:$W$5008,4256)</f>
        <v>303.46339042289145</v>
      </c>
      <c r="AR4258">
        <f>1/(COUNT('Iter No Test'!$W$9:$W$5008)-1)+$AR$4257</f>
        <v>0.85117023404675263</v>
      </c>
    </row>
    <row r="4259" spans="22:44">
      <c r="V4259">
        <v>4251</v>
      </c>
      <c r="W4259">
        <v>184.69741152943618</v>
      </c>
      <c r="AQ4259">
        <f>SMALL('Iter No Test'!$W$9:$W$5008,4257)</f>
        <v>303.63632736490058</v>
      </c>
      <c r="AR4259">
        <f>1/(COUNT('Iter No Test'!$W$9:$W$5008)-1)+$AR$4258</f>
        <v>0.85137027405475418</v>
      </c>
    </row>
    <row r="4260" spans="22:44">
      <c r="V4260">
        <v>4252</v>
      </c>
      <c r="W4260">
        <v>143.1139111744875</v>
      </c>
      <c r="AQ4260">
        <f>SMALL('Iter No Test'!$W$9:$W$5008,4258)</f>
        <v>303.81756882964851</v>
      </c>
      <c r="AR4260">
        <f>1/(COUNT('Iter No Test'!$W$9:$W$5008)-1)+$AR$4259</f>
        <v>0.85157031406275574</v>
      </c>
    </row>
    <row r="4261" spans="22:44">
      <c r="V4261">
        <v>4253</v>
      </c>
      <c r="W4261">
        <v>148.64338892219823</v>
      </c>
      <c r="AQ4261">
        <f>SMALL('Iter No Test'!$W$9:$W$5008,4259)</f>
        <v>303.84208191841947</v>
      </c>
      <c r="AR4261">
        <f>1/(COUNT('Iter No Test'!$W$9:$W$5008)-1)+$AR$4260</f>
        <v>0.8517703540707573</v>
      </c>
    </row>
    <row r="4262" spans="22:44">
      <c r="V4262">
        <v>4254</v>
      </c>
      <c r="W4262">
        <v>208.0708108582848</v>
      </c>
      <c r="AQ4262">
        <f>SMALL('Iter No Test'!$W$9:$W$5008,4260)</f>
        <v>303.9574571282422</v>
      </c>
      <c r="AR4262">
        <f>1/(COUNT('Iter No Test'!$W$9:$W$5008)-1)+$AR$4261</f>
        <v>0.85197039407875885</v>
      </c>
    </row>
    <row r="4263" spans="22:44">
      <c r="V4263">
        <v>4255</v>
      </c>
      <c r="W4263">
        <v>191.82613222317369</v>
      </c>
      <c r="AQ4263">
        <f>SMALL('Iter No Test'!$W$9:$W$5008,4261)</f>
        <v>304.02224605340177</v>
      </c>
      <c r="AR4263">
        <f>1/(COUNT('Iter No Test'!$W$9:$W$5008)-1)+$AR$4262</f>
        <v>0.85217043408676041</v>
      </c>
    </row>
    <row r="4264" spans="22:44">
      <c r="V4264">
        <v>4256</v>
      </c>
      <c r="W4264">
        <v>64.18671678096203</v>
      </c>
      <c r="AQ4264">
        <f>SMALL('Iter No Test'!$W$9:$W$5008,4262)</f>
        <v>304.07205889812064</v>
      </c>
      <c r="AR4264">
        <f>1/(COUNT('Iter No Test'!$W$9:$W$5008)-1)+$AR$4263</f>
        <v>0.85237047409476197</v>
      </c>
    </row>
    <row r="4265" spans="22:44">
      <c r="V4265">
        <v>4257</v>
      </c>
      <c r="W4265">
        <v>152.12764262231053</v>
      </c>
      <c r="AQ4265">
        <f>SMALL('Iter No Test'!$W$9:$W$5008,4263)</f>
        <v>304.24743047983839</v>
      </c>
      <c r="AR4265">
        <f>1/(COUNT('Iter No Test'!$W$9:$W$5008)-1)+$AR$4264</f>
        <v>0.85257051410276352</v>
      </c>
    </row>
    <row r="4266" spans="22:44">
      <c r="V4266">
        <v>4258</v>
      </c>
      <c r="W4266">
        <v>162.64019560285976</v>
      </c>
      <c r="AQ4266">
        <f>SMALL('Iter No Test'!$W$9:$W$5008,4264)</f>
        <v>304.32952264992628</v>
      </c>
      <c r="AR4266">
        <f>1/(COUNT('Iter No Test'!$W$9:$W$5008)-1)+$AR$4265</f>
        <v>0.85277055411076508</v>
      </c>
    </row>
    <row r="4267" spans="22:44">
      <c r="V4267">
        <v>4259</v>
      </c>
      <c r="W4267">
        <v>360.2326362660159</v>
      </c>
      <c r="AQ4267">
        <f>SMALL('Iter No Test'!$W$9:$W$5008,4265)</f>
        <v>304.36941324428153</v>
      </c>
      <c r="AR4267">
        <f>1/(COUNT('Iter No Test'!$W$9:$W$5008)-1)+$AR$4266</f>
        <v>0.85297059411876663</v>
      </c>
    </row>
    <row r="4268" spans="22:44">
      <c r="V4268">
        <v>4260</v>
      </c>
      <c r="W4268">
        <v>270.66116894063896</v>
      </c>
      <c r="AQ4268">
        <f>SMALL('Iter No Test'!$W$9:$W$5008,4266)</f>
        <v>304.49139918392314</v>
      </c>
      <c r="AR4268">
        <f>1/(COUNT('Iter No Test'!$W$9:$W$5008)-1)+$AR$4267</f>
        <v>0.85317063412676819</v>
      </c>
    </row>
    <row r="4269" spans="22:44">
      <c r="V4269">
        <v>4261</v>
      </c>
      <c r="W4269">
        <v>123.06416657243537</v>
      </c>
      <c r="AQ4269">
        <f>SMALL('Iter No Test'!$W$9:$W$5008,4267)</f>
        <v>304.54924024972343</v>
      </c>
      <c r="AR4269">
        <f>1/(COUNT('Iter No Test'!$W$9:$W$5008)-1)+$AR$4268</f>
        <v>0.85337067413476975</v>
      </c>
    </row>
    <row r="4270" spans="22:44">
      <c r="V4270">
        <v>4262</v>
      </c>
      <c r="W4270">
        <v>214.955850144012</v>
      </c>
      <c r="AQ4270">
        <f>SMALL('Iter No Test'!$W$9:$W$5008,4268)</f>
        <v>304.58231368711773</v>
      </c>
      <c r="AR4270">
        <f>1/(COUNT('Iter No Test'!$W$9:$W$5008)-1)+$AR$4269</f>
        <v>0.8535707141427713</v>
      </c>
    </row>
    <row r="4271" spans="22:44">
      <c r="V4271">
        <v>4263</v>
      </c>
      <c r="W4271">
        <v>73.316958963468494</v>
      </c>
      <c r="AQ4271">
        <f>SMALL('Iter No Test'!$W$9:$W$5008,4269)</f>
        <v>304.58540267172054</v>
      </c>
      <c r="AR4271">
        <f>1/(COUNT('Iter No Test'!$W$9:$W$5008)-1)+$AR$4270</f>
        <v>0.85377075415077286</v>
      </c>
    </row>
    <row r="4272" spans="22:44">
      <c r="V4272">
        <v>4264</v>
      </c>
      <c r="W4272">
        <v>130.31637909012039</v>
      </c>
      <c r="AQ4272">
        <f>SMALL('Iter No Test'!$W$9:$W$5008,4270)</f>
        <v>304.7198286791081</v>
      </c>
      <c r="AR4272">
        <f>1/(COUNT('Iter No Test'!$W$9:$W$5008)-1)+$AR$4271</f>
        <v>0.85397079415877442</v>
      </c>
    </row>
    <row r="4273" spans="22:44">
      <c r="V4273">
        <v>4265</v>
      </c>
      <c r="W4273">
        <v>192.67267314470888</v>
      </c>
      <c r="AQ4273">
        <f>SMALL('Iter No Test'!$W$9:$W$5008,4271)</f>
        <v>304.81468837055371</v>
      </c>
      <c r="AR4273">
        <f>1/(COUNT('Iter No Test'!$W$9:$W$5008)-1)+$AR$4272</f>
        <v>0.85417083416677597</v>
      </c>
    </row>
    <row r="4274" spans="22:44">
      <c r="V4274">
        <v>4266</v>
      </c>
      <c r="W4274">
        <v>105.363581270902</v>
      </c>
      <c r="AQ4274">
        <f>SMALL('Iter No Test'!$W$9:$W$5008,4272)</f>
        <v>304.8223418058223</v>
      </c>
      <c r="AR4274">
        <f>1/(COUNT('Iter No Test'!$W$9:$W$5008)-1)+$AR$4273</f>
        <v>0.85437087417477753</v>
      </c>
    </row>
    <row r="4275" spans="22:44">
      <c r="V4275">
        <v>4267</v>
      </c>
      <c r="W4275">
        <v>176.96156206670292</v>
      </c>
      <c r="AQ4275">
        <f>SMALL('Iter No Test'!$W$9:$W$5008,4273)</f>
        <v>304.87725646602598</v>
      </c>
      <c r="AR4275">
        <f>1/(COUNT('Iter No Test'!$W$9:$W$5008)-1)+$AR$4274</f>
        <v>0.85457091418277908</v>
      </c>
    </row>
    <row r="4276" spans="22:44">
      <c r="V4276">
        <v>4268</v>
      </c>
      <c r="W4276">
        <v>368.40622794993595</v>
      </c>
      <c r="AQ4276">
        <f>SMALL('Iter No Test'!$W$9:$W$5008,4274)</f>
        <v>304.93887505301257</v>
      </c>
      <c r="AR4276">
        <f>1/(COUNT('Iter No Test'!$W$9:$W$5008)-1)+$AR$4275</f>
        <v>0.85477095419078064</v>
      </c>
    </row>
    <row r="4277" spans="22:44">
      <c r="V4277">
        <v>4269</v>
      </c>
      <c r="W4277">
        <v>226.55336454368685</v>
      </c>
      <c r="AQ4277">
        <f>SMALL('Iter No Test'!$W$9:$W$5008,4275)</f>
        <v>305.26128280182718</v>
      </c>
      <c r="AR4277">
        <f>1/(COUNT('Iter No Test'!$W$9:$W$5008)-1)+$AR$4276</f>
        <v>0.8549709941987822</v>
      </c>
    </row>
    <row r="4278" spans="22:44">
      <c r="V4278">
        <v>4270</v>
      </c>
      <c r="W4278">
        <v>204.03529619087746</v>
      </c>
      <c r="AQ4278">
        <f>SMALL('Iter No Test'!$W$9:$W$5008,4276)</f>
        <v>305.27318984690805</v>
      </c>
      <c r="AR4278">
        <f>1/(COUNT('Iter No Test'!$W$9:$W$5008)-1)+$AR$4277</f>
        <v>0.85517103420678375</v>
      </c>
    </row>
    <row r="4279" spans="22:44">
      <c r="V4279">
        <v>4271</v>
      </c>
      <c r="W4279">
        <v>268.13853663745942</v>
      </c>
      <c r="AQ4279">
        <f>SMALL('Iter No Test'!$W$9:$W$5008,4277)</f>
        <v>305.92066142416434</v>
      </c>
      <c r="AR4279">
        <f>1/(COUNT('Iter No Test'!$W$9:$W$5008)-1)+$AR$4278</f>
        <v>0.85537107421478531</v>
      </c>
    </row>
    <row r="4280" spans="22:44">
      <c r="V4280">
        <v>4272</v>
      </c>
      <c r="W4280">
        <v>373.64261440971859</v>
      </c>
      <c r="AQ4280">
        <f>SMALL('Iter No Test'!$W$9:$W$5008,4278)</f>
        <v>306.04376508661477</v>
      </c>
      <c r="AR4280">
        <f>1/(COUNT('Iter No Test'!$W$9:$W$5008)-1)+$AR$4279</f>
        <v>0.85557111422278687</v>
      </c>
    </row>
    <row r="4281" spans="22:44">
      <c r="V4281">
        <v>4273</v>
      </c>
      <c r="W4281">
        <v>178.88592339414703</v>
      </c>
      <c r="AQ4281">
        <f>SMALL('Iter No Test'!$W$9:$W$5008,4279)</f>
        <v>306.09164621339858</v>
      </c>
      <c r="AR4281">
        <f>1/(COUNT('Iter No Test'!$W$9:$W$5008)-1)+$AR$4280</f>
        <v>0.85577115423078842</v>
      </c>
    </row>
    <row r="4282" spans="22:44">
      <c r="V4282">
        <v>4274</v>
      </c>
      <c r="W4282">
        <v>264.02139047518779</v>
      </c>
      <c r="AQ4282">
        <f>SMALL('Iter No Test'!$W$9:$W$5008,4280)</f>
        <v>306.18772810950088</v>
      </c>
      <c r="AR4282">
        <f>1/(COUNT('Iter No Test'!$W$9:$W$5008)-1)+$AR$4281</f>
        <v>0.85597119423878998</v>
      </c>
    </row>
    <row r="4283" spans="22:44">
      <c r="V4283">
        <v>4275</v>
      </c>
      <c r="W4283">
        <v>2.2432731899781828</v>
      </c>
      <c r="AQ4283">
        <f>SMALL('Iter No Test'!$W$9:$W$5008,4281)</f>
        <v>306.32424989323965</v>
      </c>
      <c r="AR4283">
        <f>1/(COUNT('Iter No Test'!$W$9:$W$5008)-1)+$AR$4282</f>
        <v>0.85617123424679153</v>
      </c>
    </row>
    <row r="4284" spans="22:44">
      <c r="V4284">
        <v>4276</v>
      </c>
      <c r="W4284">
        <v>139.93045398384947</v>
      </c>
      <c r="AQ4284">
        <f>SMALL('Iter No Test'!$W$9:$W$5008,4282)</f>
        <v>306.46383825052652</v>
      </c>
      <c r="AR4284">
        <f>1/(COUNT('Iter No Test'!$W$9:$W$5008)-1)+$AR$4283</f>
        <v>0.85637127425479309</v>
      </c>
    </row>
    <row r="4285" spans="22:44">
      <c r="V4285">
        <v>4277</v>
      </c>
      <c r="W4285">
        <v>228.09634870370101</v>
      </c>
      <c r="AQ4285">
        <f>SMALL('Iter No Test'!$W$9:$W$5008,4283)</f>
        <v>306.58507412433323</v>
      </c>
      <c r="AR4285">
        <f>1/(COUNT('Iter No Test'!$W$9:$W$5008)-1)+$AR$4284</f>
        <v>0.85657131426279465</v>
      </c>
    </row>
    <row r="4286" spans="22:44">
      <c r="V4286">
        <v>4278</v>
      </c>
      <c r="W4286">
        <v>377.03845175810625</v>
      </c>
      <c r="AQ4286">
        <f>SMALL('Iter No Test'!$W$9:$W$5008,4284)</f>
        <v>306.59888502834087</v>
      </c>
      <c r="AR4286">
        <f>1/(COUNT('Iter No Test'!$W$9:$W$5008)-1)+$AR$4285</f>
        <v>0.8567713542707962</v>
      </c>
    </row>
    <row r="4287" spans="22:44">
      <c r="V4287">
        <v>4279</v>
      </c>
      <c r="W4287">
        <v>158.82977954093283</v>
      </c>
      <c r="AQ4287">
        <f>SMALL('Iter No Test'!$W$9:$W$5008,4285)</f>
        <v>306.59956336980849</v>
      </c>
      <c r="AR4287">
        <f>1/(COUNT('Iter No Test'!$W$9:$W$5008)-1)+$AR$4286</f>
        <v>0.85697139427879776</v>
      </c>
    </row>
    <row r="4288" spans="22:44">
      <c r="V4288">
        <v>4280</v>
      </c>
      <c r="W4288">
        <v>113.49834112609906</v>
      </c>
      <c r="AQ4288">
        <f>SMALL('Iter No Test'!$W$9:$W$5008,4286)</f>
        <v>306.60176634894481</v>
      </c>
      <c r="AR4288">
        <f>1/(COUNT('Iter No Test'!$W$9:$W$5008)-1)+$AR$4287</f>
        <v>0.85717143428679932</v>
      </c>
    </row>
    <row r="4289" spans="22:44">
      <c r="V4289">
        <v>4281</v>
      </c>
      <c r="W4289">
        <v>367.64497034016625</v>
      </c>
      <c r="AQ4289">
        <f>SMALL('Iter No Test'!$W$9:$W$5008,4287)</f>
        <v>306.74630640079306</v>
      </c>
      <c r="AR4289">
        <f>1/(COUNT('Iter No Test'!$W$9:$W$5008)-1)+$AR$4288</f>
        <v>0.85737147429480087</v>
      </c>
    </row>
    <row r="4290" spans="22:44">
      <c r="V4290">
        <v>4282</v>
      </c>
      <c r="W4290">
        <v>243.65544886286739</v>
      </c>
      <c r="AQ4290">
        <f>SMALL('Iter No Test'!$W$9:$W$5008,4288)</f>
        <v>306.85666167367981</v>
      </c>
      <c r="AR4290">
        <f>1/(COUNT('Iter No Test'!$W$9:$W$5008)-1)+$AR$4289</f>
        <v>0.85757151430280243</v>
      </c>
    </row>
    <row r="4291" spans="22:44">
      <c r="V4291">
        <v>4283</v>
      </c>
      <c r="W4291">
        <v>224.2422898972149</v>
      </c>
      <c r="AQ4291">
        <f>SMALL('Iter No Test'!$W$9:$W$5008,4289)</f>
        <v>306.87937748124847</v>
      </c>
      <c r="AR4291">
        <f>1/(COUNT('Iter No Test'!$W$9:$W$5008)-1)+$AR$4290</f>
        <v>0.85777155431080399</v>
      </c>
    </row>
    <row r="4292" spans="22:44">
      <c r="V4292">
        <v>4284</v>
      </c>
      <c r="W4292">
        <v>230.73065705211536</v>
      </c>
      <c r="AQ4292">
        <f>SMALL('Iter No Test'!$W$9:$W$5008,4290)</f>
        <v>306.98326709085018</v>
      </c>
      <c r="AR4292">
        <f>1/(COUNT('Iter No Test'!$W$9:$W$5008)-1)+$AR$4291</f>
        <v>0.85797159431880554</v>
      </c>
    </row>
    <row r="4293" spans="22:44">
      <c r="V4293">
        <v>4285</v>
      </c>
      <c r="W4293">
        <v>204.6793529170254</v>
      </c>
      <c r="AQ4293">
        <f>SMALL('Iter No Test'!$W$9:$W$5008,4291)</f>
        <v>307.04105549494585</v>
      </c>
      <c r="AR4293">
        <f>1/(COUNT('Iter No Test'!$W$9:$W$5008)-1)+$AR$4292</f>
        <v>0.8581716343268071</v>
      </c>
    </row>
    <row r="4294" spans="22:44">
      <c r="V4294">
        <v>4286</v>
      </c>
      <c r="W4294">
        <v>203.31920944023449</v>
      </c>
      <c r="AQ4294">
        <f>SMALL('Iter No Test'!$W$9:$W$5008,4292)</f>
        <v>307.33583935723004</v>
      </c>
      <c r="AR4294">
        <f>1/(COUNT('Iter No Test'!$W$9:$W$5008)-1)+$AR$4293</f>
        <v>0.85837167433480865</v>
      </c>
    </row>
    <row r="4295" spans="22:44">
      <c r="V4295">
        <v>4287</v>
      </c>
      <c r="W4295">
        <v>186.43370583297394</v>
      </c>
      <c r="AQ4295">
        <f>SMALL('Iter No Test'!$W$9:$W$5008,4293)</f>
        <v>307.34045445649269</v>
      </c>
      <c r="AR4295">
        <f>1/(COUNT('Iter No Test'!$W$9:$W$5008)-1)+$AR$4294</f>
        <v>0.85857171434281021</v>
      </c>
    </row>
    <row r="4296" spans="22:44">
      <c r="V4296">
        <v>4288</v>
      </c>
      <c r="W4296">
        <v>286.77840696020832</v>
      </c>
      <c r="AQ4296">
        <f>SMALL('Iter No Test'!$W$9:$W$5008,4294)</f>
        <v>307.53829045259658</v>
      </c>
      <c r="AR4296">
        <f>1/(COUNT('Iter No Test'!$W$9:$W$5008)-1)+$AR$4295</f>
        <v>0.85877175435081177</v>
      </c>
    </row>
    <row r="4297" spans="22:44">
      <c r="V4297">
        <v>4289</v>
      </c>
      <c r="W4297">
        <v>174.44874643592311</v>
      </c>
      <c r="AQ4297">
        <f>SMALL('Iter No Test'!$W$9:$W$5008,4295)</f>
        <v>307.55844952432926</v>
      </c>
      <c r="AR4297">
        <f>1/(COUNT('Iter No Test'!$W$9:$W$5008)-1)+$AR$4296</f>
        <v>0.85897179435881332</v>
      </c>
    </row>
    <row r="4298" spans="22:44">
      <c r="V4298">
        <v>4290</v>
      </c>
      <c r="W4298">
        <v>130.06071570323556</v>
      </c>
      <c r="AQ4298">
        <f>SMALL('Iter No Test'!$W$9:$W$5008,4296)</f>
        <v>307.58996797769288</v>
      </c>
      <c r="AR4298">
        <f>1/(COUNT('Iter No Test'!$W$9:$W$5008)-1)+$AR$4297</f>
        <v>0.85917183436681488</v>
      </c>
    </row>
    <row r="4299" spans="22:44">
      <c r="V4299">
        <v>4291</v>
      </c>
      <c r="W4299">
        <v>179.59842960224282</v>
      </c>
      <c r="AQ4299">
        <f>SMALL('Iter No Test'!$W$9:$W$5008,4297)</f>
        <v>307.69183087505655</v>
      </c>
      <c r="AR4299">
        <f>1/(COUNT('Iter No Test'!$W$9:$W$5008)-1)+$AR$4298</f>
        <v>0.85937187437481644</v>
      </c>
    </row>
    <row r="4300" spans="22:44">
      <c r="V4300">
        <v>4292</v>
      </c>
      <c r="W4300">
        <v>211.02366533708769</v>
      </c>
      <c r="AQ4300">
        <f>SMALL('Iter No Test'!$W$9:$W$5008,4298)</f>
        <v>307.75684680111357</v>
      </c>
      <c r="AR4300">
        <f>1/(COUNT('Iter No Test'!$W$9:$W$5008)-1)+$AR$4299</f>
        <v>0.85957191438281799</v>
      </c>
    </row>
    <row r="4301" spans="22:44">
      <c r="V4301">
        <v>4293</v>
      </c>
      <c r="W4301">
        <v>176.52201342763436</v>
      </c>
      <c r="AQ4301">
        <f>SMALL('Iter No Test'!$W$9:$W$5008,4299)</f>
        <v>307.95750802050969</v>
      </c>
      <c r="AR4301">
        <f>1/(COUNT('Iter No Test'!$W$9:$W$5008)-1)+$AR$4300</f>
        <v>0.85977195439081955</v>
      </c>
    </row>
    <row r="4302" spans="22:44">
      <c r="V4302">
        <v>4294</v>
      </c>
      <c r="W4302">
        <v>202.34371551834477</v>
      </c>
      <c r="AQ4302">
        <f>SMALL('Iter No Test'!$W$9:$W$5008,4300)</f>
        <v>308.21585185672939</v>
      </c>
      <c r="AR4302">
        <f>1/(COUNT('Iter No Test'!$W$9:$W$5008)-1)+$AR$4301</f>
        <v>0.8599719943988211</v>
      </c>
    </row>
    <row r="4303" spans="22:44">
      <c r="V4303">
        <v>4295</v>
      </c>
      <c r="W4303">
        <v>232.30319780442002</v>
      </c>
      <c r="AQ4303">
        <f>SMALL('Iter No Test'!$W$9:$W$5008,4301)</f>
        <v>308.32625079756389</v>
      </c>
      <c r="AR4303">
        <f>1/(COUNT('Iter No Test'!$W$9:$W$5008)-1)+$AR$4302</f>
        <v>0.86017203440682266</v>
      </c>
    </row>
    <row r="4304" spans="22:44">
      <c r="V4304">
        <v>4296</v>
      </c>
      <c r="W4304">
        <v>344.98966061796534</v>
      </c>
      <c r="AQ4304">
        <f>SMALL('Iter No Test'!$W$9:$W$5008,4302)</f>
        <v>308.33029545371915</v>
      </c>
      <c r="AR4304">
        <f>1/(COUNT('Iter No Test'!$W$9:$W$5008)-1)+$AR$4303</f>
        <v>0.86037207441482422</v>
      </c>
    </row>
    <row r="4305" spans="22:44">
      <c r="V4305">
        <v>4297</v>
      </c>
      <c r="W4305">
        <v>279.55521737794913</v>
      </c>
      <c r="AQ4305">
        <f>SMALL('Iter No Test'!$W$9:$W$5008,4303)</f>
        <v>308.35112691066035</v>
      </c>
      <c r="AR4305">
        <f>1/(COUNT('Iter No Test'!$W$9:$W$5008)-1)+$AR$4304</f>
        <v>0.86057211442282577</v>
      </c>
    </row>
    <row r="4306" spans="22:44">
      <c r="V4306">
        <v>4298</v>
      </c>
      <c r="W4306">
        <v>207.57406546971731</v>
      </c>
      <c r="AQ4306">
        <f>SMALL('Iter No Test'!$W$9:$W$5008,4304)</f>
        <v>308.59139324015166</v>
      </c>
      <c r="AR4306">
        <f>1/(COUNT('Iter No Test'!$W$9:$W$5008)-1)+$AR$4305</f>
        <v>0.86077215443082733</v>
      </c>
    </row>
    <row r="4307" spans="22:44">
      <c r="V4307">
        <v>4299</v>
      </c>
      <c r="W4307">
        <v>183.03954835423809</v>
      </c>
      <c r="AQ4307">
        <f>SMALL('Iter No Test'!$W$9:$W$5008,4305)</f>
        <v>308.65819867283602</v>
      </c>
      <c r="AR4307">
        <f>1/(COUNT('Iter No Test'!$W$9:$W$5008)-1)+$AR$4306</f>
        <v>0.86097219443882889</v>
      </c>
    </row>
    <row r="4308" spans="22:44">
      <c r="V4308">
        <v>4300</v>
      </c>
      <c r="W4308">
        <v>174.61707928990575</v>
      </c>
      <c r="AQ4308">
        <f>SMALL('Iter No Test'!$W$9:$W$5008,4306)</f>
        <v>308.73991376930587</v>
      </c>
      <c r="AR4308">
        <f>1/(COUNT('Iter No Test'!$W$9:$W$5008)-1)+$AR$4307</f>
        <v>0.86117223444683044</v>
      </c>
    </row>
    <row r="4309" spans="22:44">
      <c r="V4309">
        <v>4301</v>
      </c>
      <c r="W4309">
        <v>227.64206665603569</v>
      </c>
      <c r="AQ4309">
        <f>SMALL('Iter No Test'!$W$9:$W$5008,4307)</f>
        <v>308.87953844374999</v>
      </c>
      <c r="AR4309">
        <f>1/(COUNT('Iter No Test'!$W$9:$W$5008)-1)+$AR$4308</f>
        <v>0.861372274454832</v>
      </c>
    </row>
    <row r="4310" spans="22:44">
      <c r="V4310">
        <v>4302</v>
      </c>
      <c r="W4310">
        <v>306.46383825052652</v>
      </c>
      <c r="AQ4310">
        <f>SMALL('Iter No Test'!$W$9:$W$5008,4308)</f>
        <v>308.94257093590716</v>
      </c>
      <c r="AR4310">
        <f>1/(COUNT('Iter No Test'!$W$9:$W$5008)-1)+$AR$4309</f>
        <v>0.86157231446283356</v>
      </c>
    </row>
    <row r="4311" spans="22:44">
      <c r="V4311">
        <v>4303</v>
      </c>
      <c r="W4311">
        <v>178.23327548650195</v>
      </c>
      <c r="AQ4311">
        <f>SMALL('Iter No Test'!$W$9:$W$5008,4309)</f>
        <v>308.94833208364076</v>
      </c>
      <c r="AR4311">
        <f>1/(COUNT('Iter No Test'!$W$9:$W$5008)-1)+$AR$4310</f>
        <v>0.86177235447083511</v>
      </c>
    </row>
    <row r="4312" spans="22:44">
      <c r="V4312">
        <v>4304</v>
      </c>
      <c r="W4312">
        <v>225.74774856396328</v>
      </c>
      <c r="AQ4312">
        <f>SMALL('Iter No Test'!$W$9:$W$5008,4310)</f>
        <v>308.9697162144779</v>
      </c>
      <c r="AR4312">
        <f>1/(COUNT('Iter No Test'!$W$9:$W$5008)-1)+$AR$4311</f>
        <v>0.86197239447883667</v>
      </c>
    </row>
    <row r="4313" spans="22:44">
      <c r="V4313">
        <v>4305</v>
      </c>
      <c r="W4313">
        <v>196.98734113665392</v>
      </c>
      <c r="AQ4313">
        <f>SMALL('Iter No Test'!$W$9:$W$5008,4311)</f>
        <v>308.99596703866735</v>
      </c>
      <c r="AR4313">
        <f>1/(COUNT('Iter No Test'!$W$9:$W$5008)-1)+$AR$4312</f>
        <v>0.86217243448683822</v>
      </c>
    </row>
    <row r="4314" spans="22:44">
      <c r="V4314">
        <v>4306</v>
      </c>
      <c r="W4314">
        <v>205.97623577848447</v>
      </c>
      <c r="AQ4314">
        <f>SMALL('Iter No Test'!$W$9:$W$5008,4312)</f>
        <v>309.03219860294928</v>
      </c>
      <c r="AR4314">
        <f>1/(COUNT('Iter No Test'!$W$9:$W$5008)-1)+$AR$4313</f>
        <v>0.86237247449483978</v>
      </c>
    </row>
    <row r="4315" spans="22:44">
      <c r="V4315">
        <v>4307</v>
      </c>
      <c r="W4315">
        <v>200.66985119625798</v>
      </c>
      <c r="AQ4315">
        <f>SMALL('Iter No Test'!$W$9:$W$5008,4313)</f>
        <v>309.07446253747264</v>
      </c>
      <c r="AR4315">
        <f>1/(COUNT('Iter No Test'!$W$9:$W$5008)-1)+$AR$4314</f>
        <v>0.86257251450284134</v>
      </c>
    </row>
    <row r="4316" spans="22:44">
      <c r="V4316">
        <v>4308</v>
      </c>
      <c r="W4316">
        <v>220.42913395113655</v>
      </c>
      <c r="AQ4316">
        <f>SMALL('Iter No Test'!$W$9:$W$5008,4314)</f>
        <v>309.0988745728356</v>
      </c>
      <c r="AR4316">
        <f>1/(COUNT('Iter No Test'!$W$9:$W$5008)-1)+$AR$4315</f>
        <v>0.86277255451084289</v>
      </c>
    </row>
    <row r="4317" spans="22:44">
      <c r="V4317">
        <v>4309</v>
      </c>
      <c r="W4317">
        <v>13.188949363526703</v>
      </c>
      <c r="AQ4317">
        <f>SMALL('Iter No Test'!$W$9:$W$5008,4315)</f>
        <v>309.52714466980228</v>
      </c>
      <c r="AR4317">
        <f>1/(COUNT('Iter No Test'!$W$9:$W$5008)-1)+$AR$4316</f>
        <v>0.86297259451884445</v>
      </c>
    </row>
    <row r="4318" spans="22:44">
      <c r="V4318">
        <v>4310</v>
      </c>
      <c r="W4318">
        <v>181.74598996329883</v>
      </c>
      <c r="AQ4318">
        <f>SMALL('Iter No Test'!$W$9:$W$5008,4316)</f>
        <v>309.82314733122189</v>
      </c>
      <c r="AR4318">
        <f>1/(COUNT('Iter No Test'!$W$9:$W$5008)-1)+$AR$4317</f>
        <v>0.86317263452684601</v>
      </c>
    </row>
    <row r="4319" spans="22:44">
      <c r="V4319">
        <v>4311</v>
      </c>
      <c r="W4319">
        <v>299.54675678950377</v>
      </c>
      <c r="AQ4319">
        <f>SMALL('Iter No Test'!$W$9:$W$5008,4317)</f>
        <v>309.8565038897014</v>
      </c>
      <c r="AR4319">
        <f>1/(COUNT('Iter No Test'!$W$9:$W$5008)-1)+$AR$4318</f>
        <v>0.86337267453484756</v>
      </c>
    </row>
    <row r="4320" spans="22:44">
      <c r="V4320">
        <v>4312</v>
      </c>
      <c r="W4320">
        <v>338.14348627040408</v>
      </c>
      <c r="AQ4320">
        <f>SMALL('Iter No Test'!$W$9:$W$5008,4318)</f>
        <v>309.89392492531755</v>
      </c>
      <c r="AR4320">
        <f>1/(COUNT('Iter No Test'!$W$9:$W$5008)-1)+$AR$4319</f>
        <v>0.86357271454284912</v>
      </c>
    </row>
    <row r="4321" spans="22:44">
      <c r="V4321">
        <v>4313</v>
      </c>
      <c r="W4321">
        <v>173.39128649431683</v>
      </c>
      <c r="AQ4321">
        <f>SMALL('Iter No Test'!$W$9:$W$5008,4319)</f>
        <v>310.02601119375277</v>
      </c>
      <c r="AR4321">
        <f>1/(COUNT('Iter No Test'!$W$9:$W$5008)-1)+$AR$4320</f>
        <v>0.86377275455085067</v>
      </c>
    </row>
    <row r="4322" spans="22:44">
      <c r="V4322">
        <v>4314</v>
      </c>
      <c r="W4322">
        <v>233.47305655485329</v>
      </c>
      <c r="AQ4322">
        <f>SMALL('Iter No Test'!$W$9:$W$5008,4320)</f>
        <v>310.0838199885111</v>
      </c>
      <c r="AR4322">
        <f>1/(COUNT('Iter No Test'!$W$9:$W$5008)-1)+$AR$4321</f>
        <v>0.86397279455885223</v>
      </c>
    </row>
    <row r="4323" spans="22:44">
      <c r="V4323">
        <v>4315</v>
      </c>
      <c r="W4323">
        <v>310.85311296458917</v>
      </c>
      <c r="AQ4323">
        <f>SMALL('Iter No Test'!$W$9:$W$5008,4321)</f>
        <v>310.31242083030349</v>
      </c>
      <c r="AR4323">
        <f>1/(COUNT('Iter No Test'!$W$9:$W$5008)-1)+$AR$4322</f>
        <v>0.86417283456685379</v>
      </c>
    </row>
    <row r="4324" spans="22:44">
      <c r="V4324">
        <v>4316</v>
      </c>
      <c r="W4324">
        <v>168.51957502239867</v>
      </c>
      <c r="AQ4324">
        <f>SMALL('Iter No Test'!$W$9:$W$5008,4322)</f>
        <v>310.42941498901439</v>
      </c>
      <c r="AR4324">
        <f>1/(COUNT('Iter No Test'!$W$9:$W$5008)-1)+$AR$4323</f>
        <v>0.86437287457485534</v>
      </c>
    </row>
    <row r="4325" spans="22:44">
      <c r="V4325">
        <v>4317</v>
      </c>
      <c r="W4325">
        <v>170.82759944438678</v>
      </c>
      <c r="AQ4325">
        <f>SMALL('Iter No Test'!$W$9:$W$5008,4323)</f>
        <v>310.47663871834283</v>
      </c>
      <c r="AR4325">
        <f>1/(COUNT('Iter No Test'!$W$9:$W$5008)-1)+$AR$4324</f>
        <v>0.8645729145828569</v>
      </c>
    </row>
    <row r="4326" spans="22:44">
      <c r="V4326">
        <v>4318</v>
      </c>
      <c r="W4326">
        <v>124.71224063706347</v>
      </c>
      <c r="AQ4326">
        <f>SMALL('Iter No Test'!$W$9:$W$5008,4324)</f>
        <v>310.62694890917612</v>
      </c>
      <c r="AR4326">
        <f>1/(COUNT('Iter No Test'!$W$9:$W$5008)-1)+$AR$4325</f>
        <v>0.86477295459085846</v>
      </c>
    </row>
    <row r="4327" spans="22:44">
      <c r="V4327">
        <v>4319</v>
      </c>
      <c r="W4327">
        <v>178.0516044591115</v>
      </c>
      <c r="AQ4327">
        <f>SMALL('Iter No Test'!$W$9:$W$5008,4325)</f>
        <v>310.69028188885073</v>
      </c>
      <c r="AR4327">
        <f>1/(COUNT('Iter No Test'!$W$9:$W$5008)-1)+$AR$4326</f>
        <v>0.86497299459886001</v>
      </c>
    </row>
    <row r="4328" spans="22:44">
      <c r="V4328">
        <v>4320</v>
      </c>
      <c r="W4328">
        <v>206.12244224792278</v>
      </c>
      <c r="AQ4328">
        <f>SMALL('Iter No Test'!$W$9:$W$5008,4326)</f>
        <v>310.72402145074773</v>
      </c>
      <c r="AR4328">
        <f>1/(COUNT('Iter No Test'!$W$9:$W$5008)-1)+$AR$4327</f>
        <v>0.86517303460686157</v>
      </c>
    </row>
    <row r="4329" spans="22:44">
      <c r="V4329">
        <v>4321</v>
      </c>
      <c r="W4329">
        <v>142.3458836751914</v>
      </c>
      <c r="AQ4329">
        <f>SMALL('Iter No Test'!$W$9:$W$5008,4327)</f>
        <v>310.85311296458917</v>
      </c>
      <c r="AR4329">
        <f>1/(COUNT('Iter No Test'!$W$9:$W$5008)-1)+$AR$4328</f>
        <v>0.86537307461486312</v>
      </c>
    </row>
    <row r="4330" spans="22:44">
      <c r="V4330">
        <v>4322</v>
      </c>
      <c r="W4330">
        <v>156.3999395247051</v>
      </c>
      <c r="AQ4330">
        <f>SMALL('Iter No Test'!$W$9:$W$5008,4328)</f>
        <v>310.86713578974445</v>
      </c>
      <c r="AR4330">
        <f>1/(COUNT('Iter No Test'!$W$9:$W$5008)-1)+$AR$4329</f>
        <v>0.86557311462286468</v>
      </c>
    </row>
    <row r="4331" spans="22:44">
      <c r="V4331">
        <v>4323</v>
      </c>
      <c r="W4331">
        <v>165.58542596268273</v>
      </c>
      <c r="AQ4331">
        <f>SMALL('Iter No Test'!$W$9:$W$5008,4329)</f>
        <v>311.07528244165678</v>
      </c>
      <c r="AR4331">
        <f>1/(COUNT('Iter No Test'!$W$9:$W$5008)-1)+$AR$4330</f>
        <v>0.86577315463086624</v>
      </c>
    </row>
    <row r="4332" spans="22:44">
      <c r="V4332">
        <v>4324</v>
      </c>
      <c r="W4332">
        <v>289.87643629330057</v>
      </c>
      <c r="AQ4332">
        <f>SMALL('Iter No Test'!$W$9:$W$5008,4330)</f>
        <v>311.08048200013877</v>
      </c>
      <c r="AR4332">
        <f>1/(COUNT('Iter No Test'!$W$9:$W$5008)-1)+$AR$4331</f>
        <v>0.86597319463886779</v>
      </c>
    </row>
    <row r="4333" spans="22:44">
      <c r="V4333">
        <v>4325</v>
      </c>
      <c r="W4333">
        <v>80.576795566156306</v>
      </c>
      <c r="AQ4333">
        <f>SMALL('Iter No Test'!$W$9:$W$5008,4331)</f>
        <v>311.17328164137075</v>
      </c>
      <c r="AR4333">
        <f>1/(COUNT('Iter No Test'!$W$9:$W$5008)-1)+$AR$4332</f>
        <v>0.86617323464686935</v>
      </c>
    </row>
    <row r="4334" spans="22:44">
      <c r="V4334">
        <v>4326</v>
      </c>
      <c r="W4334">
        <v>228.38733660864204</v>
      </c>
      <c r="AQ4334">
        <f>SMALL('Iter No Test'!$W$9:$W$5008,4332)</f>
        <v>311.32446447762453</v>
      </c>
      <c r="AR4334">
        <f>1/(COUNT('Iter No Test'!$W$9:$W$5008)-1)+$AR$4333</f>
        <v>0.86637327465487091</v>
      </c>
    </row>
    <row r="4335" spans="22:44">
      <c r="V4335">
        <v>4327</v>
      </c>
      <c r="W4335">
        <v>198.87726095647761</v>
      </c>
      <c r="AQ4335">
        <f>SMALL('Iter No Test'!$W$9:$W$5008,4333)</f>
        <v>311.34503286363292</v>
      </c>
      <c r="AR4335">
        <f>1/(COUNT('Iter No Test'!$W$9:$W$5008)-1)+$AR$4334</f>
        <v>0.86657331466287246</v>
      </c>
    </row>
    <row r="4336" spans="22:44">
      <c r="V4336">
        <v>4328</v>
      </c>
      <c r="W4336">
        <v>127.03267867391344</v>
      </c>
      <c r="AQ4336">
        <f>SMALL('Iter No Test'!$W$9:$W$5008,4334)</f>
        <v>311.56477448717828</v>
      </c>
      <c r="AR4336">
        <f>1/(COUNT('Iter No Test'!$W$9:$W$5008)-1)+$AR$4335</f>
        <v>0.86677335467087402</v>
      </c>
    </row>
    <row r="4337" spans="22:44">
      <c r="V4337">
        <v>4329</v>
      </c>
      <c r="W4337">
        <v>281.33250701202513</v>
      </c>
      <c r="AQ4337">
        <f>SMALL('Iter No Test'!$W$9:$W$5008,4335)</f>
        <v>311.60368806054896</v>
      </c>
      <c r="AR4337">
        <f>1/(COUNT('Iter No Test'!$W$9:$W$5008)-1)+$AR$4336</f>
        <v>0.86697339467887558</v>
      </c>
    </row>
    <row r="4338" spans="22:44">
      <c r="V4338">
        <v>4330</v>
      </c>
      <c r="W4338">
        <v>37.487878569466574</v>
      </c>
      <c r="AQ4338">
        <f>SMALL('Iter No Test'!$W$9:$W$5008,4336)</f>
        <v>311.68134032200987</v>
      </c>
      <c r="AR4338">
        <f>1/(COUNT('Iter No Test'!$W$9:$W$5008)-1)+$AR$4337</f>
        <v>0.86717343468687713</v>
      </c>
    </row>
    <row r="4339" spans="22:44">
      <c r="V4339">
        <v>4331</v>
      </c>
      <c r="W4339">
        <v>300.97348802478791</v>
      </c>
      <c r="AQ4339">
        <f>SMALL('Iter No Test'!$W$9:$W$5008,4337)</f>
        <v>311.73328489825616</v>
      </c>
      <c r="AR4339">
        <f>1/(COUNT('Iter No Test'!$W$9:$W$5008)-1)+$AR$4338</f>
        <v>0.86737347469487869</v>
      </c>
    </row>
    <row r="4340" spans="22:44">
      <c r="V4340">
        <v>4332</v>
      </c>
      <c r="W4340">
        <v>357.98227130377001</v>
      </c>
      <c r="AQ4340">
        <f>SMALL('Iter No Test'!$W$9:$W$5008,4338)</f>
        <v>311.74758638759647</v>
      </c>
      <c r="AR4340">
        <f>1/(COUNT('Iter No Test'!$W$9:$W$5008)-1)+$AR$4339</f>
        <v>0.86757351470288024</v>
      </c>
    </row>
    <row r="4341" spans="22:44">
      <c r="V4341">
        <v>4333</v>
      </c>
      <c r="W4341">
        <v>223.74011622289137</v>
      </c>
      <c r="AQ4341">
        <f>SMALL('Iter No Test'!$W$9:$W$5008,4339)</f>
        <v>311.77216672499208</v>
      </c>
      <c r="AR4341">
        <f>1/(COUNT('Iter No Test'!$W$9:$W$5008)-1)+$AR$4340</f>
        <v>0.8677735547108818</v>
      </c>
    </row>
    <row r="4342" spans="22:44">
      <c r="V4342">
        <v>4334</v>
      </c>
      <c r="W4342">
        <v>354.55576075839053</v>
      </c>
      <c r="AQ4342">
        <f>SMALL('Iter No Test'!$W$9:$W$5008,4340)</f>
        <v>311.82815502719461</v>
      </c>
      <c r="AR4342">
        <f>1/(COUNT('Iter No Test'!$W$9:$W$5008)-1)+$AR$4341</f>
        <v>0.86797359471888336</v>
      </c>
    </row>
    <row r="4343" spans="22:44">
      <c r="V4343">
        <v>4335</v>
      </c>
      <c r="W4343">
        <v>183.97155765372034</v>
      </c>
      <c r="AQ4343">
        <f>SMALL('Iter No Test'!$W$9:$W$5008,4341)</f>
        <v>312.00801571824661</v>
      </c>
      <c r="AR4343">
        <f>1/(COUNT('Iter No Test'!$W$9:$W$5008)-1)+$AR$4342</f>
        <v>0.86817363472688491</v>
      </c>
    </row>
    <row r="4344" spans="22:44">
      <c r="V4344">
        <v>4336</v>
      </c>
      <c r="W4344">
        <v>209.94547500971626</v>
      </c>
      <c r="AQ4344">
        <f>SMALL('Iter No Test'!$W$9:$W$5008,4342)</f>
        <v>312.02963271307681</v>
      </c>
      <c r="AR4344">
        <f>1/(COUNT('Iter No Test'!$W$9:$W$5008)-1)+$AR$4343</f>
        <v>0.86837367473488647</v>
      </c>
    </row>
    <row r="4345" spans="22:44">
      <c r="V4345">
        <v>4337</v>
      </c>
      <c r="W4345">
        <v>298.91940208893612</v>
      </c>
      <c r="AQ4345">
        <f>SMALL('Iter No Test'!$W$9:$W$5008,4343)</f>
        <v>312.05480968307774</v>
      </c>
      <c r="AR4345">
        <f>1/(COUNT('Iter No Test'!$W$9:$W$5008)-1)+$AR$4344</f>
        <v>0.86857371474288803</v>
      </c>
    </row>
    <row r="4346" spans="22:44">
      <c r="V4346">
        <v>4338</v>
      </c>
      <c r="W4346">
        <v>188.39258073697459</v>
      </c>
      <c r="AQ4346">
        <f>SMALL('Iter No Test'!$W$9:$W$5008,4344)</f>
        <v>312.14105985724825</v>
      </c>
      <c r="AR4346">
        <f>1/(COUNT('Iter No Test'!$W$9:$W$5008)-1)+$AR$4345</f>
        <v>0.86877375475088958</v>
      </c>
    </row>
    <row r="4347" spans="22:44">
      <c r="V4347">
        <v>4339</v>
      </c>
      <c r="W4347">
        <v>230.96787167597913</v>
      </c>
      <c r="AQ4347">
        <f>SMALL('Iter No Test'!$W$9:$W$5008,4345)</f>
        <v>312.22894746207407</v>
      </c>
      <c r="AR4347">
        <f>1/(COUNT('Iter No Test'!$W$9:$W$5008)-1)+$AR$4346</f>
        <v>0.86897379475889114</v>
      </c>
    </row>
    <row r="4348" spans="22:44">
      <c r="V4348">
        <v>4340</v>
      </c>
      <c r="W4348">
        <v>229.55909362762316</v>
      </c>
      <c r="AQ4348">
        <f>SMALL('Iter No Test'!$W$9:$W$5008,4346)</f>
        <v>312.45769915503473</v>
      </c>
      <c r="AR4348">
        <f>1/(COUNT('Iter No Test'!$W$9:$W$5008)-1)+$AR$4347</f>
        <v>0.86917383476689269</v>
      </c>
    </row>
    <row r="4349" spans="22:44">
      <c r="V4349">
        <v>4341</v>
      </c>
      <c r="W4349">
        <v>99.841113282789593</v>
      </c>
      <c r="AQ4349">
        <f>SMALL('Iter No Test'!$W$9:$W$5008,4347)</f>
        <v>312.5494981147055</v>
      </c>
      <c r="AR4349">
        <f>1/(COUNT('Iter No Test'!$W$9:$W$5008)-1)+$AR$4348</f>
        <v>0.86937387477489425</v>
      </c>
    </row>
    <row r="4350" spans="22:44">
      <c r="V4350">
        <v>4342</v>
      </c>
      <c r="W4350">
        <v>218.74167688833683</v>
      </c>
      <c r="AQ4350">
        <f>SMALL('Iter No Test'!$W$9:$W$5008,4348)</f>
        <v>312.54992380554148</v>
      </c>
      <c r="AR4350">
        <f>1/(COUNT('Iter No Test'!$W$9:$W$5008)-1)+$AR$4349</f>
        <v>0.86957391478289581</v>
      </c>
    </row>
    <row r="4351" spans="22:44">
      <c r="V4351">
        <v>4343</v>
      </c>
      <c r="W4351">
        <v>160.13992470890707</v>
      </c>
      <c r="AQ4351">
        <f>SMALL('Iter No Test'!$W$9:$W$5008,4349)</f>
        <v>312.56843800865715</v>
      </c>
      <c r="AR4351">
        <f>1/(COUNT('Iter No Test'!$W$9:$W$5008)-1)+$AR$4350</f>
        <v>0.86977395479089736</v>
      </c>
    </row>
    <row r="4352" spans="22:44">
      <c r="V4352">
        <v>4344</v>
      </c>
      <c r="W4352">
        <v>362.76783184124531</v>
      </c>
      <c r="AQ4352">
        <f>SMALL('Iter No Test'!$W$9:$W$5008,4350)</f>
        <v>312.57387225680992</v>
      </c>
      <c r="AR4352">
        <f>1/(COUNT('Iter No Test'!$W$9:$W$5008)-1)+$AR$4351</f>
        <v>0.86997399479889892</v>
      </c>
    </row>
    <row r="4353" spans="22:44">
      <c r="V4353">
        <v>4345</v>
      </c>
      <c r="W4353">
        <v>229.4084099639982</v>
      </c>
      <c r="AQ4353">
        <f>SMALL('Iter No Test'!$W$9:$W$5008,4351)</f>
        <v>312.59513497312184</v>
      </c>
      <c r="AR4353">
        <f>1/(COUNT('Iter No Test'!$W$9:$W$5008)-1)+$AR$4352</f>
        <v>0.87017403480690048</v>
      </c>
    </row>
    <row r="4354" spans="22:44">
      <c r="V4354">
        <v>4346</v>
      </c>
      <c r="W4354">
        <v>82.568589215502129</v>
      </c>
      <c r="AQ4354">
        <f>SMALL('Iter No Test'!$W$9:$W$5008,4352)</f>
        <v>312.64891310847935</v>
      </c>
      <c r="AR4354">
        <f>1/(COUNT('Iter No Test'!$W$9:$W$5008)-1)+$AR$4353</f>
        <v>0.87037407481490203</v>
      </c>
    </row>
    <row r="4355" spans="22:44">
      <c r="V4355">
        <v>4347</v>
      </c>
      <c r="W4355">
        <v>246.91998870740744</v>
      </c>
      <c r="AQ4355">
        <f>SMALL('Iter No Test'!$W$9:$W$5008,4353)</f>
        <v>312.79647561695629</v>
      </c>
      <c r="AR4355">
        <f>1/(COUNT('Iter No Test'!$W$9:$W$5008)-1)+$AR$4354</f>
        <v>0.87057411482290359</v>
      </c>
    </row>
    <row r="4356" spans="22:44">
      <c r="V4356">
        <v>4348</v>
      </c>
      <c r="W4356">
        <v>213.44536915858004</v>
      </c>
      <c r="AQ4356">
        <f>SMALL('Iter No Test'!$W$9:$W$5008,4354)</f>
        <v>312.80113770494893</v>
      </c>
      <c r="AR4356">
        <f>1/(COUNT('Iter No Test'!$W$9:$W$5008)-1)+$AR$4355</f>
        <v>0.87077415483090514</v>
      </c>
    </row>
    <row r="4357" spans="22:44">
      <c r="V4357">
        <v>4349</v>
      </c>
      <c r="W4357">
        <v>156.48730268573121</v>
      </c>
      <c r="AQ4357">
        <f>SMALL('Iter No Test'!$W$9:$W$5008,4355)</f>
        <v>312.80383450874376</v>
      </c>
      <c r="AR4357">
        <f>1/(COUNT('Iter No Test'!$W$9:$W$5008)-1)+$AR$4356</f>
        <v>0.8709741948389067</v>
      </c>
    </row>
    <row r="4358" spans="22:44">
      <c r="V4358">
        <v>4350</v>
      </c>
      <c r="W4358">
        <v>252.2811072396992</v>
      </c>
      <c r="AQ4358">
        <f>SMALL('Iter No Test'!$W$9:$W$5008,4356)</f>
        <v>312.97321185741191</v>
      </c>
      <c r="AR4358">
        <f>1/(COUNT('Iter No Test'!$W$9:$W$5008)-1)+$AR$4357</f>
        <v>0.87117423484690826</v>
      </c>
    </row>
    <row r="4359" spans="22:44">
      <c r="V4359">
        <v>4351</v>
      </c>
      <c r="W4359">
        <v>173.29231257880406</v>
      </c>
      <c r="AQ4359">
        <f>SMALL('Iter No Test'!$W$9:$W$5008,4357)</f>
        <v>313.20147432680784</v>
      </c>
      <c r="AR4359">
        <f>1/(COUNT('Iter No Test'!$W$9:$W$5008)-1)+$AR$4358</f>
        <v>0.87137427485490981</v>
      </c>
    </row>
    <row r="4360" spans="22:44">
      <c r="V4360">
        <v>4352</v>
      </c>
      <c r="W4360">
        <v>124.76511199103663</v>
      </c>
      <c r="AQ4360">
        <f>SMALL('Iter No Test'!$W$9:$W$5008,4358)</f>
        <v>313.23656770004266</v>
      </c>
      <c r="AR4360">
        <f>1/(COUNT('Iter No Test'!$W$9:$W$5008)-1)+$AR$4359</f>
        <v>0.87157431486291137</v>
      </c>
    </row>
    <row r="4361" spans="22:44">
      <c r="V4361">
        <v>4353</v>
      </c>
      <c r="W4361">
        <v>181.06874467518116</v>
      </c>
      <c r="AQ4361">
        <f>SMALL('Iter No Test'!$W$9:$W$5008,4359)</f>
        <v>313.28820552109397</v>
      </c>
      <c r="AR4361">
        <f>1/(COUNT('Iter No Test'!$W$9:$W$5008)-1)+$AR$4360</f>
        <v>0.87177435487091293</v>
      </c>
    </row>
    <row r="4362" spans="22:44">
      <c r="V4362">
        <v>4354</v>
      </c>
      <c r="W4362">
        <v>153.24680016464072</v>
      </c>
      <c r="AQ4362">
        <f>SMALL('Iter No Test'!$W$9:$W$5008,4360)</f>
        <v>313.30543373740181</v>
      </c>
      <c r="AR4362">
        <f>1/(COUNT('Iter No Test'!$W$9:$W$5008)-1)+$AR$4361</f>
        <v>0.87197439487891448</v>
      </c>
    </row>
    <row r="4363" spans="22:44">
      <c r="V4363">
        <v>4355</v>
      </c>
      <c r="W4363">
        <v>177.53981049913568</v>
      </c>
      <c r="AQ4363">
        <f>SMALL('Iter No Test'!$W$9:$W$5008,4361)</f>
        <v>313.33504394746262</v>
      </c>
      <c r="AR4363">
        <f>1/(COUNT('Iter No Test'!$W$9:$W$5008)-1)+$AR$4362</f>
        <v>0.87217443488691604</v>
      </c>
    </row>
    <row r="4364" spans="22:44">
      <c r="V4364">
        <v>4356</v>
      </c>
      <c r="W4364">
        <v>99.840088898076857</v>
      </c>
      <c r="AQ4364">
        <f>SMALL('Iter No Test'!$W$9:$W$5008,4362)</f>
        <v>313.3876081942326</v>
      </c>
      <c r="AR4364">
        <f>1/(COUNT('Iter No Test'!$W$9:$W$5008)-1)+$AR$4363</f>
        <v>0.8723744748949176</v>
      </c>
    </row>
    <row r="4365" spans="22:44">
      <c r="V4365">
        <v>4357</v>
      </c>
      <c r="W4365">
        <v>236.32742617096014</v>
      </c>
      <c r="AQ4365">
        <f>SMALL('Iter No Test'!$W$9:$W$5008,4363)</f>
        <v>313.41214064124301</v>
      </c>
      <c r="AR4365">
        <f>1/(COUNT('Iter No Test'!$W$9:$W$5008)-1)+$AR$4364</f>
        <v>0.87257451490291915</v>
      </c>
    </row>
    <row r="4366" spans="22:44">
      <c r="V4366">
        <v>4358</v>
      </c>
      <c r="W4366">
        <v>97.075907089253974</v>
      </c>
      <c r="AQ4366">
        <f>SMALL('Iter No Test'!$W$9:$W$5008,4364)</f>
        <v>313.44358610820711</v>
      </c>
      <c r="AR4366">
        <f>1/(COUNT('Iter No Test'!$W$9:$W$5008)-1)+$AR$4365</f>
        <v>0.87277455491092071</v>
      </c>
    </row>
    <row r="4367" spans="22:44">
      <c r="V4367">
        <v>4359</v>
      </c>
      <c r="W4367">
        <v>156.20166052728436</v>
      </c>
      <c r="AQ4367">
        <f>SMALL('Iter No Test'!$W$9:$W$5008,4365)</f>
        <v>313.551767485791</v>
      </c>
      <c r="AR4367">
        <f>1/(COUNT('Iter No Test'!$W$9:$W$5008)-1)+$AR$4366</f>
        <v>0.87297459491892226</v>
      </c>
    </row>
    <row r="4368" spans="22:44">
      <c r="V4368">
        <v>4360</v>
      </c>
      <c r="W4368">
        <v>193.38702675655941</v>
      </c>
      <c r="AQ4368">
        <f>SMALL('Iter No Test'!$W$9:$W$5008,4366)</f>
        <v>313.61633144895563</v>
      </c>
      <c r="AR4368">
        <f>1/(COUNT('Iter No Test'!$W$9:$W$5008)-1)+$AR$4367</f>
        <v>0.87317463492692382</v>
      </c>
    </row>
    <row r="4369" spans="22:44">
      <c r="V4369">
        <v>4361</v>
      </c>
      <c r="W4369">
        <v>396.57342454820514</v>
      </c>
      <c r="AQ4369">
        <f>SMALL('Iter No Test'!$W$9:$W$5008,4367)</f>
        <v>313.74771900453356</v>
      </c>
      <c r="AR4369">
        <f>1/(COUNT('Iter No Test'!$W$9:$W$5008)-1)+$AR$4368</f>
        <v>0.87337467493492538</v>
      </c>
    </row>
    <row r="4370" spans="22:44">
      <c r="V4370">
        <v>4362</v>
      </c>
      <c r="W4370">
        <v>194.41419423472655</v>
      </c>
      <c r="AQ4370">
        <f>SMALL('Iter No Test'!$W$9:$W$5008,4368)</f>
        <v>313.85436744319577</v>
      </c>
      <c r="AR4370">
        <f>1/(COUNT('Iter No Test'!$W$9:$W$5008)-1)+$AR$4369</f>
        <v>0.87357471494292693</v>
      </c>
    </row>
    <row r="4371" spans="22:44">
      <c r="V4371">
        <v>4363</v>
      </c>
      <c r="W4371">
        <v>279.11345309467151</v>
      </c>
      <c r="AQ4371">
        <f>SMALL('Iter No Test'!$W$9:$W$5008,4369)</f>
        <v>314.18519258717697</v>
      </c>
      <c r="AR4371">
        <f>1/(COUNT('Iter No Test'!$W$9:$W$5008)-1)+$AR$4370</f>
        <v>0.87377475495092849</v>
      </c>
    </row>
    <row r="4372" spans="22:44">
      <c r="V4372">
        <v>4364</v>
      </c>
      <c r="W4372">
        <v>254.52462354661952</v>
      </c>
      <c r="AQ4372">
        <f>SMALL('Iter No Test'!$W$9:$W$5008,4370)</f>
        <v>314.23269929110688</v>
      </c>
      <c r="AR4372">
        <f>1/(COUNT('Iter No Test'!$W$9:$W$5008)-1)+$AR$4371</f>
        <v>0.87397479495893005</v>
      </c>
    </row>
    <row r="4373" spans="22:44">
      <c r="V4373">
        <v>4365</v>
      </c>
      <c r="W4373">
        <v>142.4648240763874</v>
      </c>
      <c r="AQ4373">
        <f>SMALL('Iter No Test'!$W$9:$W$5008,4371)</f>
        <v>314.41920589146457</v>
      </c>
      <c r="AR4373">
        <f>1/(COUNT('Iter No Test'!$W$9:$W$5008)-1)+$AR$4372</f>
        <v>0.8741748349669316</v>
      </c>
    </row>
    <row r="4374" spans="22:44">
      <c r="V4374">
        <v>4366</v>
      </c>
      <c r="W4374">
        <v>173.23724563883115</v>
      </c>
      <c r="AQ4374">
        <f>SMALL('Iter No Test'!$W$9:$W$5008,4372)</f>
        <v>314.57896345381488</v>
      </c>
      <c r="AR4374">
        <f>1/(COUNT('Iter No Test'!$W$9:$W$5008)-1)+$AR$4373</f>
        <v>0.87437487497493316</v>
      </c>
    </row>
    <row r="4375" spans="22:44">
      <c r="V4375">
        <v>4367</v>
      </c>
      <c r="W4375">
        <v>137.08893042566459</v>
      </c>
      <c r="AQ4375">
        <f>SMALL('Iter No Test'!$W$9:$W$5008,4373)</f>
        <v>314.61877370908832</v>
      </c>
      <c r="AR4375">
        <f>1/(COUNT('Iter No Test'!$W$9:$W$5008)-1)+$AR$4374</f>
        <v>0.87457491498293471</v>
      </c>
    </row>
    <row r="4376" spans="22:44">
      <c r="V4376">
        <v>4368</v>
      </c>
      <c r="W4376">
        <v>140.64791394166735</v>
      </c>
      <c r="AQ4376">
        <f>SMALL('Iter No Test'!$W$9:$W$5008,4374)</f>
        <v>314.63446341484621</v>
      </c>
      <c r="AR4376">
        <f>1/(COUNT('Iter No Test'!$W$9:$W$5008)-1)+$AR$4375</f>
        <v>0.87477495499093627</v>
      </c>
    </row>
    <row r="4377" spans="22:44">
      <c r="V4377">
        <v>4369</v>
      </c>
      <c r="W4377">
        <v>288.68511603646243</v>
      </c>
      <c r="AQ4377">
        <f>SMALL('Iter No Test'!$W$9:$W$5008,4375)</f>
        <v>314.86143662359723</v>
      </c>
      <c r="AR4377">
        <f>1/(COUNT('Iter No Test'!$W$9:$W$5008)-1)+$AR$4376</f>
        <v>0.87497499499893783</v>
      </c>
    </row>
    <row r="4378" spans="22:44">
      <c r="V4378">
        <v>4370</v>
      </c>
      <c r="W4378">
        <v>293.94575536408479</v>
      </c>
      <c r="AQ4378">
        <f>SMALL('Iter No Test'!$W$9:$W$5008,4376)</f>
        <v>314.99094937873059</v>
      </c>
      <c r="AR4378">
        <f>1/(COUNT('Iter No Test'!$W$9:$W$5008)-1)+$AR$4377</f>
        <v>0.87517503500693938</v>
      </c>
    </row>
    <row r="4379" spans="22:44">
      <c r="V4379">
        <v>4371</v>
      </c>
      <c r="W4379">
        <v>88.052596700415918</v>
      </c>
      <c r="AQ4379">
        <f>SMALL('Iter No Test'!$W$9:$W$5008,4377)</f>
        <v>315.12112592652659</v>
      </c>
      <c r="AR4379">
        <f>1/(COUNT('Iter No Test'!$W$9:$W$5008)-1)+$AR$4378</f>
        <v>0.87537507501494094</v>
      </c>
    </row>
    <row r="4380" spans="22:44">
      <c r="V4380">
        <v>4372</v>
      </c>
      <c r="W4380">
        <v>170.53725176859695</v>
      </c>
      <c r="AQ4380">
        <f>SMALL('Iter No Test'!$W$9:$W$5008,4378)</f>
        <v>315.14490864211933</v>
      </c>
      <c r="AR4380">
        <f>1/(COUNT('Iter No Test'!$W$9:$W$5008)-1)+$AR$4379</f>
        <v>0.8755751150229425</v>
      </c>
    </row>
    <row r="4381" spans="22:44">
      <c r="V4381">
        <v>4373</v>
      </c>
      <c r="W4381">
        <v>147.13906730500918</v>
      </c>
      <c r="AQ4381">
        <f>SMALL('Iter No Test'!$W$9:$W$5008,4379)</f>
        <v>315.35416312777517</v>
      </c>
      <c r="AR4381">
        <f>1/(COUNT('Iter No Test'!$W$9:$W$5008)-1)+$AR$4380</f>
        <v>0.87577515503094405</v>
      </c>
    </row>
    <row r="4382" spans="22:44">
      <c r="V4382">
        <v>4374</v>
      </c>
      <c r="W4382">
        <v>226.40059424928057</v>
      </c>
      <c r="AQ4382">
        <f>SMALL('Iter No Test'!$W$9:$W$5008,4380)</f>
        <v>315.59725922823691</v>
      </c>
      <c r="AR4382">
        <f>1/(COUNT('Iter No Test'!$W$9:$W$5008)-1)+$AR$4381</f>
        <v>0.87597519503894561</v>
      </c>
    </row>
    <row r="4383" spans="22:44">
      <c r="V4383">
        <v>4375</v>
      </c>
      <c r="W4383">
        <v>233.40654441632495</v>
      </c>
      <c r="AQ4383">
        <f>SMALL('Iter No Test'!$W$9:$W$5008,4381)</f>
        <v>315.72531815317234</v>
      </c>
      <c r="AR4383">
        <f>1/(COUNT('Iter No Test'!$W$9:$W$5008)-1)+$AR$4382</f>
        <v>0.87617523504694717</v>
      </c>
    </row>
    <row r="4384" spans="22:44">
      <c r="V4384">
        <v>4376</v>
      </c>
      <c r="W4384">
        <v>203.92160094052991</v>
      </c>
      <c r="AQ4384">
        <f>SMALL('Iter No Test'!$W$9:$W$5008,4382)</f>
        <v>315.80480535917991</v>
      </c>
      <c r="AR4384">
        <f>1/(COUNT('Iter No Test'!$W$9:$W$5008)-1)+$AR$4383</f>
        <v>0.87637527505494872</v>
      </c>
    </row>
    <row r="4385" spans="22:44">
      <c r="V4385">
        <v>4377</v>
      </c>
      <c r="W4385">
        <v>200.72622109899862</v>
      </c>
      <c r="AQ4385">
        <f>SMALL('Iter No Test'!$W$9:$W$5008,4383)</f>
        <v>315.83967662154373</v>
      </c>
      <c r="AR4385">
        <f>1/(COUNT('Iter No Test'!$W$9:$W$5008)-1)+$AR$4384</f>
        <v>0.87657531506295028</v>
      </c>
    </row>
    <row r="4386" spans="22:44">
      <c r="V4386">
        <v>4378</v>
      </c>
      <c r="W4386">
        <v>125.21014880062852</v>
      </c>
      <c r="AQ4386">
        <f>SMALL('Iter No Test'!$W$9:$W$5008,4384)</f>
        <v>316.04334716352247</v>
      </c>
      <c r="AR4386">
        <f>1/(COUNT('Iter No Test'!$W$9:$W$5008)-1)+$AR$4385</f>
        <v>0.87677535507095183</v>
      </c>
    </row>
    <row r="4387" spans="22:44">
      <c r="V4387">
        <v>4379</v>
      </c>
      <c r="W4387">
        <v>185.79048908799447</v>
      </c>
      <c r="AQ4387">
        <f>SMALL('Iter No Test'!$W$9:$W$5008,4385)</f>
        <v>316.28408856189691</v>
      </c>
      <c r="AR4387">
        <f>1/(COUNT('Iter No Test'!$W$9:$W$5008)-1)+$AR$4386</f>
        <v>0.87697539507895339</v>
      </c>
    </row>
    <row r="4388" spans="22:44">
      <c r="V4388">
        <v>4380</v>
      </c>
      <c r="W4388">
        <v>234.28284163062182</v>
      </c>
      <c r="AQ4388">
        <f>SMALL('Iter No Test'!$W$9:$W$5008,4386)</f>
        <v>316.3115013409269</v>
      </c>
      <c r="AR4388">
        <f>1/(COUNT('Iter No Test'!$W$9:$W$5008)-1)+$AR$4387</f>
        <v>0.87717543508695495</v>
      </c>
    </row>
    <row r="4389" spans="22:44">
      <c r="V4389">
        <v>4381</v>
      </c>
      <c r="W4389">
        <v>214.17370191596393</v>
      </c>
      <c r="AQ4389">
        <f>SMALL('Iter No Test'!$W$9:$W$5008,4387)</f>
        <v>316.44737331316986</v>
      </c>
      <c r="AR4389">
        <f>1/(COUNT('Iter No Test'!$W$9:$W$5008)-1)+$AR$4388</f>
        <v>0.8773754750949565</v>
      </c>
    </row>
    <row r="4390" spans="22:44">
      <c r="V4390">
        <v>4382</v>
      </c>
      <c r="W4390">
        <v>238.5439539945589</v>
      </c>
      <c r="AQ4390">
        <f>SMALL('Iter No Test'!$W$9:$W$5008,4388)</f>
        <v>316.54176154851916</v>
      </c>
      <c r="AR4390">
        <f>1/(COUNT('Iter No Test'!$W$9:$W$5008)-1)+$AR$4389</f>
        <v>0.87757551510295806</v>
      </c>
    </row>
    <row r="4391" spans="22:44">
      <c r="V4391">
        <v>4383</v>
      </c>
      <c r="W4391">
        <v>377.8767641537562</v>
      </c>
      <c r="AQ4391">
        <f>SMALL('Iter No Test'!$W$9:$W$5008,4389)</f>
        <v>316.71440563396453</v>
      </c>
      <c r="AR4391">
        <f>1/(COUNT('Iter No Test'!$W$9:$W$5008)-1)+$AR$4390</f>
        <v>0.87777555511095962</v>
      </c>
    </row>
    <row r="4392" spans="22:44">
      <c r="V4392">
        <v>4384</v>
      </c>
      <c r="W4392">
        <v>269.77494692177135</v>
      </c>
      <c r="AQ4392">
        <f>SMALL('Iter No Test'!$W$9:$W$5008,4390)</f>
        <v>316.82524842526743</v>
      </c>
      <c r="AR4392">
        <f>1/(COUNT('Iter No Test'!$W$9:$W$5008)-1)+$AR$4391</f>
        <v>0.87797559511896117</v>
      </c>
    </row>
    <row r="4393" spans="22:44">
      <c r="V4393">
        <v>4385</v>
      </c>
      <c r="W4393">
        <v>247.90022192112122</v>
      </c>
      <c r="AQ4393">
        <f>SMALL('Iter No Test'!$W$9:$W$5008,4391)</f>
        <v>316.92814343214309</v>
      </c>
      <c r="AR4393">
        <f>1/(COUNT('Iter No Test'!$W$9:$W$5008)-1)+$AR$4392</f>
        <v>0.87817563512696273</v>
      </c>
    </row>
    <row r="4394" spans="22:44">
      <c r="V4394">
        <v>4386</v>
      </c>
      <c r="W4394">
        <v>283.15121206483428</v>
      </c>
      <c r="AQ4394">
        <f>SMALL('Iter No Test'!$W$9:$W$5008,4392)</f>
        <v>316.97647036667519</v>
      </c>
      <c r="AR4394">
        <f>1/(COUNT('Iter No Test'!$W$9:$W$5008)-1)+$AR$4393</f>
        <v>0.87837567513496428</v>
      </c>
    </row>
    <row r="4395" spans="22:44">
      <c r="V4395">
        <v>4387</v>
      </c>
      <c r="W4395">
        <v>175.03492736507752</v>
      </c>
      <c r="AQ4395">
        <f>SMALL('Iter No Test'!$W$9:$W$5008,4393)</f>
        <v>317.01748009100641</v>
      </c>
      <c r="AR4395">
        <f>1/(COUNT('Iter No Test'!$W$9:$W$5008)-1)+$AR$4394</f>
        <v>0.87857571514296584</v>
      </c>
    </row>
    <row r="4396" spans="22:44">
      <c r="V4396">
        <v>4388</v>
      </c>
      <c r="W4396">
        <v>79.447709563955527</v>
      </c>
      <c r="AQ4396">
        <f>SMALL('Iter No Test'!$W$9:$W$5008,4394)</f>
        <v>317.02741959736619</v>
      </c>
      <c r="AR4396">
        <f>1/(COUNT('Iter No Test'!$W$9:$W$5008)-1)+$AR$4395</f>
        <v>0.8787757551509674</v>
      </c>
    </row>
    <row r="4397" spans="22:44">
      <c r="V4397">
        <v>4389</v>
      </c>
      <c r="W4397">
        <v>130.07984775558873</v>
      </c>
      <c r="AQ4397">
        <f>SMALL('Iter No Test'!$W$9:$W$5008,4395)</f>
        <v>317.05122993191901</v>
      </c>
      <c r="AR4397">
        <f>1/(COUNT('Iter No Test'!$W$9:$W$5008)-1)+$AR$4396</f>
        <v>0.87897579515896895</v>
      </c>
    </row>
    <row r="4398" spans="22:44">
      <c r="V4398">
        <v>4390</v>
      </c>
      <c r="W4398">
        <v>186.98635372249205</v>
      </c>
      <c r="AQ4398">
        <f>SMALL('Iter No Test'!$W$9:$W$5008,4396)</f>
        <v>317.05468413750356</v>
      </c>
      <c r="AR4398">
        <f>1/(COUNT('Iter No Test'!$W$9:$W$5008)-1)+$AR$4397</f>
        <v>0.87917583516697051</v>
      </c>
    </row>
    <row r="4399" spans="22:44">
      <c r="V4399">
        <v>4391</v>
      </c>
      <c r="W4399">
        <v>213.56914616814962</v>
      </c>
      <c r="AQ4399">
        <f>SMALL('Iter No Test'!$W$9:$W$5008,4397)</f>
        <v>317.12964413360839</v>
      </c>
      <c r="AR4399">
        <f>1/(COUNT('Iter No Test'!$W$9:$W$5008)-1)+$AR$4398</f>
        <v>0.87937587517497207</v>
      </c>
    </row>
    <row r="4400" spans="22:44">
      <c r="V4400">
        <v>4392</v>
      </c>
      <c r="W4400">
        <v>84.031223603995784</v>
      </c>
      <c r="AQ4400">
        <f>SMALL('Iter No Test'!$W$9:$W$5008,4398)</f>
        <v>317.17890179714561</v>
      </c>
      <c r="AR4400">
        <f>1/(COUNT('Iter No Test'!$W$9:$W$5008)-1)+$AR$4399</f>
        <v>0.87957591518297362</v>
      </c>
    </row>
    <row r="4401" spans="22:44">
      <c r="V4401">
        <v>4393</v>
      </c>
      <c r="W4401">
        <v>190.07393663542416</v>
      </c>
      <c r="AQ4401">
        <f>SMALL('Iter No Test'!$W$9:$W$5008,4399)</f>
        <v>317.30907663950478</v>
      </c>
      <c r="AR4401">
        <f>1/(COUNT('Iter No Test'!$W$9:$W$5008)-1)+$AR$4400</f>
        <v>0.87977595519097518</v>
      </c>
    </row>
    <row r="4402" spans="22:44">
      <c r="V4402">
        <v>4394</v>
      </c>
      <c r="W4402">
        <v>292.23175828149573</v>
      </c>
      <c r="AQ4402">
        <f>SMALL('Iter No Test'!$W$9:$W$5008,4400)</f>
        <v>317.33196531182813</v>
      </c>
      <c r="AR4402">
        <f>1/(COUNT('Iter No Test'!$W$9:$W$5008)-1)+$AR$4401</f>
        <v>0.87997599519897673</v>
      </c>
    </row>
    <row r="4403" spans="22:44">
      <c r="V4403">
        <v>4395</v>
      </c>
      <c r="W4403">
        <v>192.79389112840471</v>
      </c>
      <c r="AQ4403">
        <f>SMALL('Iter No Test'!$W$9:$W$5008,4401)</f>
        <v>317.38384988454106</v>
      </c>
      <c r="AR4403">
        <f>1/(COUNT('Iter No Test'!$W$9:$W$5008)-1)+$AR$4402</f>
        <v>0.88017603520697829</v>
      </c>
    </row>
    <row r="4404" spans="22:44">
      <c r="V4404">
        <v>4396</v>
      </c>
      <c r="W4404">
        <v>353.53886528389279</v>
      </c>
      <c r="AQ4404">
        <f>SMALL('Iter No Test'!$W$9:$W$5008,4402)</f>
        <v>317.59250420150829</v>
      </c>
      <c r="AR4404">
        <f>1/(COUNT('Iter No Test'!$W$9:$W$5008)-1)+$AR$4403</f>
        <v>0.88037607521497985</v>
      </c>
    </row>
    <row r="4405" spans="22:44">
      <c r="V4405">
        <v>4397</v>
      </c>
      <c r="W4405">
        <v>192.32746028477877</v>
      </c>
      <c r="AQ4405">
        <f>SMALL('Iter No Test'!$W$9:$W$5008,4403)</f>
        <v>317.82204038597058</v>
      </c>
      <c r="AR4405">
        <f>1/(COUNT('Iter No Test'!$W$9:$W$5008)-1)+$AR$4404</f>
        <v>0.8805761152229814</v>
      </c>
    </row>
    <row r="4406" spans="22:44">
      <c r="V4406">
        <v>4398</v>
      </c>
      <c r="W4406">
        <v>257.0461849444747</v>
      </c>
      <c r="AQ4406">
        <f>SMALL('Iter No Test'!$W$9:$W$5008,4404)</f>
        <v>317.90982740840002</v>
      </c>
      <c r="AR4406">
        <f>1/(COUNT('Iter No Test'!$W$9:$W$5008)-1)+$AR$4405</f>
        <v>0.88077615523098296</v>
      </c>
    </row>
    <row r="4407" spans="22:44">
      <c r="V4407">
        <v>4399</v>
      </c>
      <c r="W4407">
        <v>176.90787640036794</v>
      </c>
      <c r="AQ4407">
        <f>SMALL('Iter No Test'!$W$9:$W$5008,4405)</f>
        <v>317.91920291205253</v>
      </c>
      <c r="AR4407">
        <f>1/(COUNT('Iter No Test'!$W$9:$W$5008)-1)+$AR$4406</f>
        <v>0.88097619523898452</v>
      </c>
    </row>
    <row r="4408" spans="22:44">
      <c r="V4408">
        <v>4400</v>
      </c>
      <c r="W4408">
        <v>393.36441408545755</v>
      </c>
      <c r="AQ4408">
        <f>SMALL('Iter No Test'!$W$9:$W$5008,4406)</f>
        <v>317.95230606076251</v>
      </c>
      <c r="AR4408">
        <f>1/(COUNT('Iter No Test'!$W$9:$W$5008)-1)+$AR$4407</f>
        <v>0.88117623524698607</v>
      </c>
    </row>
    <row r="4409" spans="22:44">
      <c r="V4409">
        <v>4401</v>
      </c>
      <c r="W4409">
        <v>200.25281078239868</v>
      </c>
      <c r="AQ4409">
        <f>SMALL('Iter No Test'!$W$9:$W$5008,4407)</f>
        <v>318.06944672924374</v>
      </c>
      <c r="AR4409">
        <f>1/(COUNT('Iter No Test'!$W$9:$W$5008)-1)+$AR$4408</f>
        <v>0.88137627525498763</v>
      </c>
    </row>
    <row r="4410" spans="22:44">
      <c r="V4410">
        <v>4402</v>
      </c>
      <c r="W4410">
        <v>247.18916175708432</v>
      </c>
      <c r="AQ4410">
        <f>SMALL('Iter No Test'!$W$9:$W$5008,4408)</f>
        <v>318.14029432727955</v>
      </c>
      <c r="AR4410">
        <f>1/(COUNT('Iter No Test'!$W$9:$W$5008)-1)+$AR$4409</f>
        <v>0.88157631526298919</v>
      </c>
    </row>
    <row r="4411" spans="22:44">
      <c r="V4411">
        <v>4403</v>
      </c>
      <c r="W4411">
        <v>138.90014339126051</v>
      </c>
      <c r="AQ4411">
        <f>SMALL('Iter No Test'!$W$9:$W$5008,4409)</f>
        <v>318.15667213646213</v>
      </c>
      <c r="AR4411">
        <f>1/(COUNT('Iter No Test'!$W$9:$W$5008)-1)+$AR$4410</f>
        <v>0.88177635527099074</v>
      </c>
    </row>
    <row r="4412" spans="22:44">
      <c r="V4412">
        <v>4404</v>
      </c>
      <c r="W4412">
        <v>312.80113770494893</v>
      </c>
      <c r="AQ4412">
        <f>SMALL('Iter No Test'!$W$9:$W$5008,4410)</f>
        <v>318.23428607073208</v>
      </c>
      <c r="AR4412">
        <f>1/(COUNT('Iter No Test'!$W$9:$W$5008)-1)+$AR$4411</f>
        <v>0.8819763952789923</v>
      </c>
    </row>
    <row r="4413" spans="22:44">
      <c r="V4413">
        <v>4405</v>
      </c>
      <c r="W4413">
        <v>115.5553716505798</v>
      </c>
      <c r="AQ4413">
        <f>SMALL('Iter No Test'!$W$9:$W$5008,4411)</f>
        <v>318.27089304848744</v>
      </c>
      <c r="AR4413">
        <f>1/(COUNT('Iter No Test'!$W$9:$W$5008)-1)+$AR$4412</f>
        <v>0.88217643528699385</v>
      </c>
    </row>
    <row r="4414" spans="22:44">
      <c r="V4414">
        <v>4406</v>
      </c>
      <c r="W4414">
        <v>193.18045632649731</v>
      </c>
      <c r="AQ4414">
        <f>SMALL('Iter No Test'!$W$9:$W$5008,4412)</f>
        <v>318.42477142799271</v>
      </c>
      <c r="AR4414">
        <f>1/(COUNT('Iter No Test'!$W$9:$W$5008)-1)+$AR$4413</f>
        <v>0.88237647529499541</v>
      </c>
    </row>
    <row r="4415" spans="22:44">
      <c r="V4415">
        <v>4407</v>
      </c>
      <c r="W4415">
        <v>152.41851587086512</v>
      </c>
      <c r="AQ4415">
        <f>SMALL('Iter No Test'!$W$9:$W$5008,4413)</f>
        <v>318.67810800025973</v>
      </c>
      <c r="AR4415">
        <f>1/(COUNT('Iter No Test'!$W$9:$W$5008)-1)+$AR$4414</f>
        <v>0.88257651530299697</v>
      </c>
    </row>
    <row r="4416" spans="22:44">
      <c r="V4416">
        <v>4408</v>
      </c>
      <c r="W4416">
        <v>255.85591217357234</v>
      </c>
      <c r="AQ4416">
        <f>SMALL('Iter No Test'!$W$9:$W$5008,4414)</f>
        <v>318.80832451206487</v>
      </c>
      <c r="AR4416">
        <f>1/(COUNT('Iter No Test'!$W$9:$W$5008)-1)+$AR$4415</f>
        <v>0.88277655531099852</v>
      </c>
    </row>
    <row r="4417" spans="22:44">
      <c r="V4417">
        <v>4409</v>
      </c>
      <c r="W4417">
        <v>264.87891702392091</v>
      </c>
      <c r="AQ4417">
        <f>SMALL('Iter No Test'!$W$9:$W$5008,4415)</f>
        <v>318.86056877224246</v>
      </c>
      <c r="AR4417">
        <f>1/(COUNT('Iter No Test'!$W$9:$W$5008)-1)+$AR$4416</f>
        <v>0.88297659531900008</v>
      </c>
    </row>
    <row r="4418" spans="22:44">
      <c r="V4418">
        <v>4410</v>
      </c>
      <c r="W4418">
        <v>246.03171293705179</v>
      </c>
      <c r="AQ4418">
        <f>SMALL('Iter No Test'!$W$9:$W$5008,4416)</f>
        <v>318.93961305258921</v>
      </c>
      <c r="AR4418">
        <f>1/(COUNT('Iter No Test'!$W$9:$W$5008)-1)+$AR$4417</f>
        <v>0.88317663532700164</v>
      </c>
    </row>
    <row r="4419" spans="22:44">
      <c r="V4419">
        <v>4411</v>
      </c>
      <c r="W4419">
        <v>42.433932379165583</v>
      </c>
      <c r="AQ4419">
        <f>SMALL('Iter No Test'!$W$9:$W$5008,4417)</f>
        <v>319.05563445643008</v>
      </c>
      <c r="AR4419">
        <f>1/(COUNT('Iter No Test'!$W$9:$W$5008)-1)+$AR$4418</f>
        <v>0.88337667533500319</v>
      </c>
    </row>
    <row r="4420" spans="22:44">
      <c r="V4420">
        <v>4412</v>
      </c>
      <c r="W4420">
        <v>125.7329242608802</v>
      </c>
      <c r="AQ4420">
        <f>SMALL('Iter No Test'!$W$9:$W$5008,4418)</f>
        <v>319.12084577999883</v>
      </c>
      <c r="AR4420">
        <f>1/(COUNT('Iter No Test'!$W$9:$W$5008)-1)+$AR$4419</f>
        <v>0.88357671534300475</v>
      </c>
    </row>
    <row r="4421" spans="22:44">
      <c r="V4421">
        <v>4413</v>
      </c>
      <c r="W4421">
        <v>196.92814048257324</v>
      </c>
      <c r="AQ4421">
        <f>SMALL('Iter No Test'!$W$9:$W$5008,4419)</f>
        <v>319.25320914168924</v>
      </c>
      <c r="AR4421">
        <f>1/(COUNT('Iter No Test'!$W$9:$W$5008)-1)+$AR$4420</f>
        <v>0.8837767553510063</v>
      </c>
    </row>
    <row r="4422" spans="22:44">
      <c r="V4422">
        <v>4414</v>
      </c>
      <c r="W4422">
        <v>62.463318176180536</v>
      </c>
      <c r="AQ4422">
        <f>SMALL('Iter No Test'!$W$9:$W$5008,4420)</f>
        <v>319.2839254336277</v>
      </c>
      <c r="AR4422">
        <f>1/(COUNT('Iter No Test'!$W$9:$W$5008)-1)+$AR$4421</f>
        <v>0.88397679535900786</v>
      </c>
    </row>
    <row r="4423" spans="22:44">
      <c r="V4423">
        <v>4415</v>
      </c>
      <c r="W4423">
        <v>148.04265804385187</v>
      </c>
      <c r="AQ4423">
        <f>SMALL('Iter No Test'!$W$9:$W$5008,4421)</f>
        <v>319.34821771081317</v>
      </c>
      <c r="AR4423">
        <f>1/(COUNT('Iter No Test'!$W$9:$W$5008)-1)+$AR$4422</f>
        <v>0.88417683536700942</v>
      </c>
    </row>
    <row r="4424" spans="22:44">
      <c r="V4424">
        <v>4416</v>
      </c>
      <c r="W4424">
        <v>214.88245696751551</v>
      </c>
      <c r="AQ4424">
        <f>SMALL('Iter No Test'!$W$9:$W$5008,4422)</f>
        <v>319.88300952401551</v>
      </c>
      <c r="AR4424">
        <f>1/(COUNT('Iter No Test'!$W$9:$W$5008)-1)+$AR$4423</f>
        <v>0.88437687537501097</v>
      </c>
    </row>
    <row r="4425" spans="22:44">
      <c r="V4425">
        <v>4417</v>
      </c>
      <c r="W4425">
        <v>175.06601890961426</v>
      </c>
      <c r="AQ4425">
        <f>SMALL('Iter No Test'!$W$9:$W$5008,4423)</f>
        <v>319.97160001974305</v>
      </c>
      <c r="AR4425">
        <f>1/(COUNT('Iter No Test'!$W$9:$W$5008)-1)+$AR$4424</f>
        <v>0.88457691538301253</v>
      </c>
    </row>
    <row r="4426" spans="22:44">
      <c r="V4426">
        <v>4418</v>
      </c>
      <c r="W4426">
        <v>180.03923845396383</v>
      </c>
      <c r="AQ4426">
        <f>SMALL('Iter No Test'!$W$9:$W$5008,4424)</f>
        <v>319.97176270904424</v>
      </c>
      <c r="AR4426">
        <f>1/(COUNT('Iter No Test'!$W$9:$W$5008)-1)+$AR$4425</f>
        <v>0.88477695539101409</v>
      </c>
    </row>
    <row r="4427" spans="22:44">
      <c r="V4427">
        <v>4419</v>
      </c>
      <c r="W4427">
        <v>340.25498071805225</v>
      </c>
      <c r="AQ4427">
        <f>SMALL('Iter No Test'!$W$9:$W$5008,4425)</f>
        <v>320.01042155238417</v>
      </c>
      <c r="AR4427">
        <f>1/(COUNT('Iter No Test'!$W$9:$W$5008)-1)+$AR$4426</f>
        <v>0.88497699539901564</v>
      </c>
    </row>
    <row r="4428" spans="22:44">
      <c r="V4428">
        <v>4420</v>
      </c>
      <c r="W4428">
        <v>111.50516521584032</v>
      </c>
      <c r="AQ4428">
        <f>SMALL('Iter No Test'!$W$9:$W$5008,4426)</f>
        <v>320.23179818431538</v>
      </c>
      <c r="AR4428">
        <f>1/(COUNT('Iter No Test'!$W$9:$W$5008)-1)+$AR$4427</f>
        <v>0.8851770354070172</v>
      </c>
    </row>
    <row r="4429" spans="22:44">
      <c r="V4429">
        <v>4421</v>
      </c>
      <c r="W4429">
        <v>258.71651946922395</v>
      </c>
      <c r="AQ4429">
        <f>SMALL('Iter No Test'!$W$9:$W$5008,4427)</f>
        <v>321.08248299326112</v>
      </c>
      <c r="AR4429">
        <f>1/(COUNT('Iter No Test'!$W$9:$W$5008)-1)+$AR$4428</f>
        <v>0.88537707541501875</v>
      </c>
    </row>
    <row r="4430" spans="22:44">
      <c r="V4430">
        <v>4422</v>
      </c>
      <c r="W4430">
        <v>76.235265899440719</v>
      </c>
      <c r="AQ4430">
        <f>SMALL('Iter No Test'!$W$9:$W$5008,4428)</f>
        <v>321.1022896962059</v>
      </c>
      <c r="AR4430">
        <f>1/(COUNT('Iter No Test'!$W$9:$W$5008)-1)+$AR$4429</f>
        <v>0.88557711542302031</v>
      </c>
    </row>
    <row r="4431" spans="22:44">
      <c r="V4431">
        <v>4423</v>
      </c>
      <c r="W4431">
        <v>357.06564550807076</v>
      </c>
      <c r="AQ4431">
        <f>SMALL('Iter No Test'!$W$9:$W$5008,4429)</f>
        <v>321.1290789732106</v>
      </c>
      <c r="AR4431">
        <f>1/(COUNT('Iter No Test'!$W$9:$W$5008)-1)+$AR$4430</f>
        <v>0.88577715543102187</v>
      </c>
    </row>
    <row r="4432" spans="22:44">
      <c r="V4432">
        <v>4424</v>
      </c>
      <c r="W4432">
        <v>275.07825289833255</v>
      </c>
      <c r="AQ4432">
        <f>SMALL('Iter No Test'!$W$9:$W$5008,4430)</f>
        <v>321.51657023872735</v>
      </c>
      <c r="AR4432">
        <f>1/(COUNT('Iter No Test'!$W$9:$W$5008)-1)+$AR$4431</f>
        <v>0.88597719543902342</v>
      </c>
    </row>
    <row r="4433" spans="22:44">
      <c r="V4433">
        <v>4425</v>
      </c>
      <c r="W4433">
        <v>78.127774018851511</v>
      </c>
      <c r="AQ4433">
        <f>SMALL('Iter No Test'!$W$9:$W$5008,4431)</f>
        <v>321.62802840194865</v>
      </c>
      <c r="AR4433">
        <f>1/(COUNT('Iter No Test'!$W$9:$W$5008)-1)+$AR$4432</f>
        <v>0.88617723544702498</v>
      </c>
    </row>
    <row r="4434" spans="22:44">
      <c r="V4434">
        <v>4426</v>
      </c>
      <c r="W4434">
        <v>188.36803526509686</v>
      </c>
      <c r="AQ4434">
        <f>SMALL('Iter No Test'!$W$9:$W$5008,4432)</f>
        <v>321.84346393455877</v>
      </c>
      <c r="AR4434">
        <f>1/(COUNT('Iter No Test'!$W$9:$W$5008)-1)+$AR$4433</f>
        <v>0.88637727545502654</v>
      </c>
    </row>
    <row r="4435" spans="22:44">
      <c r="V4435">
        <v>4427</v>
      </c>
      <c r="W4435">
        <v>189.73517451788393</v>
      </c>
      <c r="AQ4435">
        <f>SMALL('Iter No Test'!$W$9:$W$5008,4433)</f>
        <v>321.88913362347262</v>
      </c>
      <c r="AR4435">
        <f>1/(COUNT('Iter No Test'!$W$9:$W$5008)-1)+$AR$4434</f>
        <v>0.88657731546302809</v>
      </c>
    </row>
    <row r="4436" spans="22:44">
      <c r="V4436">
        <v>4428</v>
      </c>
      <c r="W4436">
        <v>152.13072738490314</v>
      </c>
      <c r="AQ4436">
        <f>SMALL('Iter No Test'!$W$9:$W$5008,4434)</f>
        <v>322.06220847205179</v>
      </c>
      <c r="AR4436">
        <f>1/(COUNT('Iter No Test'!$W$9:$W$5008)-1)+$AR$4435</f>
        <v>0.88677735547102965</v>
      </c>
    </row>
    <row r="4437" spans="22:44">
      <c r="V4437">
        <v>4429</v>
      </c>
      <c r="W4437">
        <v>317.02741959736619</v>
      </c>
      <c r="AQ4437">
        <f>SMALL('Iter No Test'!$W$9:$W$5008,4435)</f>
        <v>322.231394803787</v>
      </c>
      <c r="AR4437">
        <f>1/(COUNT('Iter No Test'!$W$9:$W$5008)-1)+$AR$4436</f>
        <v>0.88697739547903121</v>
      </c>
    </row>
    <row r="4438" spans="22:44">
      <c r="V4438">
        <v>4430</v>
      </c>
      <c r="W4438">
        <v>219.391388045246</v>
      </c>
      <c r="AQ4438">
        <f>SMALL('Iter No Test'!$W$9:$W$5008,4436)</f>
        <v>322.78559228539717</v>
      </c>
      <c r="AR4438">
        <f>1/(COUNT('Iter No Test'!$W$9:$W$5008)-1)+$AR$4437</f>
        <v>0.88717743548703276</v>
      </c>
    </row>
    <row r="4439" spans="22:44">
      <c r="V4439">
        <v>4431</v>
      </c>
      <c r="W4439">
        <v>244.35728180535165</v>
      </c>
      <c r="AQ4439">
        <f>SMALL('Iter No Test'!$W$9:$W$5008,4437)</f>
        <v>322.85995683223547</v>
      </c>
      <c r="AR4439">
        <f>1/(COUNT('Iter No Test'!$W$9:$W$5008)-1)+$AR$4438</f>
        <v>0.88737747549503432</v>
      </c>
    </row>
    <row r="4440" spans="22:44">
      <c r="V4440">
        <v>4432</v>
      </c>
      <c r="W4440">
        <v>116.66177414306176</v>
      </c>
      <c r="AQ4440">
        <f>SMALL('Iter No Test'!$W$9:$W$5008,4438)</f>
        <v>323.21623746259445</v>
      </c>
      <c r="AR4440">
        <f>1/(COUNT('Iter No Test'!$W$9:$W$5008)-1)+$AR$4439</f>
        <v>0.88757751550303587</v>
      </c>
    </row>
    <row r="4441" spans="22:44">
      <c r="V4441">
        <v>4433</v>
      </c>
      <c r="W4441">
        <v>87.893379928180494</v>
      </c>
      <c r="AQ4441">
        <f>SMALL('Iter No Test'!$W$9:$W$5008,4439)</f>
        <v>323.26277538559435</v>
      </c>
      <c r="AR4441">
        <f>1/(COUNT('Iter No Test'!$W$9:$W$5008)-1)+$AR$4440</f>
        <v>0.88777755551103743</v>
      </c>
    </row>
    <row r="4442" spans="22:44">
      <c r="V4442">
        <v>4434</v>
      </c>
      <c r="W4442">
        <v>331.94808792048843</v>
      </c>
      <c r="AQ4442">
        <f>SMALL('Iter No Test'!$W$9:$W$5008,4440)</f>
        <v>323.35624064888106</v>
      </c>
      <c r="AR4442">
        <f>1/(COUNT('Iter No Test'!$W$9:$W$5008)-1)+$AR$4441</f>
        <v>0.88797759551903899</v>
      </c>
    </row>
    <row r="4443" spans="22:44">
      <c r="V4443">
        <v>4435</v>
      </c>
      <c r="W4443">
        <v>248.30279766510697</v>
      </c>
      <c r="AQ4443">
        <f>SMALL('Iter No Test'!$W$9:$W$5008,4441)</f>
        <v>323.50392283548473</v>
      </c>
      <c r="AR4443">
        <f>1/(COUNT('Iter No Test'!$W$9:$W$5008)-1)+$AR$4442</f>
        <v>0.88817763552704054</v>
      </c>
    </row>
    <row r="4444" spans="22:44">
      <c r="V4444">
        <v>4436</v>
      </c>
      <c r="W4444">
        <v>287.65610370255064</v>
      </c>
      <c r="AQ4444">
        <f>SMALL('Iter No Test'!$W$9:$W$5008,4442)</f>
        <v>323.68623769766214</v>
      </c>
      <c r="AR4444">
        <f>1/(COUNT('Iter No Test'!$W$9:$W$5008)-1)+$AR$4443</f>
        <v>0.8883776755350421</v>
      </c>
    </row>
    <row r="4445" spans="22:44">
      <c r="V4445">
        <v>4437</v>
      </c>
      <c r="W4445">
        <v>105.46332134658115</v>
      </c>
      <c r="AQ4445">
        <f>SMALL('Iter No Test'!$W$9:$W$5008,4443)</f>
        <v>323.8733586561433</v>
      </c>
      <c r="AR4445">
        <f>1/(COUNT('Iter No Test'!$W$9:$W$5008)-1)+$AR$4444</f>
        <v>0.88857771554304366</v>
      </c>
    </row>
    <row r="4446" spans="22:44">
      <c r="V4446">
        <v>4438</v>
      </c>
      <c r="W4446">
        <v>189.44612758439143</v>
      </c>
      <c r="AQ4446">
        <f>SMALL('Iter No Test'!$W$9:$W$5008,4444)</f>
        <v>323.9283917497155</v>
      </c>
      <c r="AR4446">
        <f>1/(COUNT('Iter No Test'!$W$9:$W$5008)-1)+$AR$4445</f>
        <v>0.88877775555104521</v>
      </c>
    </row>
    <row r="4447" spans="22:44">
      <c r="V4447">
        <v>4439</v>
      </c>
      <c r="W4447">
        <v>268.72438750365063</v>
      </c>
      <c r="AQ4447">
        <f>SMALL('Iter No Test'!$W$9:$W$5008,4445)</f>
        <v>324.01302118893318</v>
      </c>
      <c r="AR4447">
        <f>1/(COUNT('Iter No Test'!$W$9:$W$5008)-1)+$AR$4446</f>
        <v>0.88897779555904677</v>
      </c>
    </row>
    <row r="4448" spans="22:44">
      <c r="V4448">
        <v>4440</v>
      </c>
      <c r="W4448">
        <v>81.022411501704767</v>
      </c>
      <c r="AQ4448">
        <f>SMALL('Iter No Test'!$W$9:$W$5008,4446)</f>
        <v>324.01551086317522</v>
      </c>
      <c r="AR4448">
        <f>1/(COUNT('Iter No Test'!$W$9:$W$5008)-1)+$AR$4447</f>
        <v>0.88917783556704832</v>
      </c>
    </row>
    <row r="4449" spans="22:44">
      <c r="V4449">
        <v>4441</v>
      </c>
      <c r="W4449">
        <v>193.67914685724224</v>
      </c>
      <c r="AQ4449">
        <f>SMALL('Iter No Test'!$W$9:$W$5008,4447)</f>
        <v>324.03727111160879</v>
      </c>
      <c r="AR4449">
        <f>1/(COUNT('Iter No Test'!$W$9:$W$5008)-1)+$AR$4448</f>
        <v>0.88937787557504988</v>
      </c>
    </row>
    <row r="4450" spans="22:44">
      <c r="V4450">
        <v>4442</v>
      </c>
      <c r="W4450">
        <v>311.17328164137075</v>
      </c>
      <c r="AQ4450">
        <f>SMALL('Iter No Test'!$W$9:$W$5008,4448)</f>
        <v>324.07914685168276</v>
      </c>
      <c r="AR4450">
        <f>1/(COUNT('Iter No Test'!$W$9:$W$5008)-1)+$AR$4449</f>
        <v>0.88957791558305144</v>
      </c>
    </row>
    <row r="4451" spans="22:44">
      <c r="V4451">
        <v>4443</v>
      </c>
      <c r="W4451">
        <v>277.99903471952427</v>
      </c>
      <c r="AQ4451">
        <f>SMALL('Iter No Test'!$W$9:$W$5008,4449)</f>
        <v>324.12819842001977</v>
      </c>
      <c r="AR4451">
        <f>1/(COUNT('Iter No Test'!$W$9:$W$5008)-1)+$AR$4450</f>
        <v>0.88977795559105299</v>
      </c>
    </row>
    <row r="4452" spans="22:44">
      <c r="V4452">
        <v>4444</v>
      </c>
      <c r="W4452">
        <v>59.503708534124456</v>
      </c>
      <c r="AQ4452">
        <f>SMALL('Iter No Test'!$W$9:$W$5008,4450)</f>
        <v>324.18559361052121</v>
      </c>
      <c r="AR4452">
        <f>1/(COUNT('Iter No Test'!$W$9:$W$5008)-1)+$AR$4451</f>
        <v>0.88997799559905455</v>
      </c>
    </row>
    <row r="4453" spans="22:44">
      <c r="V4453">
        <v>4445</v>
      </c>
      <c r="W4453">
        <v>185.51923191798903</v>
      </c>
      <c r="AQ4453">
        <f>SMALL('Iter No Test'!$W$9:$W$5008,4451)</f>
        <v>324.31204471421893</v>
      </c>
      <c r="AR4453">
        <f>1/(COUNT('Iter No Test'!$W$9:$W$5008)-1)+$AR$4452</f>
        <v>0.89017803560705611</v>
      </c>
    </row>
    <row r="4454" spans="22:44">
      <c r="V4454">
        <v>4446</v>
      </c>
      <c r="W4454">
        <v>135.65499408016615</v>
      </c>
      <c r="AQ4454">
        <f>SMALL('Iter No Test'!$W$9:$W$5008,4452)</f>
        <v>324.41283202910438</v>
      </c>
      <c r="AR4454">
        <f>1/(COUNT('Iter No Test'!$W$9:$W$5008)-1)+$AR$4453</f>
        <v>0.89037807561505766</v>
      </c>
    </row>
    <row r="4455" spans="22:44">
      <c r="V4455">
        <v>4447</v>
      </c>
      <c r="W4455">
        <v>216.11486150701552</v>
      </c>
      <c r="AQ4455">
        <f>SMALL('Iter No Test'!$W$9:$W$5008,4453)</f>
        <v>324.52577999481537</v>
      </c>
      <c r="AR4455">
        <f>1/(COUNT('Iter No Test'!$W$9:$W$5008)-1)+$AR$4454</f>
        <v>0.89057811562305922</v>
      </c>
    </row>
    <row r="4456" spans="22:44">
      <c r="V4456">
        <v>4448</v>
      </c>
      <c r="W4456">
        <v>333.56531721131535</v>
      </c>
      <c r="AQ4456">
        <f>SMALL('Iter No Test'!$W$9:$W$5008,4454)</f>
        <v>324.55116702410407</v>
      </c>
      <c r="AR4456">
        <f>1/(COUNT('Iter No Test'!$W$9:$W$5008)-1)+$AR$4455</f>
        <v>0.89077815563106078</v>
      </c>
    </row>
    <row r="4457" spans="22:44">
      <c r="V4457">
        <v>4449</v>
      </c>
      <c r="W4457">
        <v>172.80260804196428</v>
      </c>
      <c r="AQ4457">
        <f>SMALL('Iter No Test'!$W$9:$W$5008,4455)</f>
        <v>324.61987427979028</v>
      </c>
      <c r="AR4457">
        <f>1/(COUNT('Iter No Test'!$W$9:$W$5008)-1)+$AR$4456</f>
        <v>0.89097819563906233</v>
      </c>
    </row>
    <row r="4458" spans="22:44">
      <c r="V4458">
        <v>4450</v>
      </c>
      <c r="W4458">
        <v>116.50695640189518</v>
      </c>
      <c r="AQ4458">
        <f>SMALL('Iter No Test'!$W$9:$W$5008,4456)</f>
        <v>324.73293031261164</v>
      </c>
      <c r="AR4458">
        <f>1/(COUNT('Iter No Test'!$W$9:$W$5008)-1)+$AR$4457</f>
        <v>0.89117823564706389</v>
      </c>
    </row>
    <row r="4459" spans="22:44">
      <c r="V4459">
        <v>4451</v>
      </c>
      <c r="W4459">
        <v>371.88322660941071</v>
      </c>
      <c r="AQ4459">
        <f>SMALL('Iter No Test'!$W$9:$W$5008,4457)</f>
        <v>324.90039743019008</v>
      </c>
      <c r="AR4459">
        <f>1/(COUNT('Iter No Test'!$W$9:$W$5008)-1)+$AR$4458</f>
        <v>0.89137827565506544</v>
      </c>
    </row>
    <row r="4460" spans="22:44">
      <c r="V4460">
        <v>4452</v>
      </c>
      <c r="W4460">
        <v>208.81195249214363</v>
      </c>
      <c r="AQ4460">
        <f>SMALL('Iter No Test'!$W$9:$W$5008,4458)</f>
        <v>325.02682082898275</v>
      </c>
      <c r="AR4460">
        <f>1/(COUNT('Iter No Test'!$W$9:$W$5008)-1)+$AR$4459</f>
        <v>0.891578315663067</v>
      </c>
    </row>
    <row r="4461" spans="22:44">
      <c r="V4461">
        <v>4453</v>
      </c>
      <c r="W4461">
        <v>96.042841505063478</v>
      </c>
      <c r="AQ4461">
        <f>SMALL('Iter No Test'!$W$9:$W$5008,4459)</f>
        <v>325.10460086571368</v>
      </c>
      <c r="AR4461">
        <f>1/(COUNT('Iter No Test'!$W$9:$W$5008)-1)+$AR$4460</f>
        <v>0.89177835567106856</v>
      </c>
    </row>
    <row r="4462" spans="22:44">
      <c r="V4462">
        <v>4454</v>
      </c>
      <c r="W4462">
        <v>236.13880930151885</v>
      </c>
      <c r="AQ4462">
        <f>SMALL('Iter No Test'!$W$9:$W$5008,4460)</f>
        <v>325.11769989657353</v>
      </c>
      <c r="AR4462">
        <f>1/(COUNT('Iter No Test'!$W$9:$W$5008)-1)+$AR$4461</f>
        <v>0.89197839567907011</v>
      </c>
    </row>
    <row r="4463" spans="22:44">
      <c r="V4463">
        <v>4455</v>
      </c>
      <c r="W4463">
        <v>263.07642989392548</v>
      </c>
      <c r="AQ4463">
        <f>SMALL('Iter No Test'!$W$9:$W$5008,4461)</f>
        <v>325.14299886365404</v>
      </c>
      <c r="AR4463">
        <f>1/(COUNT('Iter No Test'!$W$9:$W$5008)-1)+$AR$4462</f>
        <v>0.89217843568707167</v>
      </c>
    </row>
    <row r="4464" spans="22:44">
      <c r="V4464">
        <v>4456</v>
      </c>
      <c r="W4464">
        <v>293.95281306271863</v>
      </c>
      <c r="AQ4464">
        <f>SMALL('Iter No Test'!$W$9:$W$5008,4462)</f>
        <v>325.18702431573467</v>
      </c>
      <c r="AR4464">
        <f>1/(COUNT('Iter No Test'!$W$9:$W$5008)-1)+$AR$4463</f>
        <v>0.89237847569507323</v>
      </c>
    </row>
    <row r="4465" spans="22:44">
      <c r="V4465">
        <v>4457</v>
      </c>
      <c r="W4465">
        <v>122.88252310411504</v>
      </c>
      <c r="AQ4465">
        <f>SMALL('Iter No Test'!$W$9:$W$5008,4463)</f>
        <v>325.33551371394896</v>
      </c>
      <c r="AR4465">
        <f>1/(COUNT('Iter No Test'!$W$9:$W$5008)-1)+$AR$4464</f>
        <v>0.89257851570307478</v>
      </c>
    </row>
    <row r="4466" spans="22:44">
      <c r="V4466">
        <v>4458</v>
      </c>
      <c r="W4466">
        <v>319.97176270904424</v>
      </c>
      <c r="AQ4466">
        <f>SMALL('Iter No Test'!$W$9:$W$5008,4464)</f>
        <v>325.37359065862842</v>
      </c>
      <c r="AR4466">
        <f>1/(COUNT('Iter No Test'!$W$9:$W$5008)-1)+$AR$4465</f>
        <v>0.89277855571107634</v>
      </c>
    </row>
    <row r="4467" spans="22:44">
      <c r="V4467">
        <v>4459</v>
      </c>
      <c r="W4467">
        <v>130.20437021322564</v>
      </c>
      <c r="AQ4467">
        <f>SMALL('Iter No Test'!$W$9:$W$5008,4465)</f>
        <v>325.37673293541843</v>
      </c>
      <c r="AR4467">
        <f>1/(COUNT('Iter No Test'!$W$9:$W$5008)-1)+$AR$4466</f>
        <v>0.89297859571907789</v>
      </c>
    </row>
    <row r="4468" spans="22:44">
      <c r="V4468">
        <v>4460</v>
      </c>
      <c r="W4468">
        <v>206.19330505633482</v>
      </c>
      <c r="AQ4468">
        <f>SMALL('Iter No Test'!$W$9:$W$5008,4466)</f>
        <v>325.45135414275933</v>
      </c>
      <c r="AR4468">
        <f>1/(COUNT('Iter No Test'!$W$9:$W$5008)-1)+$AR$4467</f>
        <v>0.89317863572707945</v>
      </c>
    </row>
    <row r="4469" spans="22:44">
      <c r="V4469">
        <v>4461</v>
      </c>
      <c r="W4469">
        <v>194.03003377763713</v>
      </c>
      <c r="AQ4469">
        <f>SMALL('Iter No Test'!$W$9:$W$5008,4467)</f>
        <v>325.45863196300877</v>
      </c>
      <c r="AR4469">
        <f>1/(COUNT('Iter No Test'!$W$9:$W$5008)-1)+$AR$4468</f>
        <v>0.89337867573508101</v>
      </c>
    </row>
    <row r="4470" spans="22:44">
      <c r="V4470">
        <v>4462</v>
      </c>
      <c r="W4470">
        <v>175.6733216986178</v>
      </c>
      <c r="AQ4470">
        <f>SMALL('Iter No Test'!$W$9:$W$5008,4468)</f>
        <v>325.59401805194079</v>
      </c>
      <c r="AR4470">
        <f>1/(COUNT('Iter No Test'!$W$9:$W$5008)-1)+$AR$4469</f>
        <v>0.89357871574308256</v>
      </c>
    </row>
    <row r="4471" spans="22:44">
      <c r="V4471">
        <v>4463</v>
      </c>
      <c r="W4471">
        <v>207.19213678236312</v>
      </c>
      <c r="AQ4471">
        <f>SMALL('Iter No Test'!$W$9:$W$5008,4469)</f>
        <v>325.72289987113811</v>
      </c>
      <c r="AR4471">
        <f>1/(COUNT('Iter No Test'!$W$9:$W$5008)-1)+$AR$4470</f>
        <v>0.89377875575108412</v>
      </c>
    </row>
    <row r="4472" spans="22:44">
      <c r="V4472">
        <v>4464</v>
      </c>
      <c r="W4472">
        <v>172.99103240164743</v>
      </c>
      <c r="AQ4472">
        <f>SMALL('Iter No Test'!$W$9:$W$5008,4470)</f>
        <v>325.76191161257054</v>
      </c>
      <c r="AR4472">
        <f>1/(COUNT('Iter No Test'!$W$9:$W$5008)-1)+$AR$4471</f>
        <v>0.89397879575908568</v>
      </c>
    </row>
    <row r="4473" spans="22:44">
      <c r="V4473">
        <v>4465</v>
      </c>
      <c r="W4473">
        <v>280.59562891458518</v>
      </c>
      <c r="AQ4473">
        <f>SMALL('Iter No Test'!$W$9:$W$5008,4471)</f>
        <v>325.7819768310174</v>
      </c>
      <c r="AR4473">
        <f>1/(COUNT('Iter No Test'!$W$9:$W$5008)-1)+$AR$4472</f>
        <v>0.89417883576708723</v>
      </c>
    </row>
    <row r="4474" spans="22:44">
      <c r="V4474">
        <v>4466</v>
      </c>
      <c r="W4474">
        <v>327.98366971692536</v>
      </c>
      <c r="AQ4474">
        <f>SMALL('Iter No Test'!$W$9:$W$5008,4472)</f>
        <v>325.90560001822109</v>
      </c>
      <c r="AR4474">
        <f>1/(COUNT('Iter No Test'!$W$9:$W$5008)-1)+$AR$4473</f>
        <v>0.89437887577508879</v>
      </c>
    </row>
    <row r="4475" spans="22:44">
      <c r="V4475">
        <v>4467</v>
      </c>
      <c r="W4475">
        <v>250.19852485186303</v>
      </c>
      <c r="AQ4475">
        <f>SMALL('Iter No Test'!$W$9:$W$5008,4473)</f>
        <v>325.94560466975338</v>
      </c>
      <c r="AR4475">
        <f>1/(COUNT('Iter No Test'!$W$9:$W$5008)-1)+$AR$4474</f>
        <v>0.89457891578309034</v>
      </c>
    </row>
    <row r="4476" spans="22:44">
      <c r="V4476">
        <v>4468</v>
      </c>
      <c r="W4476">
        <v>16.572561340708461</v>
      </c>
      <c r="AQ4476">
        <f>SMALL('Iter No Test'!$W$9:$W$5008,4474)</f>
        <v>326.14383070116014</v>
      </c>
      <c r="AR4476">
        <f>1/(COUNT('Iter No Test'!$W$9:$W$5008)-1)+$AR$4475</f>
        <v>0.8947789557910919</v>
      </c>
    </row>
    <row r="4477" spans="22:44">
      <c r="V4477">
        <v>4469</v>
      </c>
      <c r="W4477">
        <v>244.29459784690303</v>
      </c>
      <c r="AQ4477">
        <f>SMALL('Iter No Test'!$W$9:$W$5008,4475)</f>
        <v>326.34700259271244</v>
      </c>
      <c r="AR4477">
        <f>1/(COUNT('Iter No Test'!$W$9:$W$5008)-1)+$AR$4476</f>
        <v>0.89497899579909346</v>
      </c>
    </row>
    <row r="4478" spans="22:44">
      <c r="V4478">
        <v>4470</v>
      </c>
      <c r="W4478">
        <v>80.231445056373673</v>
      </c>
      <c r="AQ4478">
        <f>SMALL('Iter No Test'!$W$9:$W$5008,4476)</f>
        <v>326.47876085625671</v>
      </c>
      <c r="AR4478">
        <f>1/(COUNT('Iter No Test'!$W$9:$W$5008)-1)+$AR$4477</f>
        <v>0.89517903580709501</v>
      </c>
    </row>
    <row r="4479" spans="22:44">
      <c r="V4479">
        <v>4471</v>
      </c>
      <c r="W4479">
        <v>221.57838296501109</v>
      </c>
      <c r="AQ4479">
        <f>SMALL('Iter No Test'!$W$9:$W$5008,4477)</f>
        <v>326.75386499775345</v>
      </c>
      <c r="AR4479">
        <f>1/(COUNT('Iter No Test'!$W$9:$W$5008)-1)+$AR$4478</f>
        <v>0.89537907581509657</v>
      </c>
    </row>
    <row r="4480" spans="22:44">
      <c r="V4480">
        <v>4472</v>
      </c>
      <c r="W4480">
        <v>260.14721035697789</v>
      </c>
      <c r="AQ4480">
        <f>SMALL('Iter No Test'!$W$9:$W$5008,4478)</f>
        <v>326.75402981982205</v>
      </c>
      <c r="AR4480">
        <f>1/(COUNT('Iter No Test'!$W$9:$W$5008)-1)+$AR$4479</f>
        <v>0.89557911582309813</v>
      </c>
    </row>
    <row r="4481" spans="22:44">
      <c r="V4481">
        <v>4473</v>
      </c>
      <c r="W4481">
        <v>204.29737280307495</v>
      </c>
      <c r="AQ4481">
        <f>SMALL('Iter No Test'!$W$9:$W$5008,4479)</f>
        <v>326.93402168223258</v>
      </c>
      <c r="AR4481">
        <f>1/(COUNT('Iter No Test'!$W$9:$W$5008)-1)+$AR$4480</f>
        <v>0.89577915583109968</v>
      </c>
    </row>
    <row r="4482" spans="22:44">
      <c r="V4482">
        <v>4474</v>
      </c>
      <c r="W4482">
        <v>327.62080896275245</v>
      </c>
      <c r="AQ4482">
        <f>SMALL('Iter No Test'!$W$9:$W$5008,4480)</f>
        <v>326.96970291074228</v>
      </c>
      <c r="AR4482">
        <f>1/(COUNT('Iter No Test'!$W$9:$W$5008)-1)+$AR$4481</f>
        <v>0.89597919583910124</v>
      </c>
    </row>
    <row r="4483" spans="22:44">
      <c r="V4483">
        <v>4475</v>
      </c>
      <c r="W4483">
        <v>156.04074298298232</v>
      </c>
      <c r="AQ4483">
        <f>SMALL('Iter No Test'!$W$9:$W$5008,4481)</f>
        <v>327.01965607011715</v>
      </c>
      <c r="AR4483">
        <f>1/(COUNT('Iter No Test'!$W$9:$W$5008)-1)+$AR$4482</f>
        <v>0.8961792358471028</v>
      </c>
    </row>
    <row r="4484" spans="22:44">
      <c r="V4484">
        <v>4476</v>
      </c>
      <c r="W4484">
        <v>217.63733420547621</v>
      </c>
      <c r="AQ4484">
        <f>SMALL('Iter No Test'!$W$9:$W$5008,4482)</f>
        <v>327.42131371652295</v>
      </c>
      <c r="AR4484">
        <f>1/(COUNT('Iter No Test'!$W$9:$W$5008)-1)+$AR$4483</f>
        <v>0.89637927585510435</v>
      </c>
    </row>
    <row r="4485" spans="22:44">
      <c r="V4485">
        <v>4477</v>
      </c>
      <c r="W4485">
        <v>300.43776197365059</v>
      </c>
      <c r="AQ4485">
        <f>SMALL('Iter No Test'!$W$9:$W$5008,4483)</f>
        <v>327.57740870435833</v>
      </c>
      <c r="AR4485">
        <f>1/(COUNT('Iter No Test'!$W$9:$W$5008)-1)+$AR$4484</f>
        <v>0.89657931586310591</v>
      </c>
    </row>
    <row r="4486" spans="22:44">
      <c r="V4486">
        <v>4478</v>
      </c>
      <c r="W4486">
        <v>83.573354969458833</v>
      </c>
      <c r="AQ4486">
        <f>SMALL('Iter No Test'!$W$9:$W$5008,4484)</f>
        <v>327.62080896275245</v>
      </c>
      <c r="AR4486">
        <f>1/(COUNT('Iter No Test'!$W$9:$W$5008)-1)+$AR$4485</f>
        <v>0.89677935587110746</v>
      </c>
    </row>
    <row r="4487" spans="22:44">
      <c r="V4487">
        <v>4479</v>
      </c>
      <c r="W4487">
        <v>298.8550976577734</v>
      </c>
      <c r="AQ4487">
        <f>SMALL('Iter No Test'!$W$9:$W$5008,4485)</f>
        <v>327.72905661138032</v>
      </c>
      <c r="AR4487">
        <f>1/(COUNT('Iter No Test'!$W$9:$W$5008)-1)+$AR$4486</f>
        <v>0.89697939587910902</v>
      </c>
    </row>
    <row r="4488" spans="22:44">
      <c r="V4488">
        <v>4480</v>
      </c>
      <c r="W4488">
        <v>186.38410752643546</v>
      </c>
      <c r="AQ4488">
        <f>SMALL('Iter No Test'!$W$9:$W$5008,4486)</f>
        <v>327.74356149796154</v>
      </c>
      <c r="AR4488">
        <f>1/(COUNT('Iter No Test'!$W$9:$W$5008)-1)+$AR$4487</f>
        <v>0.89717943588711058</v>
      </c>
    </row>
    <row r="4489" spans="22:44">
      <c r="V4489">
        <v>4481</v>
      </c>
      <c r="W4489">
        <v>89.994739775330601</v>
      </c>
      <c r="AQ4489">
        <f>SMALL('Iter No Test'!$W$9:$W$5008,4487)</f>
        <v>327.98366971692536</v>
      </c>
      <c r="AR4489">
        <f>1/(COUNT('Iter No Test'!$W$9:$W$5008)-1)+$AR$4488</f>
        <v>0.89737947589511213</v>
      </c>
    </row>
    <row r="4490" spans="22:44">
      <c r="V4490">
        <v>4482</v>
      </c>
      <c r="W4490">
        <v>80.237003644753827</v>
      </c>
      <c r="AQ4490">
        <f>SMALL('Iter No Test'!$W$9:$W$5008,4488)</f>
        <v>328.03724289063121</v>
      </c>
      <c r="AR4490">
        <f>1/(COUNT('Iter No Test'!$W$9:$W$5008)-1)+$AR$4489</f>
        <v>0.89757951590311369</v>
      </c>
    </row>
    <row r="4491" spans="22:44">
      <c r="V4491">
        <v>4483</v>
      </c>
      <c r="W4491">
        <v>226.35012103873345</v>
      </c>
      <c r="AQ4491">
        <f>SMALL('Iter No Test'!$W$9:$W$5008,4489)</f>
        <v>328.12266146297867</v>
      </c>
      <c r="AR4491">
        <f>1/(COUNT('Iter No Test'!$W$9:$W$5008)-1)+$AR$4490</f>
        <v>0.89777955591111525</v>
      </c>
    </row>
    <row r="4492" spans="22:44">
      <c r="V4492">
        <v>4484</v>
      </c>
      <c r="W4492">
        <v>98.456106493740194</v>
      </c>
      <c r="AQ4492">
        <f>SMALL('Iter No Test'!$W$9:$W$5008,4490)</f>
        <v>328.29875073128284</v>
      </c>
      <c r="AR4492">
        <f>1/(COUNT('Iter No Test'!$W$9:$W$5008)-1)+$AR$4491</f>
        <v>0.8979795959191168</v>
      </c>
    </row>
    <row r="4493" spans="22:44">
      <c r="V4493">
        <v>4485</v>
      </c>
      <c r="W4493">
        <v>222.89263339783804</v>
      </c>
      <c r="AQ4493">
        <f>SMALL('Iter No Test'!$W$9:$W$5008,4491)</f>
        <v>328.31133028507702</v>
      </c>
      <c r="AR4493">
        <f>1/(COUNT('Iter No Test'!$W$9:$W$5008)-1)+$AR$4492</f>
        <v>0.89817963592711836</v>
      </c>
    </row>
    <row r="4494" spans="22:44">
      <c r="V4494">
        <v>4486</v>
      </c>
      <c r="W4494">
        <v>350.28755244922587</v>
      </c>
      <c r="AQ4494">
        <f>SMALL('Iter No Test'!$W$9:$W$5008,4492)</f>
        <v>328.51954937837411</v>
      </c>
      <c r="AR4494">
        <f>1/(COUNT('Iter No Test'!$W$9:$W$5008)-1)+$AR$4493</f>
        <v>0.89837967593511991</v>
      </c>
    </row>
    <row r="4495" spans="22:44">
      <c r="V4495">
        <v>4487</v>
      </c>
      <c r="W4495">
        <v>182.02032354281238</v>
      </c>
      <c r="AQ4495">
        <f>SMALL('Iter No Test'!$W$9:$W$5008,4493)</f>
        <v>328.59480347506218</v>
      </c>
      <c r="AR4495">
        <f>1/(COUNT('Iter No Test'!$W$9:$W$5008)-1)+$AR$4494</f>
        <v>0.89857971594312147</v>
      </c>
    </row>
    <row r="4496" spans="22:44">
      <c r="V4496">
        <v>4488</v>
      </c>
      <c r="W4496">
        <v>258.45639703615717</v>
      </c>
      <c r="AQ4496">
        <f>SMALL('Iter No Test'!$W$9:$W$5008,4494)</f>
        <v>328.59655343828206</v>
      </c>
      <c r="AR4496">
        <f>1/(COUNT('Iter No Test'!$W$9:$W$5008)-1)+$AR$4495</f>
        <v>0.89877975595112303</v>
      </c>
    </row>
    <row r="4497" spans="22:44">
      <c r="V4497">
        <v>4489</v>
      </c>
      <c r="W4497">
        <v>220.79720025407801</v>
      </c>
      <c r="AQ4497">
        <f>SMALL('Iter No Test'!$W$9:$W$5008,4495)</f>
        <v>328.61056116515238</v>
      </c>
      <c r="AR4497">
        <f>1/(COUNT('Iter No Test'!$W$9:$W$5008)-1)+$AR$4496</f>
        <v>0.89897979595912458</v>
      </c>
    </row>
    <row r="4498" spans="22:44">
      <c r="V4498">
        <v>4490</v>
      </c>
      <c r="W4498">
        <v>201.19529287894721</v>
      </c>
      <c r="AQ4498">
        <f>SMALL('Iter No Test'!$W$9:$W$5008,4496)</f>
        <v>328.63127066638145</v>
      </c>
      <c r="AR4498">
        <f>1/(COUNT('Iter No Test'!$W$9:$W$5008)-1)+$AR$4497</f>
        <v>0.89917983596712614</v>
      </c>
    </row>
    <row r="4499" spans="22:44">
      <c r="V4499">
        <v>4491</v>
      </c>
      <c r="W4499">
        <v>380.35936863923837</v>
      </c>
      <c r="AQ4499">
        <f>SMALL('Iter No Test'!$W$9:$W$5008,4497)</f>
        <v>329.0194605725103</v>
      </c>
      <c r="AR4499">
        <f>1/(COUNT('Iter No Test'!$W$9:$W$5008)-1)+$AR$4498</f>
        <v>0.8993798759751277</v>
      </c>
    </row>
    <row r="4500" spans="22:44">
      <c r="V4500">
        <v>4492</v>
      </c>
      <c r="W4500">
        <v>348.8108708308207</v>
      </c>
      <c r="AQ4500">
        <f>SMALL('Iter No Test'!$W$9:$W$5008,4498)</f>
        <v>329.10179834837254</v>
      </c>
      <c r="AR4500">
        <f>1/(COUNT('Iter No Test'!$W$9:$W$5008)-1)+$AR$4499</f>
        <v>0.89957991598312925</v>
      </c>
    </row>
    <row r="4501" spans="22:44">
      <c r="V4501">
        <v>4493</v>
      </c>
      <c r="W4501">
        <v>142.43613161312891</v>
      </c>
      <c r="AQ4501">
        <f>SMALL('Iter No Test'!$W$9:$W$5008,4499)</f>
        <v>329.14296816694338</v>
      </c>
      <c r="AR4501">
        <f>1/(COUNT('Iter No Test'!$W$9:$W$5008)-1)+$AR$4500</f>
        <v>0.89977995599113081</v>
      </c>
    </row>
    <row r="4502" spans="22:44">
      <c r="V4502">
        <v>4494</v>
      </c>
      <c r="W4502">
        <v>167.84832992253686</v>
      </c>
      <c r="AQ4502">
        <f>SMALL('Iter No Test'!$W$9:$W$5008,4500)</f>
        <v>329.34673980650393</v>
      </c>
      <c r="AR4502">
        <f>1/(COUNT('Iter No Test'!$W$9:$W$5008)-1)+$AR$4501</f>
        <v>0.89997999599913237</v>
      </c>
    </row>
    <row r="4503" spans="22:44">
      <c r="V4503">
        <v>4495</v>
      </c>
      <c r="W4503">
        <v>83.841192098319539</v>
      </c>
      <c r="AQ4503">
        <f>SMALL('Iter No Test'!$W$9:$W$5008,4501)</f>
        <v>329.38778693138863</v>
      </c>
      <c r="AR4503">
        <f>1/(COUNT('Iter No Test'!$W$9:$W$5008)-1)+$AR$4502</f>
        <v>0.90018003600713392</v>
      </c>
    </row>
    <row r="4504" spans="22:44">
      <c r="V4504">
        <v>4496</v>
      </c>
      <c r="W4504">
        <v>194.55584060203466</v>
      </c>
      <c r="AQ4504">
        <f>SMALL('Iter No Test'!$W$9:$W$5008,4502)</f>
        <v>329.47532523492936</v>
      </c>
      <c r="AR4504">
        <f>1/(COUNT('Iter No Test'!$W$9:$W$5008)-1)+$AR$4503</f>
        <v>0.90038007601513548</v>
      </c>
    </row>
    <row r="4505" spans="22:44">
      <c r="V4505">
        <v>4497</v>
      </c>
      <c r="W4505">
        <v>317.12964413360839</v>
      </c>
      <c r="AQ4505">
        <f>SMALL('Iter No Test'!$W$9:$W$5008,4503)</f>
        <v>329.60579525570637</v>
      </c>
      <c r="AR4505">
        <f>1/(COUNT('Iter No Test'!$W$9:$W$5008)-1)+$AR$4504</f>
        <v>0.90058011602313703</v>
      </c>
    </row>
    <row r="4506" spans="22:44">
      <c r="V4506">
        <v>4498</v>
      </c>
      <c r="W4506">
        <v>242.47973988872059</v>
      </c>
      <c r="AQ4506">
        <f>SMALL('Iter No Test'!$W$9:$W$5008,4504)</f>
        <v>329.65085923427125</v>
      </c>
      <c r="AR4506">
        <f>1/(COUNT('Iter No Test'!$W$9:$W$5008)-1)+$AR$4505</f>
        <v>0.90078015603113859</v>
      </c>
    </row>
    <row r="4507" spans="22:44">
      <c r="V4507">
        <v>4499</v>
      </c>
      <c r="W4507">
        <v>407.85728017499497</v>
      </c>
      <c r="AQ4507">
        <f>SMALL('Iter No Test'!$W$9:$W$5008,4505)</f>
        <v>329.79241363126994</v>
      </c>
      <c r="AR4507">
        <f>1/(COUNT('Iter No Test'!$W$9:$W$5008)-1)+$AR$4506</f>
        <v>0.90098019603914015</v>
      </c>
    </row>
    <row r="4508" spans="22:44">
      <c r="V4508">
        <v>4500</v>
      </c>
      <c r="W4508">
        <v>205.17957949462016</v>
      </c>
      <c r="AQ4508">
        <f>SMALL('Iter No Test'!$W$9:$W$5008,4506)</f>
        <v>329.83014160818891</v>
      </c>
      <c r="AR4508">
        <f>1/(COUNT('Iter No Test'!$W$9:$W$5008)-1)+$AR$4507</f>
        <v>0.9011802360471417</v>
      </c>
    </row>
    <row r="4509" spans="22:44">
      <c r="V4509">
        <v>4501</v>
      </c>
      <c r="W4509">
        <v>237.12938577491417</v>
      </c>
      <c r="AQ4509">
        <f>SMALL('Iter No Test'!$W$9:$W$5008,4507)</f>
        <v>329.84947527816325</v>
      </c>
      <c r="AR4509">
        <f>1/(COUNT('Iter No Test'!$W$9:$W$5008)-1)+$AR$4508</f>
        <v>0.90138027605514326</v>
      </c>
    </row>
    <row r="4510" spans="22:44">
      <c r="V4510">
        <v>4502</v>
      </c>
      <c r="W4510">
        <v>343.84849677022578</v>
      </c>
      <c r="AQ4510">
        <f>SMALL('Iter No Test'!$W$9:$W$5008,4508)</f>
        <v>329.86110787429322</v>
      </c>
      <c r="AR4510">
        <f>1/(COUNT('Iter No Test'!$W$9:$W$5008)-1)+$AR$4509</f>
        <v>0.90158031606314482</v>
      </c>
    </row>
    <row r="4511" spans="22:44">
      <c r="V4511">
        <v>4503</v>
      </c>
      <c r="W4511">
        <v>140.63032181727482</v>
      </c>
      <c r="AQ4511">
        <f>SMALL('Iter No Test'!$W$9:$W$5008,4509)</f>
        <v>329.96862126914618</v>
      </c>
      <c r="AR4511">
        <f>1/(COUNT('Iter No Test'!$W$9:$W$5008)-1)+$AR$4510</f>
        <v>0.90178035607114637</v>
      </c>
    </row>
    <row r="4512" spans="22:44">
      <c r="V4512">
        <v>4504</v>
      </c>
      <c r="W4512">
        <v>229.39040666467164</v>
      </c>
      <c r="AQ4512">
        <f>SMALL('Iter No Test'!$W$9:$W$5008,4510)</f>
        <v>330.02828379813013</v>
      </c>
      <c r="AR4512">
        <f>1/(COUNT('Iter No Test'!$W$9:$W$5008)-1)+$AR$4511</f>
        <v>0.90198039607914793</v>
      </c>
    </row>
    <row r="4513" spans="22:44">
      <c r="V4513">
        <v>4505</v>
      </c>
      <c r="W4513">
        <v>168.52703952233537</v>
      </c>
      <c r="AQ4513">
        <f>SMALL('Iter No Test'!$W$9:$W$5008,4511)</f>
        <v>330.27491404279704</v>
      </c>
      <c r="AR4513">
        <f>1/(COUNT('Iter No Test'!$W$9:$W$5008)-1)+$AR$4512</f>
        <v>0.90218043608714948</v>
      </c>
    </row>
    <row r="4514" spans="22:44">
      <c r="V4514">
        <v>4506</v>
      </c>
      <c r="W4514">
        <v>190.6927213807061</v>
      </c>
      <c r="AQ4514">
        <f>SMALL('Iter No Test'!$W$9:$W$5008,4512)</f>
        <v>330.31818901914824</v>
      </c>
      <c r="AR4514">
        <f>1/(COUNT('Iter No Test'!$W$9:$W$5008)-1)+$AR$4513</f>
        <v>0.90238047609515104</v>
      </c>
    </row>
    <row r="4515" spans="22:44">
      <c r="V4515">
        <v>4507</v>
      </c>
      <c r="W4515">
        <v>312.5494981147055</v>
      </c>
      <c r="AQ4515">
        <f>SMALL('Iter No Test'!$W$9:$W$5008,4513)</f>
        <v>330.48667093768279</v>
      </c>
      <c r="AR4515">
        <f>1/(COUNT('Iter No Test'!$W$9:$W$5008)-1)+$AR$4514</f>
        <v>0.9025805161031526</v>
      </c>
    </row>
    <row r="4516" spans="22:44">
      <c r="V4516">
        <v>4508</v>
      </c>
      <c r="W4516">
        <v>230.7519284900394</v>
      </c>
      <c r="AQ4516">
        <f>SMALL('Iter No Test'!$W$9:$W$5008,4514)</f>
        <v>330.52201575439653</v>
      </c>
      <c r="AR4516">
        <f>1/(COUNT('Iter No Test'!$W$9:$W$5008)-1)+$AR$4515</f>
        <v>0.90278055611115415</v>
      </c>
    </row>
    <row r="4517" spans="22:44">
      <c r="V4517">
        <v>4509</v>
      </c>
      <c r="W4517">
        <v>234.92276506996492</v>
      </c>
      <c r="AQ4517">
        <f>SMALL('Iter No Test'!$W$9:$W$5008,4515)</f>
        <v>330.97313531809516</v>
      </c>
      <c r="AR4517">
        <f>1/(COUNT('Iter No Test'!$W$9:$W$5008)-1)+$AR$4516</f>
        <v>0.90298059611915571</v>
      </c>
    </row>
    <row r="4518" spans="22:44">
      <c r="V4518">
        <v>4510</v>
      </c>
      <c r="W4518">
        <v>179.50887679137591</v>
      </c>
      <c r="AQ4518">
        <f>SMALL('Iter No Test'!$W$9:$W$5008,4516)</f>
        <v>330.99223492665453</v>
      </c>
      <c r="AR4518">
        <f>1/(COUNT('Iter No Test'!$W$9:$W$5008)-1)+$AR$4517</f>
        <v>0.90318063612715727</v>
      </c>
    </row>
    <row r="4519" spans="22:44">
      <c r="V4519">
        <v>4511</v>
      </c>
      <c r="W4519">
        <v>156.63763325954002</v>
      </c>
      <c r="AQ4519">
        <f>SMALL('Iter No Test'!$W$9:$W$5008,4517)</f>
        <v>331.0694678690752</v>
      </c>
      <c r="AR4519">
        <f>1/(COUNT('Iter No Test'!$W$9:$W$5008)-1)+$AR$4518</f>
        <v>0.90338067613515882</v>
      </c>
    </row>
    <row r="4520" spans="22:44">
      <c r="V4520">
        <v>4512</v>
      </c>
      <c r="W4520">
        <v>124.3289085579501</v>
      </c>
      <c r="AQ4520">
        <f>SMALL('Iter No Test'!$W$9:$W$5008,4518)</f>
        <v>331.09033253924042</v>
      </c>
      <c r="AR4520">
        <f>1/(COUNT('Iter No Test'!$W$9:$W$5008)-1)+$AR$4519</f>
        <v>0.90358071614316038</v>
      </c>
    </row>
    <row r="4521" spans="22:44">
      <c r="V4521">
        <v>4513</v>
      </c>
      <c r="W4521">
        <v>279.159037673699</v>
      </c>
      <c r="AQ4521">
        <f>SMALL('Iter No Test'!$W$9:$W$5008,4519)</f>
        <v>331.19326147140634</v>
      </c>
      <c r="AR4521">
        <f>1/(COUNT('Iter No Test'!$W$9:$W$5008)-1)+$AR$4520</f>
        <v>0.90378075615116193</v>
      </c>
    </row>
    <row r="4522" spans="22:44">
      <c r="V4522">
        <v>4514</v>
      </c>
      <c r="W4522">
        <v>314.57896345381488</v>
      </c>
      <c r="AQ4522">
        <f>SMALL('Iter No Test'!$W$9:$W$5008,4520)</f>
        <v>331.25705981250076</v>
      </c>
      <c r="AR4522">
        <f>1/(COUNT('Iter No Test'!$W$9:$W$5008)-1)+$AR$4521</f>
        <v>0.90398079615916349</v>
      </c>
    </row>
    <row r="4523" spans="22:44">
      <c r="V4523">
        <v>4515</v>
      </c>
      <c r="W4523">
        <v>181.61823239269577</v>
      </c>
      <c r="AQ4523">
        <f>SMALL('Iter No Test'!$W$9:$W$5008,4521)</f>
        <v>331.45673962197532</v>
      </c>
      <c r="AR4523">
        <f>1/(COUNT('Iter No Test'!$W$9:$W$5008)-1)+$AR$4522</f>
        <v>0.90418083616716505</v>
      </c>
    </row>
    <row r="4524" spans="22:44">
      <c r="V4524">
        <v>4516</v>
      </c>
      <c r="W4524">
        <v>284.32027789045247</v>
      </c>
      <c r="AQ4524">
        <f>SMALL('Iter No Test'!$W$9:$W$5008,4522)</f>
        <v>331.48295781279046</v>
      </c>
      <c r="AR4524">
        <f>1/(COUNT('Iter No Test'!$W$9:$W$5008)-1)+$AR$4523</f>
        <v>0.9043808761751666</v>
      </c>
    </row>
    <row r="4525" spans="22:44">
      <c r="V4525">
        <v>4517</v>
      </c>
      <c r="W4525">
        <v>233.51070410339898</v>
      </c>
      <c r="AQ4525">
        <f>SMALL('Iter No Test'!$W$9:$W$5008,4523)</f>
        <v>331.62331532289579</v>
      </c>
      <c r="AR4525">
        <f>1/(COUNT('Iter No Test'!$W$9:$W$5008)-1)+$AR$4524</f>
        <v>0.90458091618316816</v>
      </c>
    </row>
    <row r="4526" spans="22:44">
      <c r="V4526">
        <v>4518</v>
      </c>
      <c r="W4526">
        <v>211.10857127798948</v>
      </c>
      <c r="AQ4526">
        <f>SMALL('Iter No Test'!$W$9:$W$5008,4524)</f>
        <v>331.88012738606415</v>
      </c>
      <c r="AR4526">
        <f>1/(COUNT('Iter No Test'!$W$9:$W$5008)-1)+$AR$4525</f>
        <v>0.90478095619116972</v>
      </c>
    </row>
    <row r="4527" spans="22:44">
      <c r="V4527">
        <v>4519</v>
      </c>
      <c r="W4527">
        <v>433.86994841994931</v>
      </c>
      <c r="AQ4527">
        <f>SMALL('Iter No Test'!$W$9:$W$5008,4525)</f>
        <v>331.94808792048843</v>
      </c>
      <c r="AR4527">
        <f>1/(COUNT('Iter No Test'!$W$9:$W$5008)-1)+$AR$4526</f>
        <v>0.90498099619917127</v>
      </c>
    </row>
    <row r="4528" spans="22:44">
      <c r="V4528">
        <v>4520</v>
      </c>
      <c r="W4528">
        <v>258.92392022011347</v>
      </c>
      <c r="AQ4528">
        <f>SMALL('Iter No Test'!$W$9:$W$5008,4526)</f>
        <v>332.14468819537615</v>
      </c>
      <c r="AR4528">
        <f>1/(COUNT('Iter No Test'!$W$9:$W$5008)-1)+$AR$4527</f>
        <v>0.90518103620717283</v>
      </c>
    </row>
    <row r="4529" spans="22:44">
      <c r="V4529">
        <v>4521</v>
      </c>
      <c r="W4529">
        <v>238.16191158784508</v>
      </c>
      <c r="AQ4529">
        <f>SMALL('Iter No Test'!$W$9:$W$5008,4527)</f>
        <v>332.29513247487046</v>
      </c>
      <c r="AR4529">
        <f>1/(COUNT('Iter No Test'!$W$9:$W$5008)-1)+$AR$4528</f>
        <v>0.90538107621517439</v>
      </c>
    </row>
    <row r="4530" spans="22:44">
      <c r="V4530">
        <v>4522</v>
      </c>
      <c r="W4530">
        <v>239.82683448825708</v>
      </c>
      <c r="AQ4530">
        <f>SMALL('Iter No Test'!$W$9:$W$5008,4528)</f>
        <v>332.31719570300385</v>
      </c>
      <c r="AR4530">
        <f>1/(COUNT('Iter No Test'!$W$9:$W$5008)-1)+$AR$4529</f>
        <v>0.90558111622317594</v>
      </c>
    </row>
    <row r="4531" spans="22:44">
      <c r="V4531">
        <v>4523</v>
      </c>
      <c r="W4531">
        <v>106.5247142594711</v>
      </c>
      <c r="AQ4531">
        <f>SMALL('Iter No Test'!$W$9:$W$5008,4529)</f>
        <v>332.48799179236062</v>
      </c>
      <c r="AR4531">
        <f>1/(COUNT('Iter No Test'!$W$9:$W$5008)-1)+$AR$4530</f>
        <v>0.9057811562311775</v>
      </c>
    </row>
    <row r="4532" spans="22:44">
      <c r="V4532">
        <v>4524</v>
      </c>
      <c r="W4532">
        <v>283.80766226043801</v>
      </c>
      <c r="AQ4532">
        <f>SMALL('Iter No Test'!$W$9:$W$5008,4530)</f>
        <v>332.51296763722655</v>
      </c>
      <c r="AR4532">
        <f>1/(COUNT('Iter No Test'!$W$9:$W$5008)-1)+$AR$4531</f>
        <v>0.90598119623917905</v>
      </c>
    </row>
    <row r="4533" spans="22:44">
      <c r="V4533">
        <v>4525</v>
      </c>
      <c r="W4533">
        <v>141.10000203916692</v>
      </c>
      <c r="AQ4533">
        <f>SMALL('Iter No Test'!$W$9:$W$5008,4531)</f>
        <v>332.57536077796385</v>
      </c>
      <c r="AR4533">
        <f>1/(COUNT('Iter No Test'!$W$9:$W$5008)-1)+$AR$4532</f>
        <v>0.90618123624718061</v>
      </c>
    </row>
    <row r="4534" spans="22:44">
      <c r="V4534">
        <v>4526</v>
      </c>
      <c r="W4534">
        <v>190.57435983933487</v>
      </c>
      <c r="AQ4534">
        <f>SMALL('Iter No Test'!$W$9:$W$5008,4532)</f>
        <v>332.68303890067239</v>
      </c>
      <c r="AR4534">
        <f>1/(COUNT('Iter No Test'!$W$9:$W$5008)-1)+$AR$4533</f>
        <v>0.90638127625518217</v>
      </c>
    </row>
    <row r="4535" spans="22:44">
      <c r="V4535">
        <v>4527</v>
      </c>
      <c r="W4535">
        <v>456.87934657736321</v>
      </c>
      <c r="AQ4535">
        <f>SMALL('Iter No Test'!$W$9:$W$5008,4533)</f>
        <v>332.85287750171528</v>
      </c>
      <c r="AR4535">
        <f>1/(COUNT('Iter No Test'!$W$9:$W$5008)-1)+$AR$4534</f>
        <v>0.90658131626318372</v>
      </c>
    </row>
    <row r="4536" spans="22:44">
      <c r="V4536">
        <v>4528</v>
      </c>
      <c r="W4536">
        <v>132.963599083041</v>
      </c>
      <c r="AQ4536">
        <f>SMALL('Iter No Test'!$W$9:$W$5008,4534)</f>
        <v>333.01277665806776</v>
      </c>
      <c r="AR4536">
        <f>1/(COUNT('Iter No Test'!$W$9:$W$5008)-1)+$AR$4535</f>
        <v>0.90678135627118528</v>
      </c>
    </row>
    <row r="4537" spans="22:44">
      <c r="V4537">
        <v>4529</v>
      </c>
      <c r="W4537">
        <v>149.75132040521237</v>
      </c>
      <c r="AQ4537">
        <f>SMALL('Iter No Test'!$W$9:$W$5008,4535)</f>
        <v>333.06166241910495</v>
      </c>
      <c r="AR4537">
        <f>1/(COUNT('Iter No Test'!$W$9:$W$5008)-1)+$AR$4536</f>
        <v>0.90698139627918684</v>
      </c>
    </row>
    <row r="4538" spans="22:44">
      <c r="V4538">
        <v>4530</v>
      </c>
      <c r="W4538">
        <v>69.654593072621935</v>
      </c>
      <c r="AQ4538">
        <f>SMALL('Iter No Test'!$W$9:$W$5008,4536)</f>
        <v>333.25042529323349</v>
      </c>
      <c r="AR4538">
        <f>1/(COUNT('Iter No Test'!$W$9:$W$5008)-1)+$AR$4537</f>
        <v>0.90718143628718839</v>
      </c>
    </row>
    <row r="4539" spans="22:44">
      <c r="V4539">
        <v>4531</v>
      </c>
      <c r="W4539">
        <v>170.19934757555356</v>
      </c>
      <c r="AQ4539">
        <f>SMALL('Iter No Test'!$W$9:$W$5008,4537)</f>
        <v>333.49803403802821</v>
      </c>
      <c r="AR4539">
        <f>1/(COUNT('Iter No Test'!$W$9:$W$5008)-1)+$AR$4538</f>
        <v>0.90738147629518995</v>
      </c>
    </row>
    <row r="4540" spans="22:44">
      <c r="V4540">
        <v>4532</v>
      </c>
      <c r="W4540">
        <v>199.90939409466486</v>
      </c>
      <c r="AQ4540">
        <f>SMALL('Iter No Test'!$W$9:$W$5008,4538)</f>
        <v>333.5127651015938</v>
      </c>
      <c r="AR4540">
        <f>1/(COUNT('Iter No Test'!$W$9:$W$5008)-1)+$AR$4539</f>
        <v>0.9075815163031915</v>
      </c>
    </row>
    <row r="4541" spans="22:44">
      <c r="V4541">
        <v>4533</v>
      </c>
      <c r="W4541">
        <v>278.09795142915249</v>
      </c>
      <c r="AQ4541">
        <f>SMALL('Iter No Test'!$W$9:$W$5008,4539)</f>
        <v>333.54550527725996</v>
      </c>
      <c r="AR4541">
        <f>1/(COUNT('Iter No Test'!$W$9:$W$5008)-1)+$AR$4540</f>
        <v>0.90778155631119306</v>
      </c>
    </row>
    <row r="4542" spans="22:44">
      <c r="V4542">
        <v>4534</v>
      </c>
      <c r="W4542">
        <v>379.51732093900978</v>
      </c>
      <c r="AQ4542">
        <f>SMALL('Iter No Test'!$W$9:$W$5008,4540)</f>
        <v>333.56531721131535</v>
      </c>
      <c r="AR4542">
        <f>1/(COUNT('Iter No Test'!$W$9:$W$5008)-1)+$AR$4541</f>
        <v>0.90798159631919462</v>
      </c>
    </row>
    <row r="4543" spans="22:44">
      <c r="V4543">
        <v>4535</v>
      </c>
      <c r="W4543">
        <v>55.120707557525577</v>
      </c>
      <c r="AQ4543">
        <f>SMALL('Iter No Test'!$W$9:$W$5008,4541)</f>
        <v>333.59550793136475</v>
      </c>
      <c r="AR4543">
        <f>1/(COUNT('Iter No Test'!$W$9:$W$5008)-1)+$AR$4542</f>
        <v>0.90818163632719617</v>
      </c>
    </row>
    <row r="4544" spans="22:44">
      <c r="V4544">
        <v>4536</v>
      </c>
      <c r="W4544">
        <v>213.65994743346835</v>
      </c>
      <c r="AQ4544">
        <f>SMALL('Iter No Test'!$W$9:$W$5008,4542)</f>
        <v>333.68805770693012</v>
      </c>
      <c r="AR4544">
        <f>1/(COUNT('Iter No Test'!$W$9:$W$5008)-1)+$AR$4543</f>
        <v>0.90838167633519773</v>
      </c>
    </row>
    <row r="4545" spans="22:44">
      <c r="V4545">
        <v>4537</v>
      </c>
      <c r="W4545">
        <v>149.35274852431573</v>
      </c>
      <c r="AQ4545">
        <f>SMALL('Iter No Test'!$W$9:$W$5008,4543)</f>
        <v>333.84430066389581</v>
      </c>
      <c r="AR4545">
        <f>1/(COUNT('Iter No Test'!$W$9:$W$5008)-1)+$AR$4544</f>
        <v>0.90858171634319929</v>
      </c>
    </row>
    <row r="4546" spans="22:44">
      <c r="V4546">
        <v>4538</v>
      </c>
      <c r="W4546">
        <v>82.431444168171808</v>
      </c>
      <c r="AQ4546">
        <f>SMALL('Iter No Test'!$W$9:$W$5008,4544)</f>
        <v>333.99094301977948</v>
      </c>
      <c r="AR4546">
        <f>1/(COUNT('Iter No Test'!$W$9:$W$5008)-1)+$AR$4545</f>
        <v>0.90878175635120084</v>
      </c>
    </row>
    <row r="4547" spans="22:44">
      <c r="V4547">
        <v>4539</v>
      </c>
      <c r="W4547">
        <v>260.35183561026531</v>
      </c>
      <c r="AQ4547">
        <f>SMALL('Iter No Test'!$W$9:$W$5008,4545)</f>
        <v>334.01938301979283</v>
      </c>
      <c r="AR4547">
        <f>1/(COUNT('Iter No Test'!$W$9:$W$5008)-1)+$AR$4546</f>
        <v>0.9089817963592024</v>
      </c>
    </row>
    <row r="4548" spans="22:44">
      <c r="V4548">
        <v>4540</v>
      </c>
      <c r="W4548">
        <v>284.42207021140268</v>
      </c>
      <c r="AQ4548">
        <f>SMALL('Iter No Test'!$W$9:$W$5008,4546)</f>
        <v>334.08033555734352</v>
      </c>
      <c r="AR4548">
        <f>1/(COUNT('Iter No Test'!$W$9:$W$5008)-1)+$AR$4547</f>
        <v>0.90918183636720395</v>
      </c>
    </row>
    <row r="4549" spans="22:44">
      <c r="V4549">
        <v>4541</v>
      </c>
      <c r="W4549">
        <v>203.25454390183336</v>
      </c>
      <c r="AQ4549">
        <f>SMALL('Iter No Test'!$W$9:$W$5008,4547)</f>
        <v>334.09821437302594</v>
      </c>
      <c r="AR4549">
        <f>1/(COUNT('Iter No Test'!$W$9:$W$5008)-1)+$AR$4548</f>
        <v>0.90938187637520551</v>
      </c>
    </row>
    <row r="4550" spans="22:44">
      <c r="V4550">
        <v>4542</v>
      </c>
      <c r="W4550">
        <v>157.1011756306138</v>
      </c>
      <c r="AQ4550">
        <f>SMALL('Iter No Test'!$W$9:$W$5008,4548)</f>
        <v>334.3310911999464</v>
      </c>
      <c r="AR4550">
        <f>1/(COUNT('Iter No Test'!$W$9:$W$5008)-1)+$AR$4549</f>
        <v>0.90958191638320707</v>
      </c>
    </row>
    <row r="4551" spans="22:44">
      <c r="V4551">
        <v>4543</v>
      </c>
      <c r="W4551">
        <v>164.6547206112192</v>
      </c>
      <c r="AQ4551">
        <f>SMALL('Iter No Test'!$W$9:$W$5008,4549)</f>
        <v>334.33828773073918</v>
      </c>
      <c r="AR4551">
        <f>1/(COUNT('Iter No Test'!$W$9:$W$5008)-1)+$AR$4550</f>
        <v>0.90978195639120862</v>
      </c>
    </row>
    <row r="4552" spans="22:44">
      <c r="V4552">
        <v>4544</v>
      </c>
      <c r="W4552">
        <v>366.67044366563721</v>
      </c>
      <c r="AQ4552">
        <f>SMALL('Iter No Test'!$W$9:$W$5008,4550)</f>
        <v>334.37251352826007</v>
      </c>
      <c r="AR4552">
        <f>1/(COUNT('Iter No Test'!$W$9:$W$5008)-1)+$AR$4551</f>
        <v>0.90998199639921018</v>
      </c>
    </row>
    <row r="4553" spans="22:44">
      <c r="V4553">
        <v>4545</v>
      </c>
      <c r="W4553">
        <v>166.46399410809323</v>
      </c>
      <c r="AQ4553">
        <f>SMALL('Iter No Test'!$W$9:$W$5008,4551)</f>
        <v>334.46051805902766</v>
      </c>
      <c r="AR4553">
        <f>1/(COUNT('Iter No Test'!$W$9:$W$5008)-1)+$AR$4552</f>
        <v>0.91018203640721174</v>
      </c>
    </row>
    <row r="4554" spans="22:44">
      <c r="V4554">
        <v>4546</v>
      </c>
      <c r="W4554">
        <v>177.60064354944927</v>
      </c>
      <c r="AQ4554">
        <f>SMALL('Iter No Test'!$W$9:$W$5008,4552)</f>
        <v>334.53194618314751</v>
      </c>
      <c r="AR4554">
        <f>1/(COUNT('Iter No Test'!$W$9:$W$5008)-1)+$AR$4553</f>
        <v>0.91038207641521329</v>
      </c>
    </row>
    <row r="4555" spans="22:44">
      <c r="V4555">
        <v>4547</v>
      </c>
      <c r="W4555">
        <v>182.2187686828965</v>
      </c>
      <c r="AQ4555">
        <f>SMALL('Iter No Test'!$W$9:$W$5008,4553)</f>
        <v>334.61226188349553</v>
      </c>
      <c r="AR4555">
        <f>1/(COUNT('Iter No Test'!$W$9:$W$5008)-1)+$AR$4554</f>
        <v>0.91058211642321485</v>
      </c>
    </row>
    <row r="4556" spans="22:44">
      <c r="V4556">
        <v>4548</v>
      </c>
      <c r="W4556">
        <v>228.64117565425852</v>
      </c>
      <c r="AQ4556">
        <f>SMALL('Iter No Test'!$W$9:$W$5008,4554)</f>
        <v>334.68694192199007</v>
      </c>
      <c r="AR4556">
        <f>1/(COUNT('Iter No Test'!$W$9:$W$5008)-1)+$AR$4555</f>
        <v>0.91078215643121641</v>
      </c>
    </row>
    <row r="4557" spans="22:44">
      <c r="V4557">
        <v>4549</v>
      </c>
      <c r="W4557">
        <v>153.91725559954233</v>
      </c>
      <c r="AQ4557">
        <f>SMALL('Iter No Test'!$W$9:$W$5008,4555)</f>
        <v>334.93253433604616</v>
      </c>
      <c r="AR4557">
        <f>1/(COUNT('Iter No Test'!$W$9:$W$5008)-1)+$AR$4556</f>
        <v>0.91098219643921796</v>
      </c>
    </row>
    <row r="4558" spans="22:44">
      <c r="V4558">
        <v>4550</v>
      </c>
      <c r="W4558">
        <v>262.84481704893346</v>
      </c>
      <c r="AQ4558">
        <f>SMALL('Iter No Test'!$W$9:$W$5008,4556)</f>
        <v>334.98495883951148</v>
      </c>
      <c r="AR4558">
        <f>1/(COUNT('Iter No Test'!$W$9:$W$5008)-1)+$AR$4557</f>
        <v>0.91118223644721952</v>
      </c>
    </row>
    <row r="4559" spans="22:44">
      <c r="V4559">
        <v>4551</v>
      </c>
      <c r="W4559">
        <v>299.89908954673422</v>
      </c>
      <c r="AQ4559">
        <f>SMALL('Iter No Test'!$W$9:$W$5008,4557)</f>
        <v>335.14472310059875</v>
      </c>
      <c r="AR4559">
        <f>1/(COUNT('Iter No Test'!$W$9:$W$5008)-1)+$AR$4558</f>
        <v>0.91138227645522107</v>
      </c>
    </row>
    <row r="4560" spans="22:44">
      <c r="V4560">
        <v>4552</v>
      </c>
      <c r="W4560">
        <v>175.2792501315613</v>
      </c>
      <c r="AQ4560">
        <f>SMALL('Iter No Test'!$W$9:$W$5008,4558)</f>
        <v>335.14793516682698</v>
      </c>
      <c r="AR4560">
        <f>1/(COUNT('Iter No Test'!$W$9:$W$5008)-1)+$AR$4559</f>
        <v>0.91158231646322263</v>
      </c>
    </row>
    <row r="4561" spans="22:44">
      <c r="V4561">
        <v>4553</v>
      </c>
      <c r="W4561">
        <v>147.54416757362139</v>
      </c>
      <c r="AQ4561">
        <f>SMALL('Iter No Test'!$W$9:$W$5008,4559)</f>
        <v>335.2549049859424</v>
      </c>
      <c r="AR4561">
        <f>1/(COUNT('Iter No Test'!$W$9:$W$5008)-1)+$AR$4560</f>
        <v>0.91178235647122419</v>
      </c>
    </row>
    <row r="4562" spans="22:44">
      <c r="V4562">
        <v>4554</v>
      </c>
      <c r="W4562">
        <v>214.30657467685919</v>
      </c>
      <c r="AQ4562">
        <f>SMALL('Iter No Test'!$W$9:$W$5008,4560)</f>
        <v>335.7090677042612</v>
      </c>
      <c r="AR4562">
        <f>1/(COUNT('Iter No Test'!$W$9:$W$5008)-1)+$AR$4561</f>
        <v>0.91198239647922574</v>
      </c>
    </row>
    <row r="4563" spans="22:44">
      <c r="V4563">
        <v>4555</v>
      </c>
      <c r="W4563">
        <v>127.16681142758677</v>
      </c>
      <c r="AQ4563">
        <f>SMALL('Iter No Test'!$W$9:$W$5008,4561)</f>
        <v>335.71223617844146</v>
      </c>
      <c r="AR4563">
        <f>1/(COUNT('Iter No Test'!$W$9:$W$5008)-1)+$AR$4562</f>
        <v>0.9121824364872273</v>
      </c>
    </row>
    <row r="4564" spans="22:44">
      <c r="V4564">
        <v>4556</v>
      </c>
      <c r="W4564">
        <v>294.85113887286889</v>
      </c>
      <c r="AQ4564">
        <f>SMALL('Iter No Test'!$W$9:$W$5008,4562)</f>
        <v>335.93420258477806</v>
      </c>
      <c r="AR4564">
        <f>1/(COUNT('Iter No Test'!$W$9:$W$5008)-1)+$AR$4563</f>
        <v>0.91238247649522886</v>
      </c>
    </row>
    <row r="4565" spans="22:44">
      <c r="V4565">
        <v>4557</v>
      </c>
      <c r="W4565">
        <v>208.39441659561746</v>
      </c>
      <c r="AQ4565">
        <f>SMALL('Iter No Test'!$W$9:$W$5008,4563)</f>
        <v>336.12735172698694</v>
      </c>
      <c r="AR4565">
        <f>1/(COUNT('Iter No Test'!$W$9:$W$5008)-1)+$AR$4564</f>
        <v>0.91258251650323041</v>
      </c>
    </row>
    <row r="4566" spans="22:44">
      <c r="V4566">
        <v>4558</v>
      </c>
      <c r="W4566">
        <v>144.73838747523689</v>
      </c>
      <c r="AQ4566">
        <f>SMALL('Iter No Test'!$W$9:$W$5008,4564)</f>
        <v>336.1975978101313</v>
      </c>
      <c r="AR4566">
        <f>1/(COUNT('Iter No Test'!$W$9:$W$5008)-1)+$AR$4565</f>
        <v>0.91278255651123197</v>
      </c>
    </row>
    <row r="4567" spans="22:44">
      <c r="V4567">
        <v>4559</v>
      </c>
      <c r="W4567">
        <v>164.08556920576598</v>
      </c>
      <c r="AQ4567">
        <f>SMALL('Iter No Test'!$W$9:$W$5008,4565)</f>
        <v>336.5429929141709</v>
      </c>
      <c r="AR4567">
        <f>1/(COUNT('Iter No Test'!$W$9:$W$5008)-1)+$AR$4566</f>
        <v>0.91298259651923352</v>
      </c>
    </row>
    <row r="4568" spans="22:44">
      <c r="V4568">
        <v>4560</v>
      </c>
      <c r="W4568">
        <v>241.66499868241942</v>
      </c>
      <c r="AQ4568">
        <f>SMALL('Iter No Test'!$W$9:$W$5008,4566)</f>
        <v>336.63668837759138</v>
      </c>
      <c r="AR4568">
        <f>1/(COUNT('Iter No Test'!$W$9:$W$5008)-1)+$AR$4567</f>
        <v>0.91318263652723508</v>
      </c>
    </row>
    <row r="4569" spans="22:44">
      <c r="V4569">
        <v>4561</v>
      </c>
      <c r="W4569">
        <v>213.96851367063218</v>
      </c>
      <c r="AQ4569">
        <f>SMALL('Iter No Test'!$W$9:$W$5008,4567)</f>
        <v>336.78041477840145</v>
      </c>
      <c r="AR4569">
        <f>1/(COUNT('Iter No Test'!$W$9:$W$5008)-1)+$AR$4568</f>
        <v>0.91338267653523664</v>
      </c>
    </row>
    <row r="4570" spans="22:44">
      <c r="V4570">
        <v>4562</v>
      </c>
      <c r="W4570">
        <v>270.96212848039409</v>
      </c>
      <c r="AQ4570">
        <f>SMALL('Iter No Test'!$W$9:$W$5008,4568)</f>
        <v>337.15514099723021</v>
      </c>
      <c r="AR4570">
        <f>1/(COUNT('Iter No Test'!$W$9:$W$5008)-1)+$AR$4569</f>
        <v>0.91358271654323819</v>
      </c>
    </row>
    <row r="4571" spans="22:44">
      <c r="V4571">
        <v>4563</v>
      </c>
      <c r="W4571">
        <v>302.48629476759402</v>
      </c>
      <c r="AQ4571">
        <f>SMALL('Iter No Test'!$W$9:$W$5008,4569)</f>
        <v>337.17991148777344</v>
      </c>
      <c r="AR4571">
        <f>1/(COUNT('Iter No Test'!$W$9:$W$5008)-1)+$AR$4570</f>
        <v>0.91378275655123975</v>
      </c>
    </row>
    <row r="4572" spans="22:44">
      <c r="V4572">
        <v>4564</v>
      </c>
      <c r="W4572">
        <v>256.63504484940978</v>
      </c>
      <c r="AQ4572">
        <f>SMALL('Iter No Test'!$W$9:$W$5008,4570)</f>
        <v>337.61114431921357</v>
      </c>
      <c r="AR4572">
        <f>1/(COUNT('Iter No Test'!$W$9:$W$5008)-1)+$AR$4571</f>
        <v>0.91398279655924131</v>
      </c>
    </row>
    <row r="4573" spans="22:44">
      <c r="V4573">
        <v>4565</v>
      </c>
      <c r="W4573">
        <v>246.26673822306023</v>
      </c>
      <c r="AQ4573">
        <f>SMALL('Iter No Test'!$W$9:$W$5008,4571)</f>
        <v>337.68534730343652</v>
      </c>
      <c r="AR4573">
        <f>1/(COUNT('Iter No Test'!$W$9:$W$5008)-1)+$AR$4572</f>
        <v>0.91418283656724286</v>
      </c>
    </row>
    <row r="4574" spans="22:44">
      <c r="V4574">
        <v>4566</v>
      </c>
      <c r="W4574">
        <v>133.55196231526071</v>
      </c>
      <c r="AQ4574">
        <f>SMALL('Iter No Test'!$W$9:$W$5008,4572)</f>
        <v>338.09436598583261</v>
      </c>
      <c r="AR4574">
        <f>1/(COUNT('Iter No Test'!$W$9:$W$5008)-1)+$AR$4573</f>
        <v>0.91438287657524442</v>
      </c>
    </row>
    <row r="4575" spans="22:44">
      <c r="V4575">
        <v>4567</v>
      </c>
      <c r="W4575">
        <v>126.94687667716126</v>
      </c>
      <c r="AQ4575">
        <f>SMALL('Iter No Test'!$W$9:$W$5008,4573)</f>
        <v>338.14348627040408</v>
      </c>
      <c r="AR4575">
        <f>1/(COUNT('Iter No Test'!$W$9:$W$5008)-1)+$AR$4574</f>
        <v>0.91458291658324598</v>
      </c>
    </row>
    <row r="4576" spans="22:44">
      <c r="V4576">
        <v>4568</v>
      </c>
      <c r="W4576">
        <v>290.99431559503751</v>
      </c>
      <c r="AQ4576">
        <f>SMALL('Iter No Test'!$W$9:$W$5008,4574)</f>
        <v>338.24993735539465</v>
      </c>
      <c r="AR4576">
        <f>1/(COUNT('Iter No Test'!$W$9:$W$5008)-1)+$AR$4575</f>
        <v>0.91478295659124753</v>
      </c>
    </row>
    <row r="4577" spans="22:44">
      <c r="V4577">
        <v>4569</v>
      </c>
      <c r="W4577">
        <v>157.98382244606316</v>
      </c>
      <c r="AQ4577">
        <f>SMALL('Iter No Test'!$W$9:$W$5008,4575)</f>
        <v>338.37347529708211</v>
      </c>
      <c r="AR4577">
        <f>1/(COUNT('Iter No Test'!$W$9:$W$5008)-1)+$AR$4576</f>
        <v>0.91498299659924909</v>
      </c>
    </row>
    <row r="4578" spans="22:44">
      <c r="V4578">
        <v>4570</v>
      </c>
      <c r="W4578">
        <v>203.93619175967535</v>
      </c>
      <c r="AQ4578">
        <f>SMALL('Iter No Test'!$W$9:$W$5008,4576)</f>
        <v>338.46650844136514</v>
      </c>
      <c r="AR4578">
        <f>1/(COUNT('Iter No Test'!$W$9:$W$5008)-1)+$AR$4577</f>
        <v>0.91518303660725064</v>
      </c>
    </row>
    <row r="4579" spans="22:44">
      <c r="V4579">
        <v>4571</v>
      </c>
      <c r="W4579">
        <v>201.60168837510363</v>
      </c>
      <c r="AQ4579">
        <f>SMALL('Iter No Test'!$W$9:$W$5008,4577)</f>
        <v>338.52220751687668</v>
      </c>
      <c r="AR4579">
        <f>1/(COUNT('Iter No Test'!$W$9:$W$5008)-1)+$AR$4578</f>
        <v>0.9153830766152522</v>
      </c>
    </row>
    <row r="4580" spans="22:44">
      <c r="V4580">
        <v>4572</v>
      </c>
      <c r="W4580">
        <v>325.02682082898275</v>
      </c>
      <c r="AQ4580">
        <f>SMALL('Iter No Test'!$W$9:$W$5008,4578)</f>
        <v>338.82083894760149</v>
      </c>
      <c r="AR4580">
        <f>1/(COUNT('Iter No Test'!$W$9:$W$5008)-1)+$AR$4579</f>
        <v>0.91558311662325376</v>
      </c>
    </row>
    <row r="4581" spans="22:44">
      <c r="V4581">
        <v>4573</v>
      </c>
      <c r="W4581">
        <v>457.51163965737686</v>
      </c>
      <c r="AQ4581">
        <f>SMALL('Iter No Test'!$W$9:$W$5008,4579)</f>
        <v>338.94775772624951</v>
      </c>
      <c r="AR4581">
        <f>1/(COUNT('Iter No Test'!$W$9:$W$5008)-1)+$AR$4580</f>
        <v>0.91578315663125531</v>
      </c>
    </row>
    <row r="4582" spans="22:44">
      <c r="V4582">
        <v>4574</v>
      </c>
      <c r="W4582">
        <v>206.49566027667794</v>
      </c>
      <c r="AQ4582">
        <f>SMALL('Iter No Test'!$W$9:$W$5008,4580)</f>
        <v>338.99372440276841</v>
      </c>
      <c r="AR4582">
        <f>1/(COUNT('Iter No Test'!$W$9:$W$5008)-1)+$AR$4581</f>
        <v>0.91598319663925687</v>
      </c>
    </row>
    <row r="4583" spans="22:44">
      <c r="V4583">
        <v>4575</v>
      </c>
      <c r="W4583">
        <v>102.67151294312237</v>
      </c>
      <c r="AQ4583">
        <f>SMALL('Iter No Test'!$W$9:$W$5008,4581)</f>
        <v>339.59547427651739</v>
      </c>
      <c r="AR4583">
        <f>1/(COUNT('Iter No Test'!$W$9:$W$5008)-1)+$AR$4582</f>
        <v>0.91618323664725843</v>
      </c>
    </row>
    <row r="4584" spans="22:44">
      <c r="V4584">
        <v>4576</v>
      </c>
      <c r="W4584">
        <v>169.0964731770944</v>
      </c>
      <c r="AQ4584">
        <f>SMALL('Iter No Test'!$W$9:$W$5008,4582)</f>
        <v>339.62188987814454</v>
      </c>
      <c r="AR4584">
        <f>1/(COUNT('Iter No Test'!$W$9:$W$5008)-1)+$AR$4583</f>
        <v>0.91638327665525998</v>
      </c>
    </row>
    <row r="4585" spans="22:44">
      <c r="V4585">
        <v>4577</v>
      </c>
      <c r="W4585">
        <v>163.23902755547221</v>
      </c>
      <c r="AQ4585">
        <f>SMALL('Iter No Test'!$W$9:$W$5008,4583)</f>
        <v>339.63385703802851</v>
      </c>
      <c r="AR4585">
        <f>1/(COUNT('Iter No Test'!$W$9:$W$5008)-1)+$AR$4584</f>
        <v>0.91658331666326154</v>
      </c>
    </row>
    <row r="4586" spans="22:44">
      <c r="V4586">
        <v>4578</v>
      </c>
      <c r="W4586">
        <v>280.30108744399035</v>
      </c>
      <c r="AQ4586">
        <f>SMALL('Iter No Test'!$W$9:$W$5008,4584)</f>
        <v>339.75755191178473</v>
      </c>
      <c r="AR4586">
        <f>1/(COUNT('Iter No Test'!$W$9:$W$5008)-1)+$AR$4585</f>
        <v>0.91678335667126309</v>
      </c>
    </row>
    <row r="4587" spans="22:44">
      <c r="V4587">
        <v>4579</v>
      </c>
      <c r="W4587">
        <v>256.35181711694895</v>
      </c>
      <c r="AQ4587">
        <f>SMALL('Iter No Test'!$W$9:$W$5008,4585)</f>
        <v>339.77967439261352</v>
      </c>
      <c r="AR4587">
        <f>1/(COUNT('Iter No Test'!$W$9:$W$5008)-1)+$AR$4586</f>
        <v>0.91698339667926465</v>
      </c>
    </row>
    <row r="4588" spans="22:44">
      <c r="V4588">
        <v>4580</v>
      </c>
      <c r="W4588">
        <v>177.27312109599535</v>
      </c>
      <c r="AQ4588">
        <f>SMALL('Iter No Test'!$W$9:$W$5008,4586)</f>
        <v>339.83263057877889</v>
      </c>
      <c r="AR4588">
        <f>1/(COUNT('Iter No Test'!$W$9:$W$5008)-1)+$AR$4587</f>
        <v>0.91718343668726621</v>
      </c>
    </row>
    <row r="4589" spans="22:44">
      <c r="V4589">
        <v>4581</v>
      </c>
      <c r="W4589">
        <v>274.30523278492421</v>
      </c>
      <c r="AQ4589">
        <f>SMALL('Iter No Test'!$W$9:$W$5008,4587)</f>
        <v>339.88013841705987</v>
      </c>
      <c r="AR4589">
        <f>1/(COUNT('Iter No Test'!$W$9:$W$5008)-1)+$AR$4588</f>
        <v>0.91738347669526776</v>
      </c>
    </row>
    <row r="4590" spans="22:44">
      <c r="V4590">
        <v>4582</v>
      </c>
      <c r="W4590">
        <v>117.76806420018977</v>
      </c>
      <c r="AQ4590">
        <f>SMALL('Iter No Test'!$W$9:$W$5008,4588)</f>
        <v>339.97857394929076</v>
      </c>
      <c r="AR4590">
        <f>1/(COUNT('Iter No Test'!$W$9:$W$5008)-1)+$AR$4589</f>
        <v>0.91758351670326932</v>
      </c>
    </row>
    <row r="4591" spans="22:44">
      <c r="V4591">
        <v>4583</v>
      </c>
      <c r="W4591">
        <v>232.49150131011348</v>
      </c>
      <c r="AQ4591">
        <f>SMALL('Iter No Test'!$W$9:$W$5008,4589)</f>
        <v>340.02534593383797</v>
      </c>
      <c r="AR4591">
        <f>1/(COUNT('Iter No Test'!$W$9:$W$5008)-1)+$AR$4590</f>
        <v>0.91778355671127088</v>
      </c>
    </row>
    <row r="4592" spans="22:44">
      <c r="V4592">
        <v>4584</v>
      </c>
      <c r="W4592">
        <v>159.55413444282587</v>
      </c>
      <c r="AQ4592">
        <f>SMALL('Iter No Test'!$W$9:$W$5008,4590)</f>
        <v>340.07363434241688</v>
      </c>
      <c r="AR4592">
        <f>1/(COUNT('Iter No Test'!$W$9:$W$5008)-1)+$AR$4591</f>
        <v>0.91798359671927243</v>
      </c>
    </row>
    <row r="4593" spans="22:44">
      <c r="V4593">
        <v>4585</v>
      </c>
      <c r="W4593">
        <v>166.29343658479718</v>
      </c>
      <c r="AQ4593">
        <f>SMALL('Iter No Test'!$W$9:$W$5008,4591)</f>
        <v>340.19616749262252</v>
      </c>
      <c r="AR4593">
        <f>1/(COUNT('Iter No Test'!$W$9:$W$5008)-1)+$AR$4592</f>
        <v>0.91818363672727399</v>
      </c>
    </row>
    <row r="4594" spans="22:44">
      <c r="V4594">
        <v>4586</v>
      </c>
      <c r="W4594">
        <v>191.2824726091047</v>
      </c>
      <c r="AQ4594">
        <f>SMALL('Iter No Test'!$W$9:$W$5008,4592)</f>
        <v>340.25498071805225</v>
      </c>
      <c r="AR4594">
        <f>1/(COUNT('Iter No Test'!$W$9:$W$5008)-1)+$AR$4593</f>
        <v>0.91838367673527554</v>
      </c>
    </row>
    <row r="4595" spans="22:44">
      <c r="V4595">
        <v>4587</v>
      </c>
      <c r="W4595">
        <v>344.10183978328325</v>
      </c>
      <c r="AQ4595">
        <f>SMALL('Iter No Test'!$W$9:$W$5008,4593)</f>
        <v>340.7155254022797</v>
      </c>
      <c r="AR4595">
        <f>1/(COUNT('Iter No Test'!$W$9:$W$5008)-1)+$AR$4594</f>
        <v>0.9185837167432771</v>
      </c>
    </row>
    <row r="4596" spans="22:44">
      <c r="V4596">
        <v>4588</v>
      </c>
      <c r="W4596">
        <v>270.70780731014986</v>
      </c>
      <c r="AQ4596">
        <f>SMALL('Iter No Test'!$W$9:$W$5008,4594)</f>
        <v>341.38124984177847</v>
      </c>
      <c r="AR4596">
        <f>1/(COUNT('Iter No Test'!$W$9:$W$5008)-1)+$AR$4595</f>
        <v>0.91878375675127866</v>
      </c>
    </row>
    <row r="4597" spans="22:44">
      <c r="V4597">
        <v>4589</v>
      </c>
      <c r="W4597">
        <v>206.70049996580775</v>
      </c>
      <c r="AQ4597">
        <f>SMALL('Iter No Test'!$W$9:$W$5008,4595)</f>
        <v>341.46438967528593</v>
      </c>
      <c r="AR4597">
        <f>1/(COUNT('Iter No Test'!$W$9:$W$5008)-1)+$AR$4596</f>
        <v>0.91898379675928021</v>
      </c>
    </row>
    <row r="4598" spans="22:44">
      <c r="V4598">
        <v>4590</v>
      </c>
      <c r="W4598">
        <v>258.98708227954126</v>
      </c>
      <c r="AQ4598">
        <f>SMALL('Iter No Test'!$W$9:$W$5008,4596)</f>
        <v>341.51716642449617</v>
      </c>
      <c r="AR4598">
        <f>1/(COUNT('Iter No Test'!$W$9:$W$5008)-1)+$AR$4597</f>
        <v>0.91918383676728177</v>
      </c>
    </row>
    <row r="4599" spans="22:44">
      <c r="V4599">
        <v>4591</v>
      </c>
      <c r="W4599">
        <v>246.71322099008458</v>
      </c>
      <c r="AQ4599">
        <f>SMALL('Iter No Test'!$W$9:$W$5008,4597)</f>
        <v>341.74391704314542</v>
      </c>
      <c r="AR4599">
        <f>1/(COUNT('Iter No Test'!$W$9:$W$5008)-1)+$AR$4598</f>
        <v>0.91938387677528333</v>
      </c>
    </row>
    <row r="4600" spans="22:44">
      <c r="V4600">
        <v>4592</v>
      </c>
      <c r="W4600">
        <v>156.49302186518599</v>
      </c>
      <c r="AQ4600">
        <f>SMALL('Iter No Test'!$W$9:$W$5008,4598)</f>
        <v>341.99166598628403</v>
      </c>
      <c r="AR4600">
        <f>1/(COUNT('Iter No Test'!$W$9:$W$5008)-1)+$AR$4599</f>
        <v>0.91958391678328488</v>
      </c>
    </row>
    <row r="4601" spans="22:44">
      <c r="V4601">
        <v>4593</v>
      </c>
      <c r="W4601">
        <v>152.065529611378</v>
      </c>
      <c r="AQ4601">
        <f>SMALL('Iter No Test'!$W$9:$W$5008,4599)</f>
        <v>341.99336060432302</v>
      </c>
      <c r="AR4601">
        <f>1/(COUNT('Iter No Test'!$W$9:$W$5008)-1)+$AR$4600</f>
        <v>0.91978395679128644</v>
      </c>
    </row>
    <row r="4602" spans="22:44">
      <c r="V4602">
        <v>4594</v>
      </c>
      <c r="W4602">
        <v>265.6538258397307</v>
      </c>
      <c r="AQ4602">
        <f>SMALL('Iter No Test'!$W$9:$W$5008,4600)</f>
        <v>342.00260785705825</v>
      </c>
      <c r="AR4602">
        <f>1/(COUNT('Iter No Test'!$W$9:$W$5008)-1)+$AR$4601</f>
        <v>0.919983996799288</v>
      </c>
    </row>
    <row r="4603" spans="22:44">
      <c r="V4603">
        <v>4595</v>
      </c>
      <c r="W4603">
        <v>257.14474051065179</v>
      </c>
      <c r="AQ4603">
        <f>SMALL('Iter No Test'!$W$9:$W$5008,4601)</f>
        <v>342.03032125437159</v>
      </c>
      <c r="AR4603">
        <f>1/(COUNT('Iter No Test'!$W$9:$W$5008)-1)+$AR$4602</f>
        <v>0.92018403680728955</v>
      </c>
    </row>
    <row r="4604" spans="22:44">
      <c r="V4604">
        <v>4596</v>
      </c>
      <c r="W4604">
        <v>353.11155448160105</v>
      </c>
      <c r="AQ4604">
        <f>SMALL('Iter No Test'!$W$9:$W$5008,4602)</f>
        <v>342.10407580313966</v>
      </c>
      <c r="AR4604">
        <f>1/(COUNT('Iter No Test'!$W$9:$W$5008)-1)+$AR$4603</f>
        <v>0.92038407681529111</v>
      </c>
    </row>
    <row r="4605" spans="22:44">
      <c r="V4605">
        <v>4597</v>
      </c>
      <c r="W4605">
        <v>351.45319975604633</v>
      </c>
      <c r="AQ4605">
        <f>SMALL('Iter No Test'!$W$9:$W$5008,4603)</f>
        <v>342.14863194642339</v>
      </c>
      <c r="AR4605">
        <f>1/(COUNT('Iter No Test'!$W$9:$W$5008)-1)+$AR$4604</f>
        <v>0.92058411682329266</v>
      </c>
    </row>
    <row r="4606" spans="22:44">
      <c r="V4606">
        <v>4598</v>
      </c>
      <c r="W4606">
        <v>160.03005863746728</v>
      </c>
      <c r="AQ4606">
        <f>SMALL('Iter No Test'!$W$9:$W$5008,4604)</f>
        <v>342.15586254687759</v>
      </c>
      <c r="AR4606">
        <f>1/(COUNT('Iter No Test'!$W$9:$W$5008)-1)+$AR$4605</f>
        <v>0.92078415683129422</v>
      </c>
    </row>
    <row r="4607" spans="22:44">
      <c r="V4607">
        <v>4599</v>
      </c>
      <c r="W4607">
        <v>182.02644346703855</v>
      </c>
      <c r="AQ4607">
        <f>SMALL('Iter No Test'!$W$9:$W$5008,4605)</f>
        <v>342.40696338413227</v>
      </c>
      <c r="AR4607">
        <f>1/(COUNT('Iter No Test'!$W$9:$W$5008)-1)+$AR$4606</f>
        <v>0.92098419683929578</v>
      </c>
    </row>
    <row r="4608" spans="22:44">
      <c r="V4608">
        <v>4600</v>
      </c>
      <c r="W4608">
        <v>215.23007063481614</v>
      </c>
      <c r="AQ4608">
        <f>SMALL('Iter No Test'!$W$9:$W$5008,4606)</f>
        <v>342.46085677265046</v>
      </c>
      <c r="AR4608">
        <f>1/(COUNT('Iter No Test'!$W$9:$W$5008)-1)+$AR$4607</f>
        <v>0.92118423684729733</v>
      </c>
    </row>
    <row r="4609" spans="22:44">
      <c r="V4609">
        <v>4601</v>
      </c>
      <c r="W4609">
        <v>212.77595985549164</v>
      </c>
      <c r="AQ4609">
        <f>SMALL('Iter No Test'!$W$9:$W$5008,4607)</f>
        <v>342.59264668336402</v>
      </c>
      <c r="AR4609">
        <f>1/(COUNT('Iter No Test'!$W$9:$W$5008)-1)+$AR$4608</f>
        <v>0.92138427685529889</v>
      </c>
    </row>
    <row r="4610" spans="22:44">
      <c r="V4610">
        <v>4602</v>
      </c>
      <c r="W4610">
        <v>288.79474762098528</v>
      </c>
      <c r="AQ4610">
        <f>SMALL('Iter No Test'!$W$9:$W$5008,4608)</f>
        <v>343.20516358444456</v>
      </c>
      <c r="AR4610">
        <f>1/(COUNT('Iter No Test'!$W$9:$W$5008)-1)+$AR$4609</f>
        <v>0.92158431686330045</v>
      </c>
    </row>
    <row r="4611" spans="22:44">
      <c r="V4611">
        <v>4603</v>
      </c>
      <c r="W4611">
        <v>151.07464358964899</v>
      </c>
      <c r="AQ4611">
        <f>SMALL('Iter No Test'!$W$9:$W$5008,4609)</f>
        <v>343.39146871860015</v>
      </c>
      <c r="AR4611">
        <f>1/(COUNT('Iter No Test'!$W$9:$W$5008)-1)+$AR$4610</f>
        <v>0.921784356871302</v>
      </c>
    </row>
    <row r="4612" spans="22:44">
      <c r="V4612">
        <v>4604</v>
      </c>
      <c r="W4612">
        <v>116.20836862431986</v>
      </c>
      <c r="AQ4612">
        <f>SMALL('Iter No Test'!$W$9:$W$5008,4610)</f>
        <v>343.41605084003334</v>
      </c>
      <c r="AR4612">
        <f>1/(COUNT('Iter No Test'!$W$9:$W$5008)-1)+$AR$4611</f>
        <v>0.92198439687930356</v>
      </c>
    </row>
    <row r="4613" spans="22:44">
      <c r="V4613">
        <v>4605</v>
      </c>
      <c r="W4613">
        <v>287.98507699105892</v>
      </c>
      <c r="AQ4613">
        <f>SMALL('Iter No Test'!$W$9:$W$5008,4611)</f>
        <v>343.5859372165018</v>
      </c>
      <c r="AR4613">
        <f>1/(COUNT('Iter No Test'!$W$9:$W$5008)-1)+$AR$4612</f>
        <v>0.92218443688730511</v>
      </c>
    </row>
    <row r="4614" spans="22:44">
      <c r="V4614">
        <v>4606</v>
      </c>
      <c r="W4614">
        <v>206.65786304265265</v>
      </c>
      <c r="AQ4614">
        <f>SMALL('Iter No Test'!$W$9:$W$5008,4612)</f>
        <v>343.84849677022578</v>
      </c>
      <c r="AR4614">
        <f>1/(COUNT('Iter No Test'!$W$9:$W$5008)-1)+$AR$4613</f>
        <v>0.92238447689530667</v>
      </c>
    </row>
    <row r="4615" spans="22:44">
      <c r="V4615">
        <v>4607</v>
      </c>
      <c r="W4615">
        <v>210.9211554769347</v>
      </c>
      <c r="AQ4615">
        <f>SMALL('Iter No Test'!$W$9:$W$5008,4613)</f>
        <v>343.88441956035774</v>
      </c>
      <c r="AR4615">
        <f>1/(COUNT('Iter No Test'!$W$9:$W$5008)-1)+$AR$4614</f>
        <v>0.92258451690330823</v>
      </c>
    </row>
    <row r="4616" spans="22:44">
      <c r="V4616">
        <v>4608</v>
      </c>
      <c r="W4616">
        <v>254.12311034829997</v>
      </c>
      <c r="AQ4616">
        <f>SMALL('Iter No Test'!$W$9:$W$5008,4614)</f>
        <v>343.89659798366449</v>
      </c>
      <c r="AR4616">
        <f>1/(COUNT('Iter No Test'!$W$9:$W$5008)-1)+$AR$4615</f>
        <v>0.92278455691130978</v>
      </c>
    </row>
    <row r="4617" spans="22:44">
      <c r="V4617">
        <v>4609</v>
      </c>
      <c r="W4617">
        <v>230.04505704151836</v>
      </c>
      <c r="AQ4617">
        <f>SMALL('Iter No Test'!$W$9:$W$5008,4615)</f>
        <v>343.90138151371104</v>
      </c>
      <c r="AR4617">
        <f>1/(COUNT('Iter No Test'!$W$9:$W$5008)-1)+$AR$4616</f>
        <v>0.92298459691931134</v>
      </c>
    </row>
    <row r="4618" spans="22:44">
      <c r="V4618">
        <v>4610</v>
      </c>
      <c r="W4618">
        <v>129.03750986529846</v>
      </c>
      <c r="AQ4618">
        <f>SMALL('Iter No Test'!$W$9:$W$5008,4616)</f>
        <v>344.10183978328325</v>
      </c>
      <c r="AR4618">
        <f>1/(COUNT('Iter No Test'!$W$9:$W$5008)-1)+$AR$4617</f>
        <v>0.9231846369273129</v>
      </c>
    </row>
    <row r="4619" spans="22:44">
      <c r="V4619">
        <v>4611</v>
      </c>
      <c r="W4619">
        <v>255.80914825352158</v>
      </c>
      <c r="AQ4619">
        <f>SMALL('Iter No Test'!$W$9:$W$5008,4617)</f>
        <v>344.1643028004047</v>
      </c>
      <c r="AR4619">
        <f>1/(COUNT('Iter No Test'!$W$9:$W$5008)-1)+$AR$4618</f>
        <v>0.92338467693531445</v>
      </c>
    </row>
    <row r="4620" spans="22:44">
      <c r="V4620">
        <v>4612</v>
      </c>
      <c r="W4620">
        <v>140.51089955197236</v>
      </c>
      <c r="AQ4620">
        <f>SMALL('Iter No Test'!$W$9:$W$5008,4618)</f>
        <v>344.21274683976458</v>
      </c>
      <c r="AR4620">
        <f>1/(COUNT('Iter No Test'!$W$9:$W$5008)-1)+$AR$4619</f>
        <v>0.92358471694331601</v>
      </c>
    </row>
    <row r="4621" spans="22:44">
      <c r="V4621">
        <v>4613</v>
      </c>
      <c r="W4621">
        <v>89.840448081979133</v>
      </c>
      <c r="AQ4621">
        <f>SMALL('Iter No Test'!$W$9:$W$5008,4619)</f>
        <v>344.44474775748006</v>
      </c>
      <c r="AR4621">
        <f>1/(COUNT('Iter No Test'!$W$9:$W$5008)-1)+$AR$4620</f>
        <v>0.92378475695131756</v>
      </c>
    </row>
    <row r="4622" spans="22:44">
      <c r="V4622">
        <v>4614</v>
      </c>
      <c r="W4622">
        <v>102.59057157056129</v>
      </c>
      <c r="AQ4622">
        <f>SMALL('Iter No Test'!$W$9:$W$5008,4620)</f>
        <v>344.80403926000827</v>
      </c>
      <c r="AR4622">
        <f>1/(COUNT('Iter No Test'!$W$9:$W$5008)-1)+$AR$4621</f>
        <v>0.92398479695931912</v>
      </c>
    </row>
    <row r="4623" spans="22:44">
      <c r="V4623">
        <v>4615</v>
      </c>
      <c r="W4623">
        <v>335.71223617844146</v>
      </c>
      <c r="AQ4623">
        <f>SMALL('Iter No Test'!$W$9:$W$5008,4621)</f>
        <v>344.98966061796534</v>
      </c>
      <c r="AR4623">
        <f>1/(COUNT('Iter No Test'!$W$9:$W$5008)-1)+$AR$4622</f>
        <v>0.92418483696732068</v>
      </c>
    </row>
    <row r="4624" spans="22:44">
      <c r="V4624">
        <v>4616</v>
      </c>
      <c r="W4624">
        <v>184.45005707746807</v>
      </c>
      <c r="AQ4624">
        <f>SMALL('Iter No Test'!$W$9:$W$5008,4622)</f>
        <v>345.09843172631014</v>
      </c>
      <c r="AR4624">
        <f>1/(COUNT('Iter No Test'!$W$9:$W$5008)-1)+$AR$4623</f>
        <v>0.92438487697532223</v>
      </c>
    </row>
    <row r="4625" spans="22:44">
      <c r="V4625">
        <v>4617</v>
      </c>
      <c r="W4625">
        <v>221.43022849094024</v>
      </c>
      <c r="AQ4625">
        <f>SMALL('Iter No Test'!$W$9:$W$5008,4623)</f>
        <v>345.16132822621944</v>
      </c>
      <c r="AR4625">
        <f>1/(COUNT('Iter No Test'!$W$9:$W$5008)-1)+$AR$4624</f>
        <v>0.92458491698332379</v>
      </c>
    </row>
    <row r="4626" spans="22:44">
      <c r="V4626">
        <v>4618</v>
      </c>
      <c r="W4626">
        <v>412.13884790195459</v>
      </c>
      <c r="AQ4626">
        <f>SMALL('Iter No Test'!$W$9:$W$5008,4624)</f>
        <v>345.2719642098192</v>
      </c>
      <c r="AR4626">
        <f>1/(COUNT('Iter No Test'!$W$9:$W$5008)-1)+$AR$4625</f>
        <v>0.92478495699132535</v>
      </c>
    </row>
    <row r="4627" spans="22:44">
      <c r="V4627">
        <v>4619</v>
      </c>
      <c r="W4627">
        <v>226.22551380785197</v>
      </c>
      <c r="AQ4627">
        <f>SMALL('Iter No Test'!$W$9:$W$5008,4625)</f>
        <v>345.34036824864313</v>
      </c>
      <c r="AR4627">
        <f>1/(COUNT('Iter No Test'!$W$9:$W$5008)-1)+$AR$4626</f>
        <v>0.9249849969993269</v>
      </c>
    </row>
    <row r="4628" spans="22:44">
      <c r="V4628">
        <v>4620</v>
      </c>
      <c r="W4628">
        <v>263.84688158394033</v>
      </c>
      <c r="AQ4628">
        <f>SMALL('Iter No Test'!$W$9:$W$5008,4626)</f>
        <v>345.90578631849399</v>
      </c>
      <c r="AR4628">
        <f>1/(COUNT('Iter No Test'!$W$9:$W$5008)-1)+$AR$4627</f>
        <v>0.92518503700732846</v>
      </c>
    </row>
    <row r="4629" spans="22:44">
      <c r="V4629">
        <v>4621</v>
      </c>
      <c r="W4629">
        <v>311.56477448717828</v>
      </c>
      <c r="AQ4629">
        <f>SMALL('Iter No Test'!$W$9:$W$5008,4627)</f>
        <v>346.01143104457827</v>
      </c>
      <c r="AR4629">
        <f>1/(COUNT('Iter No Test'!$W$9:$W$5008)-1)+$AR$4628</f>
        <v>0.92538507701533002</v>
      </c>
    </row>
    <row r="4630" spans="22:44">
      <c r="V4630">
        <v>4622</v>
      </c>
      <c r="W4630">
        <v>262.62279598109774</v>
      </c>
      <c r="AQ4630">
        <f>SMALL('Iter No Test'!$W$9:$W$5008,4628)</f>
        <v>346.02213978594307</v>
      </c>
      <c r="AR4630">
        <f>1/(COUNT('Iter No Test'!$W$9:$W$5008)-1)+$AR$4629</f>
        <v>0.92558511702333157</v>
      </c>
    </row>
    <row r="4631" spans="22:44">
      <c r="V4631">
        <v>4623</v>
      </c>
      <c r="W4631">
        <v>145.11038403886491</v>
      </c>
      <c r="AQ4631">
        <f>SMALL('Iter No Test'!$W$9:$W$5008,4629)</f>
        <v>346.02684705524121</v>
      </c>
      <c r="AR4631">
        <f>1/(COUNT('Iter No Test'!$W$9:$W$5008)-1)+$AR$4630</f>
        <v>0.92578515703133313</v>
      </c>
    </row>
    <row r="4632" spans="22:44">
      <c r="V4632">
        <v>4624</v>
      </c>
      <c r="W4632">
        <v>166.33063055107232</v>
      </c>
      <c r="AQ4632">
        <f>SMALL('Iter No Test'!$W$9:$W$5008,4630)</f>
        <v>346.50944285222579</v>
      </c>
      <c r="AR4632">
        <f>1/(COUNT('Iter No Test'!$W$9:$W$5008)-1)+$AR$4631</f>
        <v>0.92598519703933468</v>
      </c>
    </row>
    <row r="4633" spans="22:44">
      <c r="V4633">
        <v>4625</v>
      </c>
      <c r="W4633">
        <v>228.21377218782467</v>
      </c>
      <c r="AQ4633">
        <f>SMALL('Iter No Test'!$W$9:$W$5008,4631)</f>
        <v>346.86480527827638</v>
      </c>
      <c r="AR4633">
        <f>1/(COUNT('Iter No Test'!$W$9:$W$5008)-1)+$AR$4632</f>
        <v>0.92618523704733624</v>
      </c>
    </row>
    <row r="4634" spans="22:44">
      <c r="V4634">
        <v>4626</v>
      </c>
      <c r="W4634">
        <v>306.60176634894481</v>
      </c>
      <c r="AQ4634">
        <f>SMALL('Iter No Test'!$W$9:$W$5008,4632)</f>
        <v>347.43513552004424</v>
      </c>
      <c r="AR4634">
        <f>1/(COUNT('Iter No Test'!$W$9:$W$5008)-1)+$AR$4633</f>
        <v>0.9263852770553378</v>
      </c>
    </row>
    <row r="4635" spans="22:44">
      <c r="V4635">
        <v>4627</v>
      </c>
      <c r="W4635">
        <v>269.05879404474541</v>
      </c>
      <c r="AQ4635">
        <f>SMALL('Iter No Test'!$W$9:$W$5008,4633)</f>
        <v>347.73174002337726</v>
      </c>
      <c r="AR4635">
        <f>1/(COUNT('Iter No Test'!$W$9:$W$5008)-1)+$AR$4634</f>
        <v>0.92658531706333935</v>
      </c>
    </row>
    <row r="4636" spans="22:44">
      <c r="V4636">
        <v>4628</v>
      </c>
      <c r="W4636">
        <v>186.62774719330193</v>
      </c>
      <c r="AQ4636">
        <f>SMALL('Iter No Test'!$W$9:$W$5008,4634)</f>
        <v>347.94683936847105</v>
      </c>
      <c r="AR4636">
        <f>1/(COUNT('Iter No Test'!$W$9:$W$5008)-1)+$AR$4635</f>
        <v>0.92678535707134091</v>
      </c>
    </row>
    <row r="4637" spans="22:44">
      <c r="V4637">
        <v>4629</v>
      </c>
      <c r="W4637">
        <v>192.18977915244278</v>
      </c>
      <c r="AQ4637">
        <f>SMALL('Iter No Test'!$W$9:$W$5008,4635)</f>
        <v>348.32731889252034</v>
      </c>
      <c r="AR4637">
        <f>1/(COUNT('Iter No Test'!$W$9:$W$5008)-1)+$AR$4636</f>
        <v>0.92698539707934247</v>
      </c>
    </row>
    <row r="4638" spans="22:44">
      <c r="V4638">
        <v>4630</v>
      </c>
      <c r="W4638">
        <v>246.02596987874131</v>
      </c>
      <c r="AQ4638">
        <f>SMALL('Iter No Test'!$W$9:$W$5008,4636)</f>
        <v>348.50711724946939</v>
      </c>
      <c r="AR4638">
        <f>1/(COUNT('Iter No Test'!$W$9:$W$5008)-1)+$AR$4637</f>
        <v>0.92718543708734402</v>
      </c>
    </row>
    <row r="4639" spans="22:44">
      <c r="V4639">
        <v>4631</v>
      </c>
      <c r="W4639">
        <v>242.72448446543561</v>
      </c>
      <c r="AQ4639">
        <f>SMALL('Iter No Test'!$W$9:$W$5008,4637)</f>
        <v>348.58975523038418</v>
      </c>
      <c r="AR4639">
        <f>1/(COUNT('Iter No Test'!$W$9:$W$5008)-1)+$AR$4638</f>
        <v>0.92738547709534558</v>
      </c>
    </row>
    <row r="4640" spans="22:44">
      <c r="V4640">
        <v>4632</v>
      </c>
      <c r="W4640">
        <v>302.22206942308037</v>
      </c>
      <c r="AQ4640">
        <f>SMALL('Iter No Test'!$W$9:$W$5008,4638)</f>
        <v>348.60102070644507</v>
      </c>
      <c r="AR4640">
        <f>1/(COUNT('Iter No Test'!$W$9:$W$5008)-1)+$AR$4639</f>
        <v>0.92758551710334713</v>
      </c>
    </row>
    <row r="4641" spans="22:44">
      <c r="V4641">
        <v>4633</v>
      </c>
      <c r="W4641">
        <v>241.59504227276022</v>
      </c>
      <c r="AQ4641">
        <f>SMALL('Iter No Test'!$W$9:$W$5008,4639)</f>
        <v>348.75058880501638</v>
      </c>
      <c r="AR4641">
        <f>1/(COUNT('Iter No Test'!$W$9:$W$5008)-1)+$AR$4640</f>
        <v>0.92778555711134869</v>
      </c>
    </row>
    <row r="4642" spans="22:44">
      <c r="V4642">
        <v>4634</v>
      </c>
      <c r="W4642">
        <v>167.64715739647357</v>
      </c>
      <c r="AQ4642">
        <f>SMALL('Iter No Test'!$W$9:$W$5008,4640)</f>
        <v>348.80770570103294</v>
      </c>
      <c r="AR4642">
        <f>1/(COUNT('Iter No Test'!$W$9:$W$5008)-1)+$AR$4641</f>
        <v>0.92798559711935025</v>
      </c>
    </row>
    <row r="4643" spans="22:44">
      <c r="V4643">
        <v>4635</v>
      </c>
      <c r="W4643">
        <v>160.37647746722132</v>
      </c>
      <c r="AQ4643">
        <f>SMALL('Iter No Test'!$W$9:$W$5008,4641)</f>
        <v>348.8108708308207</v>
      </c>
      <c r="AR4643">
        <f>1/(COUNT('Iter No Test'!$W$9:$W$5008)-1)+$AR$4642</f>
        <v>0.9281856371273518</v>
      </c>
    </row>
    <row r="4644" spans="22:44">
      <c r="V4644">
        <v>4636</v>
      </c>
      <c r="W4644">
        <v>294.45854984735342</v>
      </c>
      <c r="AQ4644">
        <f>SMALL('Iter No Test'!$W$9:$W$5008,4642)</f>
        <v>348.92554893536794</v>
      </c>
      <c r="AR4644">
        <f>1/(COUNT('Iter No Test'!$W$9:$W$5008)-1)+$AR$4643</f>
        <v>0.92838567713535336</v>
      </c>
    </row>
    <row r="4645" spans="22:44">
      <c r="V4645">
        <v>4637</v>
      </c>
      <c r="W4645">
        <v>258.05098825923324</v>
      </c>
      <c r="AQ4645">
        <f>SMALL('Iter No Test'!$W$9:$W$5008,4643)</f>
        <v>349.05524054978292</v>
      </c>
      <c r="AR4645">
        <f>1/(COUNT('Iter No Test'!$W$9:$W$5008)-1)+$AR$4644</f>
        <v>0.92858571714335492</v>
      </c>
    </row>
    <row r="4646" spans="22:44">
      <c r="V4646">
        <v>4638</v>
      </c>
      <c r="W4646">
        <v>165.82391575373003</v>
      </c>
      <c r="AQ4646">
        <f>SMALL('Iter No Test'!$W$9:$W$5008,4644)</f>
        <v>349.16703049243057</v>
      </c>
      <c r="AR4646">
        <f>1/(COUNT('Iter No Test'!$W$9:$W$5008)-1)+$AR$4645</f>
        <v>0.92878575715135647</v>
      </c>
    </row>
    <row r="4647" spans="22:44">
      <c r="V4647">
        <v>4639</v>
      </c>
      <c r="W4647">
        <v>134.90899093360628</v>
      </c>
      <c r="AQ4647">
        <f>SMALL('Iter No Test'!$W$9:$W$5008,4645)</f>
        <v>349.21727228084603</v>
      </c>
      <c r="AR4647">
        <f>1/(COUNT('Iter No Test'!$W$9:$W$5008)-1)+$AR$4646</f>
        <v>0.92898579715935803</v>
      </c>
    </row>
    <row r="4648" spans="22:44">
      <c r="V4648">
        <v>4640</v>
      </c>
      <c r="W4648">
        <v>137.80834393262501</v>
      </c>
      <c r="AQ4648">
        <f>SMALL('Iter No Test'!$W$9:$W$5008,4646)</f>
        <v>349.25917677586057</v>
      </c>
      <c r="AR4648">
        <f>1/(COUNT('Iter No Test'!$W$9:$W$5008)-1)+$AR$4647</f>
        <v>0.92918583716735959</v>
      </c>
    </row>
    <row r="4649" spans="22:44">
      <c r="V4649">
        <v>4641</v>
      </c>
      <c r="W4649">
        <v>209.45912857976788</v>
      </c>
      <c r="AQ4649">
        <f>SMALL('Iter No Test'!$W$9:$W$5008,4647)</f>
        <v>349.64090148070312</v>
      </c>
      <c r="AR4649">
        <f>1/(COUNT('Iter No Test'!$W$9:$W$5008)-1)+$AR$4648</f>
        <v>0.92938587717536114</v>
      </c>
    </row>
    <row r="4650" spans="22:44">
      <c r="V4650">
        <v>4642</v>
      </c>
      <c r="W4650">
        <v>119.22875277324346</v>
      </c>
      <c r="AQ4650">
        <f>SMALL('Iter No Test'!$W$9:$W$5008,4648)</f>
        <v>349.64808509780937</v>
      </c>
      <c r="AR4650">
        <f>1/(COUNT('Iter No Test'!$W$9:$W$5008)-1)+$AR$4649</f>
        <v>0.9295859171833627</v>
      </c>
    </row>
    <row r="4651" spans="22:44">
      <c r="V4651">
        <v>4643</v>
      </c>
      <c r="W4651">
        <v>212.03815471093716</v>
      </c>
      <c r="AQ4651">
        <f>SMALL('Iter No Test'!$W$9:$W$5008,4649)</f>
        <v>350.08834805596041</v>
      </c>
      <c r="AR4651">
        <f>1/(COUNT('Iter No Test'!$W$9:$W$5008)-1)+$AR$4650</f>
        <v>0.92978595719136425</v>
      </c>
    </row>
    <row r="4652" spans="22:44">
      <c r="V4652">
        <v>4644</v>
      </c>
      <c r="W4652">
        <v>196.4667642113846</v>
      </c>
      <c r="AQ4652">
        <f>SMALL('Iter No Test'!$W$9:$W$5008,4650)</f>
        <v>350.12887457542047</v>
      </c>
      <c r="AR4652">
        <f>1/(COUNT('Iter No Test'!$W$9:$W$5008)-1)+$AR$4651</f>
        <v>0.92998599719936581</v>
      </c>
    </row>
    <row r="4653" spans="22:44">
      <c r="V4653">
        <v>4645</v>
      </c>
      <c r="W4653">
        <v>194.12448896762621</v>
      </c>
      <c r="AQ4653">
        <f>SMALL('Iter No Test'!$W$9:$W$5008,4651)</f>
        <v>350.28755244922587</v>
      </c>
      <c r="AR4653">
        <f>1/(COUNT('Iter No Test'!$W$9:$W$5008)-1)+$AR$4652</f>
        <v>0.93018603720736737</v>
      </c>
    </row>
    <row r="4654" spans="22:44">
      <c r="V4654">
        <v>4646</v>
      </c>
      <c r="W4654">
        <v>597.14753128056464</v>
      </c>
      <c r="AQ4654">
        <f>SMALL('Iter No Test'!$W$9:$W$5008,4652)</f>
        <v>350.62361009815004</v>
      </c>
      <c r="AR4654">
        <f>1/(COUNT('Iter No Test'!$W$9:$W$5008)-1)+$AR$4653</f>
        <v>0.93038607721536892</v>
      </c>
    </row>
    <row r="4655" spans="22:44">
      <c r="V4655">
        <v>4647</v>
      </c>
      <c r="W4655">
        <v>426.48064499609086</v>
      </c>
      <c r="AQ4655">
        <f>SMALL('Iter No Test'!$W$9:$W$5008,4653)</f>
        <v>351.05032118257748</v>
      </c>
      <c r="AR4655">
        <f>1/(COUNT('Iter No Test'!$W$9:$W$5008)-1)+$AR$4654</f>
        <v>0.93058611722337048</v>
      </c>
    </row>
    <row r="4656" spans="22:44">
      <c r="V4656">
        <v>4648</v>
      </c>
      <c r="W4656">
        <v>212.72046670468492</v>
      </c>
      <c r="AQ4656">
        <f>SMALL('Iter No Test'!$W$9:$W$5008,4654)</f>
        <v>351.07471309320317</v>
      </c>
      <c r="AR4656">
        <f>1/(COUNT('Iter No Test'!$W$9:$W$5008)-1)+$AR$4655</f>
        <v>0.93078615723137204</v>
      </c>
    </row>
    <row r="4657" spans="22:44">
      <c r="V4657">
        <v>4649</v>
      </c>
      <c r="W4657">
        <v>112.547074863752</v>
      </c>
      <c r="AQ4657">
        <f>SMALL('Iter No Test'!$W$9:$W$5008,4655)</f>
        <v>351.0842782085486</v>
      </c>
      <c r="AR4657">
        <f>1/(COUNT('Iter No Test'!$W$9:$W$5008)-1)+$AR$4656</f>
        <v>0.93098619723937359</v>
      </c>
    </row>
    <row r="4658" spans="22:44">
      <c r="V4658">
        <v>4650</v>
      </c>
      <c r="W4658">
        <v>251.34468498689466</v>
      </c>
      <c r="AQ4658">
        <f>SMALL('Iter No Test'!$W$9:$W$5008,4656)</f>
        <v>351.45319975604633</v>
      </c>
      <c r="AR4658">
        <f>1/(COUNT('Iter No Test'!$W$9:$W$5008)-1)+$AR$4657</f>
        <v>0.93118623724737515</v>
      </c>
    </row>
    <row r="4659" spans="22:44">
      <c r="V4659">
        <v>4651</v>
      </c>
      <c r="W4659">
        <v>313.551767485791</v>
      </c>
      <c r="AQ4659">
        <f>SMALL('Iter No Test'!$W$9:$W$5008,4657)</f>
        <v>351.67993586344357</v>
      </c>
      <c r="AR4659">
        <f>1/(COUNT('Iter No Test'!$W$9:$W$5008)-1)+$AR$4658</f>
        <v>0.9313862772553767</v>
      </c>
    </row>
    <row r="4660" spans="22:44">
      <c r="V4660">
        <v>4652</v>
      </c>
      <c r="W4660">
        <v>101.99379376321374</v>
      </c>
      <c r="AQ4660">
        <f>SMALL('Iter No Test'!$W$9:$W$5008,4658)</f>
        <v>351.68441946395006</v>
      </c>
      <c r="AR4660">
        <f>1/(COUNT('Iter No Test'!$W$9:$W$5008)-1)+$AR$4659</f>
        <v>0.93158631726337826</v>
      </c>
    </row>
    <row r="4661" spans="22:44">
      <c r="V4661">
        <v>4653</v>
      </c>
      <c r="W4661">
        <v>47.559318616550613</v>
      </c>
      <c r="AQ4661">
        <f>SMALL('Iter No Test'!$W$9:$W$5008,4659)</f>
        <v>351.82217770868306</v>
      </c>
      <c r="AR4661">
        <f>1/(COUNT('Iter No Test'!$W$9:$W$5008)-1)+$AR$4660</f>
        <v>0.93178635727137982</v>
      </c>
    </row>
    <row r="4662" spans="22:44">
      <c r="V4662">
        <v>4654</v>
      </c>
      <c r="W4662">
        <v>338.37347529708211</v>
      </c>
      <c r="AQ4662">
        <f>SMALL('Iter No Test'!$W$9:$W$5008,4660)</f>
        <v>352.67596405168365</v>
      </c>
      <c r="AR4662">
        <f>1/(COUNT('Iter No Test'!$W$9:$W$5008)-1)+$AR$4661</f>
        <v>0.93198639727938137</v>
      </c>
    </row>
    <row r="4663" spans="22:44">
      <c r="V4663">
        <v>4655</v>
      </c>
      <c r="W4663">
        <v>194.8886614811542</v>
      </c>
      <c r="AQ4663">
        <f>SMALL('Iter No Test'!$W$9:$W$5008,4661)</f>
        <v>353.07532466690054</v>
      </c>
      <c r="AR4663">
        <f>1/(COUNT('Iter No Test'!$W$9:$W$5008)-1)+$AR$4662</f>
        <v>0.93218643728738293</v>
      </c>
    </row>
    <row r="4664" spans="22:44">
      <c r="V4664">
        <v>4656</v>
      </c>
      <c r="W4664">
        <v>54.097996269958173</v>
      </c>
      <c r="AQ4664">
        <f>SMALL('Iter No Test'!$W$9:$W$5008,4662)</f>
        <v>353.11155448160105</v>
      </c>
      <c r="AR4664">
        <f>1/(COUNT('Iter No Test'!$W$9:$W$5008)-1)+$AR$4663</f>
        <v>0.93238647729538449</v>
      </c>
    </row>
    <row r="4665" spans="22:44">
      <c r="V4665">
        <v>4657</v>
      </c>
      <c r="W4665">
        <v>180.43299976688641</v>
      </c>
      <c r="AQ4665">
        <f>SMALL('Iter No Test'!$W$9:$W$5008,4663)</f>
        <v>353.23827370542006</v>
      </c>
      <c r="AR4665">
        <f>1/(COUNT('Iter No Test'!$W$9:$W$5008)-1)+$AR$4664</f>
        <v>0.93258651730338604</v>
      </c>
    </row>
    <row r="4666" spans="22:44">
      <c r="V4666">
        <v>4658</v>
      </c>
      <c r="W4666">
        <v>98.589038476127257</v>
      </c>
      <c r="AQ4666">
        <f>SMALL('Iter No Test'!$W$9:$W$5008,4664)</f>
        <v>353.53886528389279</v>
      </c>
      <c r="AR4666">
        <f>1/(COUNT('Iter No Test'!$W$9:$W$5008)-1)+$AR$4665</f>
        <v>0.9327865573113876</v>
      </c>
    </row>
    <row r="4667" spans="22:44">
      <c r="V4667">
        <v>4659</v>
      </c>
      <c r="W4667">
        <v>246.99249947256527</v>
      </c>
      <c r="AQ4667">
        <f>SMALL('Iter No Test'!$W$9:$W$5008,4665)</f>
        <v>353.61135674507693</v>
      </c>
      <c r="AR4667">
        <f>1/(COUNT('Iter No Test'!$W$9:$W$5008)-1)+$AR$4666</f>
        <v>0.93298659731938915</v>
      </c>
    </row>
    <row r="4668" spans="22:44">
      <c r="V4668">
        <v>4660</v>
      </c>
      <c r="W4668">
        <v>159.67491955384799</v>
      </c>
      <c r="AQ4668">
        <f>SMALL('Iter No Test'!$W$9:$W$5008,4666)</f>
        <v>353.7569964145614</v>
      </c>
      <c r="AR4668">
        <f>1/(COUNT('Iter No Test'!$W$9:$W$5008)-1)+$AR$4667</f>
        <v>0.93318663732739071</v>
      </c>
    </row>
    <row r="4669" spans="22:44">
      <c r="V4669">
        <v>4661</v>
      </c>
      <c r="W4669">
        <v>142.11013766013912</v>
      </c>
      <c r="AQ4669">
        <f>SMALL('Iter No Test'!$W$9:$W$5008,4667)</f>
        <v>353.80826327594724</v>
      </c>
      <c r="AR4669">
        <f>1/(COUNT('Iter No Test'!$W$9:$W$5008)-1)+$AR$4668</f>
        <v>0.93338667733539227</v>
      </c>
    </row>
    <row r="4670" spans="22:44">
      <c r="V4670">
        <v>4662</v>
      </c>
      <c r="W4670">
        <v>311.68134032200987</v>
      </c>
      <c r="AQ4670">
        <f>SMALL('Iter No Test'!$W$9:$W$5008,4668)</f>
        <v>353.91452683570958</v>
      </c>
      <c r="AR4670">
        <f>1/(COUNT('Iter No Test'!$W$9:$W$5008)-1)+$AR$4669</f>
        <v>0.93358671734339382</v>
      </c>
    </row>
    <row r="4671" spans="22:44">
      <c r="V4671">
        <v>4663</v>
      </c>
      <c r="W4671">
        <v>226.85258597841909</v>
      </c>
      <c r="AQ4671">
        <f>SMALL('Iter No Test'!$W$9:$W$5008,4669)</f>
        <v>354.27492134589841</v>
      </c>
      <c r="AR4671">
        <f>1/(COUNT('Iter No Test'!$W$9:$W$5008)-1)+$AR$4670</f>
        <v>0.93378675735139538</v>
      </c>
    </row>
    <row r="4672" spans="22:44">
      <c r="V4672">
        <v>4664</v>
      </c>
      <c r="W4672">
        <v>216.18908048021592</v>
      </c>
      <c r="AQ4672">
        <f>SMALL('Iter No Test'!$W$9:$W$5008,4670)</f>
        <v>354.43206617166669</v>
      </c>
      <c r="AR4672">
        <f>1/(COUNT('Iter No Test'!$W$9:$W$5008)-1)+$AR$4671</f>
        <v>0.93398679735939694</v>
      </c>
    </row>
    <row r="4673" spans="22:44">
      <c r="V4673">
        <v>4665</v>
      </c>
      <c r="W4673">
        <v>221.73345296668694</v>
      </c>
      <c r="AQ4673">
        <f>SMALL('Iter No Test'!$W$9:$W$5008,4671)</f>
        <v>354.55576075839053</v>
      </c>
      <c r="AR4673">
        <f>1/(COUNT('Iter No Test'!$W$9:$W$5008)-1)+$AR$4672</f>
        <v>0.93418683736739849</v>
      </c>
    </row>
    <row r="4674" spans="22:44">
      <c r="V4674">
        <v>4666</v>
      </c>
      <c r="W4674">
        <v>104.2576153860708</v>
      </c>
      <c r="AQ4674">
        <f>SMALL('Iter No Test'!$W$9:$W$5008,4672)</f>
        <v>354.85556829009147</v>
      </c>
      <c r="AR4674">
        <f>1/(COUNT('Iter No Test'!$W$9:$W$5008)-1)+$AR$4673</f>
        <v>0.93438687737540005</v>
      </c>
    </row>
    <row r="4675" spans="22:44">
      <c r="V4675">
        <v>4667</v>
      </c>
      <c r="W4675">
        <v>251.17660760833488</v>
      </c>
      <c r="AQ4675">
        <f>SMALL('Iter No Test'!$W$9:$W$5008,4673)</f>
        <v>354.9108680992689</v>
      </c>
      <c r="AR4675">
        <f>1/(COUNT('Iter No Test'!$W$9:$W$5008)-1)+$AR$4674</f>
        <v>0.93458691738340161</v>
      </c>
    </row>
    <row r="4676" spans="22:44">
      <c r="V4676">
        <v>4668</v>
      </c>
      <c r="W4676">
        <v>376.99977794416753</v>
      </c>
      <c r="AQ4676">
        <f>SMALL('Iter No Test'!$W$9:$W$5008,4674)</f>
        <v>354.93356797396933</v>
      </c>
      <c r="AR4676">
        <f>1/(COUNT('Iter No Test'!$W$9:$W$5008)-1)+$AR$4675</f>
        <v>0.93478695739140316</v>
      </c>
    </row>
    <row r="4677" spans="22:44">
      <c r="V4677">
        <v>4669</v>
      </c>
      <c r="W4677">
        <v>175.83753336401458</v>
      </c>
      <c r="AQ4677">
        <f>SMALL('Iter No Test'!$W$9:$W$5008,4675)</f>
        <v>355.0770321445392</v>
      </c>
      <c r="AR4677">
        <f>1/(COUNT('Iter No Test'!$W$9:$W$5008)-1)+$AR$4676</f>
        <v>0.93498699739940472</v>
      </c>
    </row>
    <row r="4678" spans="22:44">
      <c r="V4678">
        <v>4670</v>
      </c>
      <c r="W4678">
        <v>252.85798184272369</v>
      </c>
      <c r="AQ4678">
        <f>SMALL('Iter No Test'!$W$9:$W$5008,4676)</f>
        <v>355.1312341389156</v>
      </c>
      <c r="AR4678">
        <f>1/(COUNT('Iter No Test'!$W$9:$W$5008)-1)+$AR$4677</f>
        <v>0.93518703740740627</v>
      </c>
    </row>
    <row r="4679" spans="22:44">
      <c r="V4679">
        <v>4671</v>
      </c>
      <c r="W4679">
        <v>142.44352898729898</v>
      </c>
      <c r="AQ4679">
        <f>SMALL('Iter No Test'!$W$9:$W$5008,4677)</f>
        <v>355.19996506330875</v>
      </c>
      <c r="AR4679">
        <f>1/(COUNT('Iter No Test'!$W$9:$W$5008)-1)+$AR$4678</f>
        <v>0.93538707741540783</v>
      </c>
    </row>
    <row r="4680" spans="22:44">
      <c r="V4680">
        <v>4672</v>
      </c>
      <c r="W4680">
        <v>228.35310964665317</v>
      </c>
      <c r="AQ4680">
        <f>SMALL('Iter No Test'!$W$9:$W$5008,4678)</f>
        <v>355.23879590823867</v>
      </c>
      <c r="AR4680">
        <f>1/(COUNT('Iter No Test'!$W$9:$W$5008)-1)+$AR$4679</f>
        <v>0.93558711742340939</v>
      </c>
    </row>
    <row r="4681" spans="22:44">
      <c r="V4681">
        <v>4673</v>
      </c>
      <c r="W4681">
        <v>85.194648797464438</v>
      </c>
      <c r="AQ4681">
        <f>SMALL('Iter No Test'!$W$9:$W$5008,4679)</f>
        <v>355.35425617178322</v>
      </c>
      <c r="AR4681">
        <f>1/(COUNT('Iter No Test'!$W$9:$W$5008)-1)+$AR$4680</f>
        <v>0.93578715743141094</v>
      </c>
    </row>
    <row r="4682" spans="22:44">
      <c r="V4682">
        <v>4674</v>
      </c>
      <c r="W4682">
        <v>248.70940073116756</v>
      </c>
      <c r="AQ4682">
        <f>SMALL('Iter No Test'!$W$9:$W$5008,4680)</f>
        <v>355.43585566386946</v>
      </c>
      <c r="AR4682">
        <f>1/(COUNT('Iter No Test'!$W$9:$W$5008)-1)+$AR$4681</f>
        <v>0.9359871974394125</v>
      </c>
    </row>
    <row r="4683" spans="22:44">
      <c r="V4683">
        <v>4675</v>
      </c>
      <c r="W4683">
        <v>125.34548942846573</v>
      </c>
      <c r="AQ4683">
        <f>SMALL('Iter No Test'!$W$9:$W$5008,4681)</f>
        <v>355.52094979693931</v>
      </c>
      <c r="AR4683">
        <f>1/(COUNT('Iter No Test'!$W$9:$W$5008)-1)+$AR$4682</f>
        <v>0.93618723744741406</v>
      </c>
    </row>
    <row r="4684" spans="22:44">
      <c r="V4684">
        <v>4676</v>
      </c>
      <c r="W4684">
        <v>174.17229934234598</v>
      </c>
      <c r="AQ4684">
        <f>SMALL('Iter No Test'!$W$9:$W$5008,4682)</f>
        <v>356.0377573266062</v>
      </c>
      <c r="AR4684">
        <f>1/(COUNT('Iter No Test'!$W$9:$W$5008)-1)+$AR$4683</f>
        <v>0.93638727745541561</v>
      </c>
    </row>
    <row r="4685" spans="22:44">
      <c r="V4685">
        <v>4677</v>
      </c>
      <c r="W4685">
        <v>261.1702540316619</v>
      </c>
      <c r="AQ4685">
        <f>SMALL('Iter No Test'!$W$9:$W$5008,4683)</f>
        <v>356.37414016670675</v>
      </c>
      <c r="AR4685">
        <f>1/(COUNT('Iter No Test'!$W$9:$W$5008)-1)+$AR$4684</f>
        <v>0.93658731746341717</v>
      </c>
    </row>
    <row r="4686" spans="22:44">
      <c r="V4686">
        <v>4678</v>
      </c>
      <c r="W4686">
        <v>200.48130204534931</v>
      </c>
      <c r="AQ4686">
        <f>SMALL('Iter No Test'!$W$9:$W$5008,4684)</f>
        <v>357.06564550807076</v>
      </c>
      <c r="AR4686">
        <f>1/(COUNT('Iter No Test'!$W$9:$W$5008)-1)+$AR$4685</f>
        <v>0.93678735747141872</v>
      </c>
    </row>
    <row r="4687" spans="22:44">
      <c r="V4687">
        <v>4679</v>
      </c>
      <c r="W4687">
        <v>173.37060489771477</v>
      </c>
      <c r="AQ4687">
        <f>SMALL('Iter No Test'!$W$9:$W$5008,4685)</f>
        <v>357.06903008381107</v>
      </c>
      <c r="AR4687">
        <f>1/(COUNT('Iter No Test'!$W$9:$W$5008)-1)+$AR$4686</f>
        <v>0.93698739747942028</v>
      </c>
    </row>
    <row r="4688" spans="22:44">
      <c r="V4688">
        <v>4680</v>
      </c>
      <c r="W4688">
        <v>118.37490332183876</v>
      </c>
      <c r="AQ4688">
        <f>SMALL('Iter No Test'!$W$9:$W$5008,4686)</f>
        <v>357.26815543709893</v>
      </c>
      <c r="AR4688">
        <f>1/(COUNT('Iter No Test'!$W$9:$W$5008)-1)+$AR$4687</f>
        <v>0.93718743748742184</v>
      </c>
    </row>
    <row r="4689" spans="22:44">
      <c r="V4689">
        <v>4681</v>
      </c>
      <c r="W4689">
        <v>364.5560363264035</v>
      </c>
      <c r="AQ4689">
        <f>SMALL('Iter No Test'!$W$9:$W$5008,4687)</f>
        <v>357.59121905797201</v>
      </c>
      <c r="AR4689">
        <f>1/(COUNT('Iter No Test'!$W$9:$W$5008)-1)+$AR$4688</f>
        <v>0.93738747749542339</v>
      </c>
    </row>
    <row r="4690" spans="22:44">
      <c r="V4690">
        <v>4682</v>
      </c>
      <c r="W4690">
        <v>290.02675076872845</v>
      </c>
      <c r="AQ4690">
        <f>SMALL('Iter No Test'!$W$9:$W$5008,4688)</f>
        <v>357.81289291498024</v>
      </c>
      <c r="AR4690">
        <f>1/(COUNT('Iter No Test'!$W$9:$W$5008)-1)+$AR$4689</f>
        <v>0.93758751750342495</v>
      </c>
    </row>
    <row r="4691" spans="22:44">
      <c r="V4691">
        <v>4683</v>
      </c>
      <c r="W4691">
        <v>212.30852414278743</v>
      </c>
      <c r="AQ4691">
        <f>SMALL('Iter No Test'!$W$9:$W$5008,4689)</f>
        <v>357.94169055458548</v>
      </c>
      <c r="AR4691">
        <f>1/(COUNT('Iter No Test'!$W$9:$W$5008)-1)+$AR$4690</f>
        <v>0.93778755751142651</v>
      </c>
    </row>
    <row r="4692" spans="22:44">
      <c r="V4692">
        <v>4684</v>
      </c>
      <c r="W4692">
        <v>351.67993586344357</v>
      </c>
      <c r="AQ4692">
        <f>SMALL('Iter No Test'!$W$9:$W$5008,4690)</f>
        <v>357.98227130377001</v>
      </c>
      <c r="AR4692">
        <f>1/(COUNT('Iter No Test'!$W$9:$W$5008)-1)+$AR$4691</f>
        <v>0.93798759751942806</v>
      </c>
    </row>
    <row r="4693" spans="22:44">
      <c r="V4693">
        <v>4685</v>
      </c>
      <c r="W4693">
        <v>353.7569964145614</v>
      </c>
      <c r="AQ4693">
        <f>SMALL('Iter No Test'!$W$9:$W$5008,4691)</f>
        <v>358.0650678700456</v>
      </c>
      <c r="AR4693">
        <f>1/(COUNT('Iter No Test'!$W$9:$W$5008)-1)+$AR$4692</f>
        <v>0.93818763752742962</v>
      </c>
    </row>
    <row r="4694" spans="22:44">
      <c r="V4694">
        <v>4686</v>
      </c>
      <c r="W4694">
        <v>269.64461803336076</v>
      </c>
      <c r="AQ4694">
        <f>SMALL('Iter No Test'!$W$9:$W$5008,4692)</f>
        <v>358.23425256355472</v>
      </c>
      <c r="AR4694">
        <f>1/(COUNT('Iter No Test'!$W$9:$W$5008)-1)+$AR$4693</f>
        <v>0.93838767753543118</v>
      </c>
    </row>
    <row r="4695" spans="22:44">
      <c r="V4695">
        <v>4687</v>
      </c>
      <c r="W4695">
        <v>338.46650844136514</v>
      </c>
      <c r="AQ4695">
        <f>SMALL('Iter No Test'!$W$9:$W$5008,4693)</f>
        <v>358.61647476264363</v>
      </c>
      <c r="AR4695">
        <f>1/(COUNT('Iter No Test'!$W$9:$W$5008)-1)+$AR$4694</f>
        <v>0.93858771754343273</v>
      </c>
    </row>
    <row r="4696" spans="22:44">
      <c r="V4696">
        <v>4688</v>
      </c>
      <c r="W4696">
        <v>175.09140443718627</v>
      </c>
      <c r="AQ4696">
        <f>SMALL('Iter No Test'!$W$9:$W$5008,4694)</f>
        <v>358.67609359039989</v>
      </c>
      <c r="AR4696">
        <f>1/(COUNT('Iter No Test'!$W$9:$W$5008)-1)+$AR$4695</f>
        <v>0.93878775755143429</v>
      </c>
    </row>
    <row r="4697" spans="22:44">
      <c r="V4697">
        <v>4689</v>
      </c>
      <c r="W4697">
        <v>280.11362764932653</v>
      </c>
      <c r="AQ4697">
        <f>SMALL('Iter No Test'!$W$9:$W$5008,4695)</f>
        <v>359.05027610810896</v>
      </c>
      <c r="AR4697">
        <f>1/(COUNT('Iter No Test'!$W$9:$W$5008)-1)+$AR$4696</f>
        <v>0.93898779755943584</v>
      </c>
    </row>
    <row r="4698" spans="22:44">
      <c r="V4698">
        <v>4690</v>
      </c>
      <c r="W4698">
        <v>159.89482984387391</v>
      </c>
      <c r="AQ4698">
        <f>SMALL('Iter No Test'!$W$9:$W$5008,4696)</f>
        <v>359.08589787176487</v>
      </c>
      <c r="AR4698">
        <f>1/(COUNT('Iter No Test'!$W$9:$W$5008)-1)+$AR$4697</f>
        <v>0.9391878375674374</v>
      </c>
    </row>
    <row r="4699" spans="22:44">
      <c r="V4699">
        <v>4691</v>
      </c>
      <c r="W4699">
        <v>199.52437326152884</v>
      </c>
      <c r="AQ4699">
        <f>SMALL('Iter No Test'!$W$9:$W$5008,4697)</f>
        <v>359.15580182798783</v>
      </c>
      <c r="AR4699">
        <f>1/(COUNT('Iter No Test'!$W$9:$W$5008)-1)+$AR$4698</f>
        <v>0.93938787757543896</v>
      </c>
    </row>
    <row r="4700" spans="22:44">
      <c r="V4700">
        <v>4692</v>
      </c>
      <c r="W4700">
        <v>292.53768936658844</v>
      </c>
      <c r="AQ4700">
        <f>SMALL('Iter No Test'!$W$9:$W$5008,4698)</f>
        <v>359.5501112161615</v>
      </c>
      <c r="AR4700">
        <f>1/(COUNT('Iter No Test'!$W$9:$W$5008)-1)+$AR$4699</f>
        <v>0.93958791758344051</v>
      </c>
    </row>
    <row r="4701" spans="22:44">
      <c r="V4701">
        <v>4693</v>
      </c>
      <c r="W4701">
        <v>244.28708236737523</v>
      </c>
      <c r="AQ4701">
        <f>SMALL('Iter No Test'!$W$9:$W$5008,4699)</f>
        <v>359.66189995503237</v>
      </c>
      <c r="AR4701">
        <f>1/(COUNT('Iter No Test'!$W$9:$W$5008)-1)+$AR$4700</f>
        <v>0.93978795759144207</v>
      </c>
    </row>
    <row r="4702" spans="22:44">
      <c r="V4702">
        <v>4694</v>
      </c>
      <c r="W4702">
        <v>132.1558552728581</v>
      </c>
      <c r="AQ4702">
        <f>SMALL('Iter No Test'!$W$9:$W$5008,4700)</f>
        <v>359.68048823840309</v>
      </c>
      <c r="AR4702">
        <f>1/(COUNT('Iter No Test'!$W$9:$W$5008)-1)+$AR$4701</f>
        <v>0.93998799759944363</v>
      </c>
    </row>
    <row r="4703" spans="22:44">
      <c r="V4703">
        <v>4695</v>
      </c>
      <c r="W4703">
        <v>81.988952027062183</v>
      </c>
      <c r="AQ4703">
        <f>SMALL('Iter No Test'!$W$9:$W$5008,4701)</f>
        <v>359.69875902904596</v>
      </c>
      <c r="AR4703">
        <f>1/(COUNT('Iter No Test'!$W$9:$W$5008)-1)+$AR$4702</f>
        <v>0.94018803760744518</v>
      </c>
    </row>
    <row r="4704" spans="22:44">
      <c r="V4704">
        <v>4696</v>
      </c>
      <c r="W4704">
        <v>269.26458429181264</v>
      </c>
      <c r="AQ4704">
        <f>SMALL('Iter No Test'!$W$9:$W$5008,4702)</f>
        <v>359.9115476064913</v>
      </c>
      <c r="AR4704">
        <f>1/(COUNT('Iter No Test'!$W$9:$W$5008)-1)+$AR$4703</f>
        <v>0.94038807761544674</v>
      </c>
    </row>
    <row r="4705" spans="22:44">
      <c r="V4705">
        <v>4697</v>
      </c>
      <c r="W4705">
        <v>216.70357731639035</v>
      </c>
      <c r="AQ4705">
        <f>SMALL('Iter No Test'!$W$9:$W$5008,4703)</f>
        <v>360.03301115185536</v>
      </c>
      <c r="AR4705">
        <f>1/(COUNT('Iter No Test'!$W$9:$W$5008)-1)+$AR$4704</f>
        <v>0.94058811762344829</v>
      </c>
    </row>
    <row r="4706" spans="22:44">
      <c r="V4706">
        <v>4698</v>
      </c>
      <c r="W4706">
        <v>275.34680191942203</v>
      </c>
      <c r="AQ4706">
        <f>SMALL('Iter No Test'!$W$9:$W$5008,4704)</f>
        <v>360.2326362660159</v>
      </c>
      <c r="AR4706">
        <f>1/(COUNT('Iter No Test'!$W$9:$W$5008)-1)+$AR$4705</f>
        <v>0.94078815763144985</v>
      </c>
    </row>
    <row r="4707" spans="22:44">
      <c r="V4707">
        <v>4699</v>
      </c>
      <c r="W4707">
        <v>151.52272570810027</v>
      </c>
      <c r="AQ4707">
        <f>SMALL('Iter No Test'!$W$9:$W$5008,4705)</f>
        <v>360.28872495864653</v>
      </c>
      <c r="AR4707">
        <f>1/(COUNT('Iter No Test'!$W$9:$W$5008)-1)+$AR$4706</f>
        <v>0.94098819763945141</v>
      </c>
    </row>
    <row r="4708" spans="22:44">
      <c r="V4708">
        <v>4700</v>
      </c>
      <c r="W4708">
        <v>203.66408808774818</v>
      </c>
      <c r="AQ4708">
        <f>SMALL('Iter No Test'!$W$9:$W$5008,4706)</f>
        <v>360.80953839038096</v>
      </c>
      <c r="AR4708">
        <f>1/(COUNT('Iter No Test'!$W$9:$W$5008)-1)+$AR$4707</f>
        <v>0.94118823764745296</v>
      </c>
    </row>
    <row r="4709" spans="22:44">
      <c r="V4709">
        <v>4701</v>
      </c>
      <c r="W4709">
        <v>145.35009116035323</v>
      </c>
      <c r="AQ4709">
        <f>SMALL('Iter No Test'!$W$9:$W$5008,4707)</f>
        <v>361.01206625907707</v>
      </c>
      <c r="AR4709">
        <f>1/(COUNT('Iter No Test'!$W$9:$W$5008)-1)+$AR$4708</f>
        <v>0.94138827765545452</v>
      </c>
    </row>
    <row r="4710" spans="22:44">
      <c r="V4710">
        <v>4702</v>
      </c>
      <c r="W4710">
        <v>257.23738742595617</v>
      </c>
      <c r="AQ4710">
        <f>SMALL('Iter No Test'!$W$9:$W$5008,4708)</f>
        <v>361.02258040777332</v>
      </c>
      <c r="AR4710">
        <f>1/(COUNT('Iter No Test'!$W$9:$W$5008)-1)+$AR$4709</f>
        <v>0.94158831766345608</v>
      </c>
    </row>
    <row r="4711" spans="22:44">
      <c r="V4711">
        <v>4703</v>
      </c>
      <c r="W4711">
        <v>151.12310555631319</v>
      </c>
      <c r="AQ4711">
        <f>SMALL('Iter No Test'!$W$9:$W$5008,4709)</f>
        <v>361.04975998387272</v>
      </c>
      <c r="AR4711">
        <f>1/(COUNT('Iter No Test'!$W$9:$W$5008)-1)+$AR$4710</f>
        <v>0.94178835767145763</v>
      </c>
    </row>
    <row r="4712" spans="22:44">
      <c r="V4712">
        <v>4704</v>
      </c>
      <c r="W4712">
        <v>240.60882481341326</v>
      </c>
      <c r="AQ4712">
        <f>SMALL('Iter No Test'!$W$9:$W$5008,4710)</f>
        <v>361.08702928209334</v>
      </c>
      <c r="AR4712">
        <f>1/(COUNT('Iter No Test'!$W$9:$W$5008)-1)+$AR$4711</f>
        <v>0.94198839767945919</v>
      </c>
    </row>
    <row r="4713" spans="22:44">
      <c r="V4713">
        <v>4705</v>
      </c>
      <c r="W4713">
        <v>263.65433136064348</v>
      </c>
      <c r="AQ4713">
        <f>SMALL('Iter No Test'!$W$9:$W$5008,4711)</f>
        <v>361.57423811431738</v>
      </c>
      <c r="AR4713">
        <f>1/(COUNT('Iter No Test'!$W$9:$W$5008)-1)+$AR$4712</f>
        <v>0.94218843768746074</v>
      </c>
    </row>
    <row r="4714" spans="22:44">
      <c r="V4714">
        <v>4706</v>
      </c>
      <c r="W4714">
        <v>267.84199282565794</v>
      </c>
      <c r="AQ4714">
        <f>SMALL('Iter No Test'!$W$9:$W$5008,4712)</f>
        <v>361.61960942042992</v>
      </c>
      <c r="AR4714">
        <f>1/(COUNT('Iter No Test'!$W$9:$W$5008)-1)+$AR$4713</f>
        <v>0.9423884776954623</v>
      </c>
    </row>
    <row r="4715" spans="22:44">
      <c r="V4715">
        <v>4707</v>
      </c>
      <c r="W4715">
        <v>232.70640227025265</v>
      </c>
      <c r="AQ4715">
        <f>SMALL('Iter No Test'!$W$9:$W$5008,4713)</f>
        <v>362.35574451058437</v>
      </c>
      <c r="AR4715">
        <f>1/(COUNT('Iter No Test'!$W$9:$W$5008)-1)+$AR$4714</f>
        <v>0.94258851770346386</v>
      </c>
    </row>
    <row r="4716" spans="22:44">
      <c r="V4716">
        <v>4708</v>
      </c>
      <c r="W4716">
        <v>81.055006412551222</v>
      </c>
      <c r="AQ4716">
        <f>SMALL('Iter No Test'!$W$9:$W$5008,4714)</f>
        <v>362.48811552173873</v>
      </c>
      <c r="AR4716">
        <f>1/(COUNT('Iter No Test'!$W$9:$W$5008)-1)+$AR$4715</f>
        <v>0.94278855771146541</v>
      </c>
    </row>
    <row r="4717" spans="22:44">
      <c r="V4717">
        <v>4709</v>
      </c>
      <c r="W4717">
        <v>357.06903008381107</v>
      </c>
      <c r="AQ4717">
        <f>SMALL('Iter No Test'!$W$9:$W$5008,4715)</f>
        <v>362.56627213405102</v>
      </c>
      <c r="AR4717">
        <f>1/(COUNT('Iter No Test'!$W$9:$W$5008)-1)+$AR$4716</f>
        <v>0.94298859771946697</v>
      </c>
    </row>
    <row r="4718" spans="22:44">
      <c r="V4718">
        <v>4710</v>
      </c>
      <c r="W4718">
        <v>223.01751312025178</v>
      </c>
      <c r="AQ4718">
        <f>SMALL('Iter No Test'!$W$9:$W$5008,4716)</f>
        <v>362.69629439440598</v>
      </c>
      <c r="AR4718">
        <f>1/(COUNT('Iter No Test'!$W$9:$W$5008)-1)+$AR$4717</f>
        <v>0.94318863772746853</v>
      </c>
    </row>
    <row r="4719" spans="22:44">
      <c r="V4719">
        <v>4711</v>
      </c>
      <c r="W4719">
        <v>212.36624678583394</v>
      </c>
      <c r="AQ4719">
        <f>SMALL('Iter No Test'!$W$9:$W$5008,4717)</f>
        <v>362.76783184124531</v>
      </c>
      <c r="AR4719">
        <f>1/(COUNT('Iter No Test'!$W$9:$W$5008)-1)+$AR$4718</f>
        <v>0.94338867773547008</v>
      </c>
    </row>
    <row r="4720" spans="22:44">
      <c r="V4720">
        <v>4712</v>
      </c>
      <c r="W4720">
        <v>193.94009002119896</v>
      </c>
      <c r="AQ4720">
        <f>SMALL('Iter No Test'!$W$9:$W$5008,4718)</f>
        <v>362.84386977510644</v>
      </c>
      <c r="AR4720">
        <f>1/(COUNT('Iter No Test'!$W$9:$W$5008)-1)+$AR$4719</f>
        <v>0.94358871774347164</v>
      </c>
    </row>
    <row r="4721" spans="22:44">
      <c r="V4721">
        <v>4713</v>
      </c>
      <c r="W4721">
        <v>209.14809854260713</v>
      </c>
      <c r="AQ4721">
        <f>SMALL('Iter No Test'!$W$9:$W$5008,4719)</f>
        <v>362.99913839748967</v>
      </c>
      <c r="AR4721">
        <f>1/(COUNT('Iter No Test'!$W$9:$W$5008)-1)+$AR$4720</f>
        <v>0.9437887577514732</v>
      </c>
    </row>
    <row r="4722" spans="22:44">
      <c r="V4722">
        <v>4714</v>
      </c>
      <c r="W4722">
        <v>127.76277198311411</v>
      </c>
      <c r="AQ4722">
        <f>SMALL('Iter No Test'!$W$9:$W$5008,4720)</f>
        <v>363.21595606517019</v>
      </c>
      <c r="AR4722">
        <f>1/(COUNT('Iter No Test'!$W$9:$W$5008)-1)+$AR$4721</f>
        <v>0.94398879775947475</v>
      </c>
    </row>
    <row r="4723" spans="22:44">
      <c r="V4723">
        <v>4715</v>
      </c>
      <c r="W4723">
        <v>156.4625609785993</v>
      </c>
      <c r="AQ4723">
        <f>SMALL('Iter No Test'!$W$9:$W$5008,4721)</f>
        <v>363.27106158458423</v>
      </c>
      <c r="AR4723">
        <f>1/(COUNT('Iter No Test'!$W$9:$W$5008)-1)+$AR$4722</f>
        <v>0.94418883776747631</v>
      </c>
    </row>
    <row r="4724" spans="22:44">
      <c r="V4724">
        <v>4716</v>
      </c>
      <c r="W4724">
        <v>176.81620866445743</v>
      </c>
      <c r="AQ4724">
        <f>SMALL('Iter No Test'!$W$9:$W$5008,4722)</f>
        <v>363.27318900414264</v>
      </c>
      <c r="AR4724">
        <f>1/(COUNT('Iter No Test'!$W$9:$W$5008)-1)+$AR$4723</f>
        <v>0.94438887777547786</v>
      </c>
    </row>
    <row r="4725" spans="22:44">
      <c r="V4725">
        <v>4717</v>
      </c>
      <c r="W4725">
        <v>130.41631101956571</v>
      </c>
      <c r="AQ4725">
        <f>SMALL('Iter No Test'!$W$9:$W$5008,4723)</f>
        <v>363.52247336591483</v>
      </c>
      <c r="AR4725">
        <f>1/(COUNT('Iter No Test'!$W$9:$W$5008)-1)+$AR$4724</f>
        <v>0.94458891778347942</v>
      </c>
    </row>
    <row r="4726" spans="22:44">
      <c r="V4726">
        <v>4718</v>
      </c>
      <c r="W4726">
        <v>116.19957922226699</v>
      </c>
      <c r="AQ4726">
        <f>SMALL('Iter No Test'!$W$9:$W$5008,4724)</f>
        <v>363.5878224286846</v>
      </c>
      <c r="AR4726">
        <f>1/(COUNT('Iter No Test'!$W$9:$W$5008)-1)+$AR$4725</f>
        <v>0.94478895779148098</v>
      </c>
    </row>
    <row r="4727" spans="22:44">
      <c r="V4727">
        <v>4719</v>
      </c>
      <c r="W4727">
        <v>182.01547801806498</v>
      </c>
      <c r="AQ4727">
        <f>SMALL('Iter No Test'!$W$9:$W$5008,4725)</f>
        <v>363.72452302021884</v>
      </c>
      <c r="AR4727">
        <f>1/(COUNT('Iter No Test'!$W$9:$W$5008)-1)+$AR$4726</f>
        <v>0.94498899779948253</v>
      </c>
    </row>
    <row r="4728" spans="22:44">
      <c r="V4728">
        <v>4720</v>
      </c>
      <c r="W4728">
        <v>133.95126968072128</v>
      </c>
      <c r="AQ4728">
        <f>SMALL('Iter No Test'!$W$9:$W$5008,4726)</f>
        <v>364.54404694834875</v>
      </c>
      <c r="AR4728">
        <f>1/(COUNT('Iter No Test'!$W$9:$W$5008)-1)+$AR$4727</f>
        <v>0.94518903780748409</v>
      </c>
    </row>
    <row r="4729" spans="22:44">
      <c r="V4729">
        <v>4721</v>
      </c>
      <c r="W4729">
        <v>66.643904483790323</v>
      </c>
      <c r="AQ4729">
        <f>SMALL('Iter No Test'!$W$9:$W$5008,4727)</f>
        <v>364.5560363264035</v>
      </c>
      <c r="AR4729">
        <f>1/(COUNT('Iter No Test'!$W$9:$W$5008)-1)+$AR$4728</f>
        <v>0.94538907781548565</v>
      </c>
    </row>
    <row r="4730" spans="22:44">
      <c r="V4730">
        <v>4722</v>
      </c>
      <c r="W4730">
        <v>394.89884870176797</v>
      </c>
      <c r="AQ4730">
        <f>SMALL('Iter No Test'!$W$9:$W$5008,4728)</f>
        <v>364.84417213634799</v>
      </c>
      <c r="AR4730">
        <f>1/(COUNT('Iter No Test'!$W$9:$W$5008)-1)+$AR$4729</f>
        <v>0.9455891178234872</v>
      </c>
    </row>
    <row r="4731" spans="22:44">
      <c r="V4731">
        <v>4723</v>
      </c>
      <c r="W4731">
        <v>304.54924024972343</v>
      </c>
      <c r="AQ4731">
        <f>SMALL('Iter No Test'!$W$9:$W$5008,4729)</f>
        <v>364.84625967349871</v>
      </c>
      <c r="AR4731">
        <f>1/(COUNT('Iter No Test'!$W$9:$W$5008)-1)+$AR$4730</f>
        <v>0.94578915783148876</v>
      </c>
    </row>
    <row r="4732" spans="22:44">
      <c r="V4732">
        <v>4724</v>
      </c>
      <c r="W4732">
        <v>313.20147432680784</v>
      </c>
      <c r="AQ4732">
        <f>SMALL('Iter No Test'!$W$9:$W$5008,4730)</f>
        <v>365.2982661421911</v>
      </c>
      <c r="AR4732">
        <f>1/(COUNT('Iter No Test'!$W$9:$W$5008)-1)+$AR$4731</f>
        <v>0.94598919783949031</v>
      </c>
    </row>
    <row r="4733" spans="22:44">
      <c r="V4733">
        <v>4725</v>
      </c>
      <c r="W4733">
        <v>284.01989080487294</v>
      </c>
      <c r="AQ4733">
        <f>SMALL('Iter No Test'!$W$9:$W$5008,4731)</f>
        <v>365.41533761835603</v>
      </c>
      <c r="AR4733">
        <f>1/(COUNT('Iter No Test'!$W$9:$W$5008)-1)+$AR$4732</f>
        <v>0.94618923784749187</v>
      </c>
    </row>
    <row r="4734" spans="22:44">
      <c r="V4734">
        <v>4726</v>
      </c>
      <c r="W4734">
        <v>135.73573057687423</v>
      </c>
      <c r="AQ4734">
        <f>SMALL('Iter No Test'!$W$9:$W$5008,4732)</f>
        <v>366.2853987635508</v>
      </c>
      <c r="AR4734">
        <f>1/(COUNT('Iter No Test'!$W$9:$W$5008)-1)+$AR$4733</f>
        <v>0.94638927785549343</v>
      </c>
    </row>
    <row r="4735" spans="22:44">
      <c r="V4735">
        <v>4727</v>
      </c>
      <c r="W4735">
        <v>134.65424044727501</v>
      </c>
      <c r="AQ4735">
        <f>SMALL('Iter No Test'!$W$9:$W$5008,4733)</f>
        <v>366.4404403367048</v>
      </c>
      <c r="AR4735">
        <f>1/(COUNT('Iter No Test'!$W$9:$W$5008)-1)+$AR$4734</f>
        <v>0.94658931786349498</v>
      </c>
    </row>
    <row r="4736" spans="22:44">
      <c r="V4736">
        <v>4728</v>
      </c>
      <c r="W4736">
        <v>310.69028188885073</v>
      </c>
      <c r="AQ4736">
        <f>SMALL('Iter No Test'!$W$9:$W$5008,4734)</f>
        <v>366.67044366563721</v>
      </c>
      <c r="AR4736">
        <f>1/(COUNT('Iter No Test'!$W$9:$W$5008)-1)+$AR$4735</f>
        <v>0.94678935787149654</v>
      </c>
    </row>
    <row r="4737" spans="22:44">
      <c r="V4737">
        <v>4729</v>
      </c>
      <c r="W4737">
        <v>141.78472452332298</v>
      </c>
      <c r="AQ4737">
        <f>SMALL('Iter No Test'!$W$9:$W$5008,4735)</f>
        <v>366.79869402377813</v>
      </c>
      <c r="AR4737">
        <f>1/(COUNT('Iter No Test'!$W$9:$W$5008)-1)+$AR$4736</f>
        <v>0.9469893978794981</v>
      </c>
    </row>
    <row r="4738" spans="22:44">
      <c r="V4738">
        <v>4730</v>
      </c>
      <c r="W4738">
        <v>372.16993529726346</v>
      </c>
      <c r="AQ4738">
        <f>SMALL('Iter No Test'!$W$9:$W$5008,4736)</f>
        <v>366.82175358694968</v>
      </c>
      <c r="AR4738">
        <f>1/(COUNT('Iter No Test'!$W$9:$W$5008)-1)+$AR$4737</f>
        <v>0.94718943788749965</v>
      </c>
    </row>
    <row r="4739" spans="22:44">
      <c r="V4739">
        <v>4731</v>
      </c>
      <c r="W4739">
        <v>331.45673962197532</v>
      </c>
      <c r="AQ4739">
        <f>SMALL('Iter No Test'!$W$9:$W$5008,4737)</f>
        <v>366.88671703660685</v>
      </c>
      <c r="AR4739">
        <f>1/(COUNT('Iter No Test'!$W$9:$W$5008)-1)+$AR$4738</f>
        <v>0.94738947789550121</v>
      </c>
    </row>
    <row r="4740" spans="22:44">
      <c r="V4740">
        <v>4732</v>
      </c>
      <c r="W4740">
        <v>156.4548232366817</v>
      </c>
      <c r="AQ4740">
        <f>SMALL('Iter No Test'!$W$9:$W$5008,4738)</f>
        <v>367.1063385738729</v>
      </c>
      <c r="AR4740">
        <f>1/(COUNT('Iter No Test'!$W$9:$W$5008)-1)+$AR$4739</f>
        <v>0.94758951790350276</v>
      </c>
    </row>
    <row r="4741" spans="22:44">
      <c r="V4741">
        <v>4733</v>
      </c>
      <c r="W4741">
        <v>142.70477328482463</v>
      </c>
      <c r="AQ4741">
        <f>SMALL('Iter No Test'!$W$9:$W$5008,4739)</f>
        <v>367.36170214232072</v>
      </c>
      <c r="AR4741">
        <f>1/(COUNT('Iter No Test'!$W$9:$W$5008)-1)+$AR$4740</f>
        <v>0.94778955791150432</v>
      </c>
    </row>
    <row r="4742" spans="22:44">
      <c r="V4742">
        <v>4734</v>
      </c>
      <c r="W4742">
        <v>306.04376508661477</v>
      </c>
      <c r="AQ4742">
        <f>SMALL('Iter No Test'!$W$9:$W$5008,4740)</f>
        <v>367.47739471326031</v>
      </c>
      <c r="AR4742">
        <f>1/(COUNT('Iter No Test'!$W$9:$W$5008)-1)+$AR$4741</f>
        <v>0.94798959791950588</v>
      </c>
    </row>
    <row r="4743" spans="22:44">
      <c r="V4743">
        <v>4735</v>
      </c>
      <c r="W4743">
        <v>189.974145265711</v>
      </c>
      <c r="AQ4743">
        <f>SMALL('Iter No Test'!$W$9:$W$5008,4741)</f>
        <v>367.64497034016625</v>
      </c>
      <c r="AR4743">
        <f>1/(COUNT('Iter No Test'!$W$9:$W$5008)-1)+$AR$4742</f>
        <v>0.94818963792750743</v>
      </c>
    </row>
    <row r="4744" spans="22:44">
      <c r="V4744">
        <v>4736</v>
      </c>
      <c r="W4744">
        <v>433.41537227570916</v>
      </c>
      <c r="AQ4744">
        <f>SMALL('Iter No Test'!$W$9:$W$5008,4742)</f>
        <v>367.71863723361548</v>
      </c>
      <c r="AR4744">
        <f>1/(COUNT('Iter No Test'!$W$9:$W$5008)-1)+$AR$4743</f>
        <v>0.94838967793550899</v>
      </c>
    </row>
    <row r="4745" spans="22:44">
      <c r="V4745">
        <v>4737</v>
      </c>
      <c r="W4745">
        <v>214.72492663661021</v>
      </c>
      <c r="AQ4745">
        <f>SMALL('Iter No Test'!$W$9:$W$5008,4743)</f>
        <v>367.72713874548589</v>
      </c>
      <c r="AR4745">
        <f>1/(COUNT('Iter No Test'!$W$9:$W$5008)-1)+$AR$4744</f>
        <v>0.94858971794351055</v>
      </c>
    </row>
    <row r="4746" spans="22:44">
      <c r="V4746">
        <v>4738</v>
      </c>
      <c r="W4746">
        <v>201.67321687436089</v>
      </c>
      <c r="AQ4746">
        <f>SMALL('Iter No Test'!$W$9:$W$5008,4744)</f>
        <v>367.89856595352086</v>
      </c>
      <c r="AR4746">
        <f>1/(COUNT('Iter No Test'!$W$9:$W$5008)-1)+$AR$4745</f>
        <v>0.9487897579515121</v>
      </c>
    </row>
    <row r="4747" spans="22:44">
      <c r="V4747">
        <v>4739</v>
      </c>
      <c r="W4747">
        <v>255.92823296753144</v>
      </c>
      <c r="AQ4747">
        <f>SMALL('Iter No Test'!$W$9:$W$5008,4745)</f>
        <v>368.28711484459092</v>
      </c>
      <c r="AR4747">
        <f>1/(COUNT('Iter No Test'!$W$9:$W$5008)-1)+$AR$4746</f>
        <v>0.94898979795951366</v>
      </c>
    </row>
    <row r="4748" spans="22:44">
      <c r="V4748">
        <v>4740</v>
      </c>
      <c r="W4748">
        <v>77.301418178489868</v>
      </c>
      <c r="AQ4748">
        <f>SMALL('Iter No Test'!$W$9:$W$5008,4746)</f>
        <v>368.40622794993595</v>
      </c>
      <c r="AR4748">
        <f>1/(COUNT('Iter No Test'!$W$9:$W$5008)-1)+$AR$4747</f>
        <v>0.94918983796751522</v>
      </c>
    </row>
    <row r="4749" spans="22:44">
      <c r="V4749">
        <v>4741</v>
      </c>
      <c r="W4749">
        <v>114.68515235851119</v>
      </c>
      <c r="AQ4749">
        <f>SMALL('Iter No Test'!$W$9:$W$5008,4747)</f>
        <v>368.41832271505177</v>
      </c>
      <c r="AR4749">
        <f>1/(COUNT('Iter No Test'!$W$9:$W$5008)-1)+$AR$4748</f>
        <v>0.94938987797551677</v>
      </c>
    </row>
    <row r="4750" spans="22:44">
      <c r="V4750">
        <v>4742</v>
      </c>
      <c r="W4750">
        <v>298.72211754543423</v>
      </c>
      <c r="AQ4750">
        <f>SMALL('Iter No Test'!$W$9:$W$5008,4748)</f>
        <v>368.75145231241527</v>
      </c>
      <c r="AR4750">
        <f>1/(COUNT('Iter No Test'!$W$9:$W$5008)-1)+$AR$4749</f>
        <v>0.94958991798351833</v>
      </c>
    </row>
    <row r="4751" spans="22:44">
      <c r="V4751">
        <v>4743</v>
      </c>
      <c r="W4751">
        <v>151.66061571749478</v>
      </c>
      <c r="AQ4751">
        <f>SMALL('Iter No Test'!$W$9:$W$5008,4749)</f>
        <v>368.91458160604031</v>
      </c>
      <c r="AR4751">
        <f>1/(COUNT('Iter No Test'!$W$9:$W$5008)-1)+$AR$4750</f>
        <v>0.94978995799151988</v>
      </c>
    </row>
    <row r="4752" spans="22:44">
      <c r="V4752">
        <v>4744</v>
      </c>
      <c r="W4752">
        <v>225.15548409784591</v>
      </c>
      <c r="AQ4752">
        <f>SMALL('Iter No Test'!$W$9:$W$5008,4750)</f>
        <v>369.14905577072284</v>
      </c>
      <c r="AR4752">
        <f>1/(COUNT('Iter No Test'!$W$9:$W$5008)-1)+$AR$4751</f>
        <v>0.94998999799952144</v>
      </c>
    </row>
    <row r="4753" spans="22:44">
      <c r="V4753">
        <v>4745</v>
      </c>
      <c r="W4753">
        <v>345.2719642098192</v>
      </c>
      <c r="AQ4753">
        <f>SMALL('Iter No Test'!$W$9:$W$5008,4751)</f>
        <v>369.35656682122647</v>
      </c>
      <c r="AR4753">
        <f>1/(COUNT('Iter No Test'!$W$9:$W$5008)-1)+$AR$4752</f>
        <v>0.950190038007523</v>
      </c>
    </row>
    <row r="4754" spans="22:44">
      <c r="V4754">
        <v>4746</v>
      </c>
      <c r="W4754">
        <v>189.22659343656701</v>
      </c>
      <c r="AQ4754">
        <f>SMALL('Iter No Test'!$W$9:$W$5008,4752)</f>
        <v>369.56851331582175</v>
      </c>
      <c r="AR4754">
        <f>1/(COUNT('Iter No Test'!$W$9:$W$5008)-1)+$AR$4753</f>
        <v>0.95039007801552455</v>
      </c>
    </row>
    <row r="4755" spans="22:44">
      <c r="V4755">
        <v>4747</v>
      </c>
      <c r="W4755">
        <v>169.97325016493474</v>
      </c>
      <c r="AQ4755">
        <f>SMALL('Iter No Test'!$W$9:$W$5008,4753)</f>
        <v>369.60581449423034</v>
      </c>
      <c r="AR4755">
        <f>1/(COUNT('Iter No Test'!$W$9:$W$5008)-1)+$AR$4754</f>
        <v>0.95059011802352611</v>
      </c>
    </row>
    <row r="4756" spans="22:44">
      <c r="V4756">
        <v>4748</v>
      </c>
      <c r="W4756">
        <v>110.89491477044847</v>
      </c>
      <c r="AQ4756">
        <f>SMALL('Iter No Test'!$W$9:$W$5008,4754)</f>
        <v>370.22898444033325</v>
      </c>
      <c r="AR4756">
        <f>1/(COUNT('Iter No Test'!$W$9:$W$5008)-1)+$AR$4755</f>
        <v>0.95079015803152767</v>
      </c>
    </row>
    <row r="4757" spans="22:44">
      <c r="V4757">
        <v>4749</v>
      </c>
      <c r="W4757">
        <v>340.19616749262252</v>
      </c>
      <c r="AQ4757">
        <f>SMALL('Iter No Test'!$W$9:$W$5008,4755)</f>
        <v>370.67207937099823</v>
      </c>
      <c r="AR4757">
        <f>1/(COUNT('Iter No Test'!$W$9:$W$5008)-1)+$AR$4756</f>
        <v>0.95099019803952922</v>
      </c>
    </row>
    <row r="4758" spans="22:44">
      <c r="V4758">
        <v>4750</v>
      </c>
      <c r="W4758">
        <v>375.79845912154468</v>
      </c>
      <c r="AQ4758">
        <f>SMALL('Iter No Test'!$W$9:$W$5008,4756)</f>
        <v>370.81855480222805</v>
      </c>
      <c r="AR4758">
        <f>1/(COUNT('Iter No Test'!$W$9:$W$5008)-1)+$AR$4757</f>
        <v>0.95119023804753078</v>
      </c>
    </row>
    <row r="4759" spans="22:44">
      <c r="V4759">
        <v>4751</v>
      </c>
      <c r="W4759">
        <v>173.59619618603784</v>
      </c>
      <c r="AQ4759">
        <f>SMALL('Iter No Test'!$W$9:$W$5008,4757)</f>
        <v>370.90133305676807</v>
      </c>
      <c r="AR4759">
        <f>1/(COUNT('Iter No Test'!$W$9:$W$5008)-1)+$AR$4758</f>
        <v>0.95139027805553233</v>
      </c>
    </row>
    <row r="4760" spans="22:44">
      <c r="V4760">
        <v>4752</v>
      </c>
      <c r="W4760">
        <v>170.22152351329203</v>
      </c>
      <c r="AQ4760">
        <f>SMALL('Iter No Test'!$W$9:$W$5008,4758)</f>
        <v>371.00545648942096</v>
      </c>
      <c r="AR4760">
        <f>1/(COUNT('Iter No Test'!$W$9:$W$5008)-1)+$AR$4759</f>
        <v>0.95159031806353389</v>
      </c>
    </row>
    <row r="4761" spans="22:44">
      <c r="V4761">
        <v>4753</v>
      </c>
      <c r="W4761">
        <v>149.10692490239904</v>
      </c>
      <c r="AQ4761">
        <f>SMALL('Iter No Test'!$W$9:$W$5008,4759)</f>
        <v>371.10622847538639</v>
      </c>
      <c r="AR4761">
        <f>1/(COUNT('Iter No Test'!$W$9:$W$5008)-1)+$AR$4760</f>
        <v>0.95179035807153545</v>
      </c>
    </row>
    <row r="4762" spans="22:44">
      <c r="V4762">
        <v>4754</v>
      </c>
      <c r="W4762">
        <v>192.95549807446025</v>
      </c>
      <c r="AQ4762">
        <f>SMALL('Iter No Test'!$W$9:$W$5008,4760)</f>
        <v>371.63648417962406</v>
      </c>
      <c r="AR4762">
        <f>1/(COUNT('Iter No Test'!$W$9:$W$5008)-1)+$AR$4761</f>
        <v>0.951990398079537</v>
      </c>
    </row>
    <row r="4763" spans="22:44">
      <c r="V4763">
        <v>4755</v>
      </c>
      <c r="W4763">
        <v>153.76485920248768</v>
      </c>
      <c r="AQ4763">
        <f>SMALL('Iter No Test'!$W$9:$W$5008,4761)</f>
        <v>371.88322660941071</v>
      </c>
      <c r="AR4763">
        <f>1/(COUNT('Iter No Test'!$W$9:$W$5008)-1)+$AR$4762</f>
        <v>0.95219043808753856</v>
      </c>
    </row>
    <row r="4764" spans="22:44">
      <c r="V4764">
        <v>4756</v>
      </c>
      <c r="W4764">
        <v>53.927195992312903</v>
      </c>
      <c r="AQ4764">
        <f>SMALL('Iter No Test'!$W$9:$W$5008,4762)</f>
        <v>372.05178791673274</v>
      </c>
      <c r="AR4764">
        <f>1/(COUNT('Iter No Test'!$W$9:$W$5008)-1)+$AR$4763</f>
        <v>0.95239047809554012</v>
      </c>
    </row>
    <row r="4765" spans="22:44">
      <c r="V4765">
        <v>4757</v>
      </c>
      <c r="W4765">
        <v>197.08801825152142</v>
      </c>
      <c r="AQ4765">
        <f>SMALL('Iter No Test'!$W$9:$W$5008,4763)</f>
        <v>372.14573051805149</v>
      </c>
      <c r="AR4765">
        <f>1/(COUNT('Iter No Test'!$W$9:$W$5008)-1)+$AR$4764</f>
        <v>0.95259051810354167</v>
      </c>
    </row>
    <row r="4766" spans="22:44">
      <c r="V4766">
        <v>4758</v>
      </c>
      <c r="W4766">
        <v>215.7286261487634</v>
      </c>
      <c r="AQ4766">
        <f>SMALL('Iter No Test'!$W$9:$W$5008,4764)</f>
        <v>372.16993529726346</v>
      </c>
      <c r="AR4766">
        <f>1/(COUNT('Iter No Test'!$W$9:$W$5008)-1)+$AR$4765</f>
        <v>0.95279055811154323</v>
      </c>
    </row>
    <row r="4767" spans="22:44">
      <c r="V4767">
        <v>4759</v>
      </c>
      <c r="W4767">
        <v>294.48819144874</v>
      </c>
      <c r="AQ4767">
        <f>SMALL('Iter No Test'!$W$9:$W$5008,4765)</f>
        <v>372.64259861633525</v>
      </c>
      <c r="AR4767">
        <f>1/(COUNT('Iter No Test'!$W$9:$W$5008)-1)+$AR$4766</f>
        <v>0.95299059811954479</v>
      </c>
    </row>
    <row r="4768" spans="22:44">
      <c r="V4768">
        <v>4760</v>
      </c>
      <c r="W4768">
        <v>233.04839921942107</v>
      </c>
      <c r="AQ4768">
        <f>SMALL('Iter No Test'!$W$9:$W$5008,4766)</f>
        <v>372.78732749525307</v>
      </c>
      <c r="AR4768">
        <f>1/(COUNT('Iter No Test'!$W$9:$W$5008)-1)+$AR$4767</f>
        <v>0.95319063812754634</v>
      </c>
    </row>
    <row r="4769" spans="22:44">
      <c r="V4769">
        <v>4761</v>
      </c>
      <c r="W4769">
        <v>183.33976137712511</v>
      </c>
      <c r="AQ4769">
        <f>SMALL('Iter No Test'!$W$9:$W$5008,4767)</f>
        <v>372.83030622768968</v>
      </c>
      <c r="AR4769">
        <f>1/(COUNT('Iter No Test'!$W$9:$W$5008)-1)+$AR$4768</f>
        <v>0.9533906781355479</v>
      </c>
    </row>
    <row r="4770" spans="22:44">
      <c r="V4770">
        <v>4762</v>
      </c>
      <c r="W4770">
        <v>8.869050960936022</v>
      </c>
      <c r="AQ4770">
        <f>SMALL('Iter No Test'!$W$9:$W$5008,4768)</f>
        <v>373.26040630205688</v>
      </c>
      <c r="AR4770">
        <f>1/(COUNT('Iter No Test'!$W$9:$W$5008)-1)+$AR$4769</f>
        <v>0.95359071814354945</v>
      </c>
    </row>
    <row r="4771" spans="22:44">
      <c r="V4771">
        <v>4763</v>
      </c>
      <c r="W4771">
        <v>160.09522872472127</v>
      </c>
      <c r="AQ4771">
        <f>SMALL('Iter No Test'!$W$9:$W$5008,4769)</f>
        <v>373.40225527050336</v>
      </c>
      <c r="AR4771">
        <f>1/(COUNT('Iter No Test'!$W$9:$W$5008)-1)+$AR$4770</f>
        <v>0.95379075815155101</v>
      </c>
    </row>
    <row r="4772" spans="22:44">
      <c r="V4772">
        <v>4764</v>
      </c>
      <c r="W4772">
        <v>247.40075520957927</v>
      </c>
      <c r="AQ4772">
        <f>SMALL('Iter No Test'!$W$9:$W$5008,4770)</f>
        <v>373.52045940035106</v>
      </c>
      <c r="AR4772">
        <f>1/(COUNT('Iter No Test'!$W$9:$W$5008)-1)+$AR$4771</f>
        <v>0.95399079815955257</v>
      </c>
    </row>
    <row r="4773" spans="22:44">
      <c r="V4773">
        <v>4765</v>
      </c>
      <c r="W4773">
        <v>324.03727111160879</v>
      </c>
      <c r="AQ4773">
        <f>SMALL('Iter No Test'!$W$9:$W$5008,4771)</f>
        <v>373.64261440971859</v>
      </c>
      <c r="AR4773">
        <f>1/(COUNT('Iter No Test'!$W$9:$W$5008)-1)+$AR$4772</f>
        <v>0.95419083816755412</v>
      </c>
    </row>
    <row r="4774" spans="22:44">
      <c r="V4774">
        <v>4766</v>
      </c>
      <c r="W4774">
        <v>116.22114349427423</v>
      </c>
      <c r="AQ4774">
        <f>SMALL('Iter No Test'!$W$9:$W$5008,4772)</f>
        <v>373.74514667190056</v>
      </c>
      <c r="AR4774">
        <f>1/(COUNT('Iter No Test'!$W$9:$W$5008)-1)+$AR$4773</f>
        <v>0.95439087817555568</v>
      </c>
    </row>
    <row r="4775" spans="22:44">
      <c r="V4775">
        <v>4767</v>
      </c>
      <c r="W4775">
        <v>76.262742292348193</v>
      </c>
      <c r="AQ4775">
        <f>SMALL('Iter No Test'!$W$9:$W$5008,4773)</f>
        <v>373.83564563952461</v>
      </c>
      <c r="AR4775">
        <f>1/(COUNT('Iter No Test'!$W$9:$W$5008)-1)+$AR$4774</f>
        <v>0.95459091818355724</v>
      </c>
    </row>
    <row r="4776" spans="22:44">
      <c r="V4776">
        <v>4768</v>
      </c>
      <c r="W4776">
        <v>99.437372982166394</v>
      </c>
      <c r="AQ4776">
        <f>SMALL('Iter No Test'!$W$9:$W$5008,4774)</f>
        <v>374.21454693832396</v>
      </c>
      <c r="AR4776">
        <f>1/(COUNT('Iter No Test'!$W$9:$W$5008)-1)+$AR$4775</f>
        <v>0.95479095819155879</v>
      </c>
    </row>
    <row r="4777" spans="22:44">
      <c r="V4777">
        <v>4769</v>
      </c>
      <c r="W4777">
        <v>160.63922961365265</v>
      </c>
      <c r="AQ4777">
        <f>SMALL('Iter No Test'!$W$9:$W$5008,4775)</f>
        <v>374.21929180163079</v>
      </c>
      <c r="AR4777">
        <f>1/(COUNT('Iter No Test'!$W$9:$W$5008)-1)+$AR$4776</f>
        <v>0.95499099819956035</v>
      </c>
    </row>
    <row r="4778" spans="22:44">
      <c r="V4778">
        <v>4770</v>
      </c>
      <c r="W4778">
        <v>30.151783000502604</v>
      </c>
      <c r="AQ4778">
        <f>SMALL('Iter No Test'!$W$9:$W$5008,4776)</f>
        <v>374.4409670703451</v>
      </c>
      <c r="AR4778">
        <f>1/(COUNT('Iter No Test'!$W$9:$W$5008)-1)+$AR$4777</f>
        <v>0.9551910382075619</v>
      </c>
    </row>
    <row r="4779" spans="22:44">
      <c r="V4779">
        <v>4771</v>
      </c>
      <c r="W4779">
        <v>145.88812088084799</v>
      </c>
      <c r="AQ4779">
        <f>SMALL('Iter No Test'!$W$9:$W$5008,4777)</f>
        <v>374.58280849891679</v>
      </c>
      <c r="AR4779">
        <f>1/(COUNT('Iter No Test'!$W$9:$W$5008)-1)+$AR$4778</f>
        <v>0.95539107821556346</v>
      </c>
    </row>
    <row r="4780" spans="22:44">
      <c r="V4780">
        <v>4772</v>
      </c>
      <c r="W4780">
        <v>135.02215058504788</v>
      </c>
      <c r="AQ4780">
        <f>SMALL('Iter No Test'!$W$9:$W$5008,4778)</f>
        <v>374.64734904746138</v>
      </c>
      <c r="AR4780">
        <f>1/(COUNT('Iter No Test'!$W$9:$W$5008)-1)+$AR$4779</f>
        <v>0.95559111822356502</v>
      </c>
    </row>
    <row r="4781" spans="22:44">
      <c r="V4781">
        <v>4773</v>
      </c>
      <c r="W4781">
        <v>210.92683889472193</v>
      </c>
      <c r="AQ4781">
        <f>SMALL('Iter No Test'!$W$9:$W$5008,4779)</f>
        <v>375.26510821195359</v>
      </c>
      <c r="AR4781">
        <f>1/(COUNT('Iter No Test'!$W$9:$W$5008)-1)+$AR$4780</f>
        <v>0.95579115823156657</v>
      </c>
    </row>
    <row r="4782" spans="22:44">
      <c r="V4782">
        <v>4774</v>
      </c>
      <c r="W4782">
        <v>259.49525645075789</v>
      </c>
      <c r="AQ4782">
        <f>SMALL('Iter No Test'!$W$9:$W$5008,4780)</f>
        <v>375.45960371644378</v>
      </c>
      <c r="AR4782">
        <f>1/(COUNT('Iter No Test'!$W$9:$W$5008)-1)+$AR$4781</f>
        <v>0.95599119823956813</v>
      </c>
    </row>
    <row r="4783" spans="22:44">
      <c r="V4783">
        <v>4775</v>
      </c>
      <c r="W4783">
        <v>225.50210827072848</v>
      </c>
      <c r="AQ4783">
        <f>SMALL('Iter No Test'!$W$9:$W$5008,4781)</f>
        <v>375.78280469313364</v>
      </c>
      <c r="AR4783">
        <f>1/(COUNT('Iter No Test'!$W$9:$W$5008)-1)+$AR$4782</f>
        <v>0.95619123824756969</v>
      </c>
    </row>
    <row r="4784" spans="22:44">
      <c r="V4784">
        <v>4776</v>
      </c>
      <c r="W4784">
        <v>207.22772482741982</v>
      </c>
      <c r="AQ4784">
        <f>SMALL('Iter No Test'!$W$9:$W$5008,4782)</f>
        <v>375.79845912154468</v>
      </c>
      <c r="AR4784">
        <f>1/(COUNT('Iter No Test'!$W$9:$W$5008)-1)+$AR$4783</f>
        <v>0.95639127825557124</v>
      </c>
    </row>
    <row r="4785" spans="22:44">
      <c r="V4785">
        <v>4777</v>
      </c>
      <c r="W4785">
        <v>180.91161671907636</v>
      </c>
      <c r="AQ4785">
        <f>SMALL('Iter No Test'!$W$9:$W$5008,4783)</f>
        <v>375.86837231336</v>
      </c>
      <c r="AR4785">
        <f>1/(COUNT('Iter No Test'!$W$9:$W$5008)-1)+$AR$4784</f>
        <v>0.9565913182635728</v>
      </c>
    </row>
    <row r="4786" spans="22:44">
      <c r="V4786">
        <v>4778</v>
      </c>
      <c r="W4786">
        <v>319.88300952401551</v>
      </c>
      <c r="AQ4786">
        <f>SMALL('Iter No Test'!$W$9:$W$5008,4784)</f>
        <v>376.03317590242852</v>
      </c>
      <c r="AR4786">
        <f>1/(COUNT('Iter No Test'!$W$9:$W$5008)-1)+$AR$4785</f>
        <v>0.95679135827157435</v>
      </c>
    </row>
    <row r="4787" spans="22:44">
      <c r="V4787">
        <v>4779</v>
      </c>
      <c r="W4787">
        <v>172.92148773147085</v>
      </c>
      <c r="AQ4787">
        <f>SMALL('Iter No Test'!$W$9:$W$5008,4785)</f>
        <v>376.20760962524469</v>
      </c>
      <c r="AR4787">
        <f>1/(COUNT('Iter No Test'!$W$9:$W$5008)-1)+$AR$4786</f>
        <v>0.95699139827957591</v>
      </c>
    </row>
    <row r="4788" spans="22:44">
      <c r="V4788">
        <v>4780</v>
      </c>
      <c r="W4788">
        <v>298.90579081464205</v>
      </c>
      <c r="AQ4788">
        <f>SMALL('Iter No Test'!$W$9:$W$5008,4786)</f>
        <v>376.26606204359598</v>
      </c>
      <c r="AR4788">
        <f>1/(COUNT('Iter No Test'!$W$9:$W$5008)-1)+$AR$4787</f>
        <v>0.95719143828757747</v>
      </c>
    </row>
    <row r="4789" spans="22:44">
      <c r="V4789">
        <v>4781</v>
      </c>
      <c r="W4789">
        <v>328.12266146297867</v>
      </c>
      <c r="AQ4789">
        <f>SMALL('Iter No Test'!$W$9:$W$5008,4787)</f>
        <v>376.56212104469529</v>
      </c>
      <c r="AR4789">
        <f>1/(COUNT('Iter No Test'!$W$9:$W$5008)-1)+$AR$4788</f>
        <v>0.95739147829557902</v>
      </c>
    </row>
    <row r="4790" spans="22:44">
      <c r="V4790">
        <v>4782</v>
      </c>
      <c r="W4790">
        <v>177.36612422633411</v>
      </c>
      <c r="AQ4790">
        <f>SMALL('Iter No Test'!$W$9:$W$5008,4788)</f>
        <v>376.67423541143012</v>
      </c>
      <c r="AR4790">
        <f>1/(COUNT('Iter No Test'!$W$9:$W$5008)-1)+$AR$4789</f>
        <v>0.95759151830358058</v>
      </c>
    </row>
    <row r="4791" spans="22:44">
      <c r="V4791">
        <v>4783</v>
      </c>
      <c r="W4791">
        <v>295.62249616140122</v>
      </c>
      <c r="AQ4791">
        <f>SMALL('Iter No Test'!$W$9:$W$5008,4789)</f>
        <v>376.82192979347769</v>
      </c>
      <c r="AR4791">
        <f>1/(COUNT('Iter No Test'!$W$9:$W$5008)-1)+$AR$4790</f>
        <v>0.95779155831158214</v>
      </c>
    </row>
    <row r="4792" spans="22:44">
      <c r="V4792">
        <v>4784</v>
      </c>
      <c r="W4792">
        <v>178.41822053568939</v>
      </c>
      <c r="AQ4792">
        <f>SMALL('Iter No Test'!$W$9:$W$5008,4790)</f>
        <v>376.95027546044673</v>
      </c>
      <c r="AR4792">
        <f>1/(COUNT('Iter No Test'!$W$9:$W$5008)-1)+$AR$4791</f>
        <v>0.95799159831958369</v>
      </c>
    </row>
    <row r="4793" spans="22:44">
      <c r="V4793">
        <v>4785</v>
      </c>
      <c r="W4793">
        <v>114.34350245399432</v>
      </c>
      <c r="AQ4793">
        <f>SMALL('Iter No Test'!$W$9:$W$5008,4791)</f>
        <v>376.99977794416753</v>
      </c>
      <c r="AR4793">
        <f>1/(COUNT('Iter No Test'!$W$9:$W$5008)-1)+$AR$4792</f>
        <v>0.95819163832758525</v>
      </c>
    </row>
    <row r="4794" spans="22:44">
      <c r="V4794">
        <v>4786</v>
      </c>
      <c r="W4794">
        <v>213.48038691038417</v>
      </c>
      <c r="AQ4794">
        <f>SMALL('Iter No Test'!$W$9:$W$5008,4792)</f>
        <v>377.03845175810625</v>
      </c>
      <c r="AR4794">
        <f>1/(COUNT('Iter No Test'!$W$9:$W$5008)-1)+$AR$4793</f>
        <v>0.95839167833558681</v>
      </c>
    </row>
    <row r="4795" spans="22:44">
      <c r="V4795">
        <v>4787</v>
      </c>
      <c r="W4795">
        <v>324.01551086317522</v>
      </c>
      <c r="AQ4795">
        <f>SMALL('Iter No Test'!$W$9:$W$5008,4793)</f>
        <v>377.09869047192603</v>
      </c>
      <c r="AR4795">
        <f>1/(COUNT('Iter No Test'!$W$9:$W$5008)-1)+$AR$4794</f>
        <v>0.95859171834358836</v>
      </c>
    </row>
    <row r="4796" spans="22:44">
      <c r="V4796">
        <v>4788</v>
      </c>
      <c r="W4796">
        <v>157.25095749128732</v>
      </c>
      <c r="AQ4796">
        <f>SMALL('Iter No Test'!$W$9:$W$5008,4794)</f>
        <v>377.36007444759952</v>
      </c>
      <c r="AR4796">
        <f>1/(COUNT('Iter No Test'!$W$9:$W$5008)-1)+$AR$4795</f>
        <v>0.95879175835158992</v>
      </c>
    </row>
    <row r="4797" spans="22:44">
      <c r="V4797">
        <v>4789</v>
      </c>
      <c r="W4797">
        <v>119.16818484939057</v>
      </c>
      <c r="AQ4797">
        <f>SMALL('Iter No Test'!$W$9:$W$5008,4795)</f>
        <v>377.48509595251403</v>
      </c>
      <c r="AR4797">
        <f>1/(COUNT('Iter No Test'!$W$9:$W$5008)-1)+$AR$4796</f>
        <v>0.95899179835959147</v>
      </c>
    </row>
    <row r="4798" spans="22:44">
      <c r="V4798">
        <v>4790</v>
      </c>
      <c r="W4798">
        <v>198.8849398850553</v>
      </c>
      <c r="AQ4798">
        <f>SMALL('Iter No Test'!$W$9:$W$5008,4796)</f>
        <v>377.51857699155062</v>
      </c>
      <c r="AR4798">
        <f>1/(COUNT('Iter No Test'!$W$9:$W$5008)-1)+$AR$4797</f>
        <v>0.95919183836759303</v>
      </c>
    </row>
    <row r="4799" spans="22:44">
      <c r="V4799">
        <v>4791</v>
      </c>
      <c r="W4799">
        <v>223.29315735210642</v>
      </c>
      <c r="AQ4799">
        <f>SMALL('Iter No Test'!$W$9:$W$5008,4797)</f>
        <v>377.8767641537562</v>
      </c>
      <c r="AR4799">
        <f>1/(COUNT('Iter No Test'!$W$9:$W$5008)-1)+$AR$4798</f>
        <v>0.95939187837559459</v>
      </c>
    </row>
    <row r="4800" spans="22:44">
      <c r="V4800">
        <v>4792</v>
      </c>
      <c r="W4800">
        <v>147.81526350353224</v>
      </c>
      <c r="AQ4800">
        <f>SMALL('Iter No Test'!$W$9:$W$5008,4798)</f>
        <v>377.92300216409353</v>
      </c>
      <c r="AR4800">
        <f>1/(COUNT('Iter No Test'!$W$9:$W$5008)-1)+$AR$4799</f>
        <v>0.95959191838359614</v>
      </c>
    </row>
    <row r="4801" spans="22:44">
      <c r="V4801">
        <v>4793</v>
      </c>
      <c r="W4801">
        <v>57.700890250855394</v>
      </c>
      <c r="AQ4801">
        <f>SMALL('Iter No Test'!$W$9:$W$5008,4799)</f>
        <v>377.9439728591351</v>
      </c>
      <c r="AR4801">
        <f>1/(COUNT('Iter No Test'!$W$9:$W$5008)-1)+$AR$4800</f>
        <v>0.9597919583915977</v>
      </c>
    </row>
    <row r="4802" spans="22:44">
      <c r="V4802">
        <v>4794</v>
      </c>
      <c r="W4802">
        <v>75.275051869951966</v>
      </c>
      <c r="AQ4802">
        <f>SMALL('Iter No Test'!$W$9:$W$5008,4800)</f>
        <v>378.3262559647826</v>
      </c>
      <c r="AR4802">
        <f>1/(COUNT('Iter No Test'!$W$9:$W$5008)-1)+$AR$4801</f>
        <v>0.95999199839959926</v>
      </c>
    </row>
    <row r="4803" spans="22:44">
      <c r="V4803">
        <v>4795</v>
      </c>
      <c r="W4803">
        <v>252.15873169609233</v>
      </c>
      <c r="AQ4803">
        <f>SMALL('Iter No Test'!$W$9:$W$5008,4801)</f>
        <v>378.4423164713852</v>
      </c>
      <c r="AR4803">
        <f>1/(COUNT('Iter No Test'!$W$9:$W$5008)-1)+$AR$4802</f>
        <v>0.96019203840760081</v>
      </c>
    </row>
    <row r="4804" spans="22:44">
      <c r="V4804">
        <v>4796</v>
      </c>
      <c r="W4804">
        <v>392.37353893312292</v>
      </c>
      <c r="AQ4804">
        <f>SMALL('Iter No Test'!$W$9:$W$5008,4802)</f>
        <v>378.70123851001722</v>
      </c>
      <c r="AR4804">
        <f>1/(COUNT('Iter No Test'!$W$9:$W$5008)-1)+$AR$4803</f>
        <v>0.96039207841560237</v>
      </c>
    </row>
    <row r="4805" spans="22:44">
      <c r="V4805">
        <v>4797</v>
      </c>
      <c r="W4805">
        <v>136.82913084091126</v>
      </c>
      <c r="AQ4805">
        <f>SMALL('Iter No Test'!$W$9:$W$5008,4803)</f>
        <v>378.80392110158533</v>
      </c>
      <c r="AR4805">
        <f>1/(COUNT('Iter No Test'!$W$9:$W$5008)-1)+$AR$4804</f>
        <v>0.96059211842360392</v>
      </c>
    </row>
    <row r="4806" spans="22:44">
      <c r="V4806">
        <v>4798</v>
      </c>
      <c r="W4806">
        <v>71.505341728543456</v>
      </c>
      <c r="AQ4806">
        <f>SMALL('Iter No Test'!$W$9:$W$5008,4804)</f>
        <v>379.0506930063458</v>
      </c>
      <c r="AR4806">
        <f>1/(COUNT('Iter No Test'!$W$9:$W$5008)-1)+$AR$4805</f>
        <v>0.96079215843160548</v>
      </c>
    </row>
    <row r="4807" spans="22:44">
      <c r="V4807">
        <v>4799</v>
      </c>
      <c r="W4807">
        <v>287.38305124453336</v>
      </c>
      <c r="AQ4807">
        <f>SMALL('Iter No Test'!$W$9:$W$5008,4805)</f>
        <v>379.10777780144485</v>
      </c>
      <c r="AR4807">
        <f>1/(COUNT('Iter No Test'!$W$9:$W$5008)-1)+$AR$4806</f>
        <v>0.96099219843960704</v>
      </c>
    </row>
    <row r="4808" spans="22:44">
      <c r="V4808">
        <v>4800</v>
      </c>
      <c r="W4808">
        <v>166.08907398049661</v>
      </c>
      <c r="AQ4808">
        <f>SMALL('Iter No Test'!$W$9:$W$5008,4806)</f>
        <v>379.28042209678949</v>
      </c>
      <c r="AR4808">
        <f>1/(COUNT('Iter No Test'!$W$9:$W$5008)-1)+$AR$4807</f>
        <v>0.96119223844760859</v>
      </c>
    </row>
    <row r="4809" spans="22:44">
      <c r="V4809">
        <v>4801</v>
      </c>
      <c r="W4809">
        <v>172.24901147659912</v>
      </c>
      <c r="AQ4809">
        <f>SMALL('Iter No Test'!$W$9:$W$5008,4807)</f>
        <v>379.51070876831216</v>
      </c>
      <c r="AR4809">
        <f>1/(COUNT('Iter No Test'!$W$9:$W$5008)-1)+$AR$4808</f>
        <v>0.96139227845561015</v>
      </c>
    </row>
    <row r="4810" spans="22:44">
      <c r="V4810">
        <v>4802</v>
      </c>
      <c r="W4810">
        <v>185.27230122358236</v>
      </c>
      <c r="AQ4810">
        <f>SMALL('Iter No Test'!$W$9:$W$5008,4808)</f>
        <v>379.51732093900978</v>
      </c>
      <c r="AR4810">
        <f>1/(COUNT('Iter No Test'!$W$9:$W$5008)-1)+$AR$4809</f>
        <v>0.96159231846361171</v>
      </c>
    </row>
    <row r="4811" spans="22:44">
      <c r="V4811">
        <v>4803</v>
      </c>
      <c r="W4811">
        <v>253.96724863274648</v>
      </c>
      <c r="AQ4811">
        <f>SMALL('Iter No Test'!$W$9:$W$5008,4809)</f>
        <v>379.59742981081786</v>
      </c>
      <c r="AR4811">
        <f>1/(COUNT('Iter No Test'!$W$9:$W$5008)-1)+$AR$4810</f>
        <v>0.96179235847161326</v>
      </c>
    </row>
    <row r="4812" spans="22:44">
      <c r="V4812">
        <v>4804</v>
      </c>
      <c r="W4812">
        <v>257.84961769462075</v>
      </c>
      <c r="AQ4812">
        <f>SMALL('Iter No Test'!$W$9:$W$5008,4810)</f>
        <v>380.35936863923837</v>
      </c>
      <c r="AR4812">
        <f>1/(COUNT('Iter No Test'!$W$9:$W$5008)-1)+$AR$4811</f>
        <v>0.96199239847961482</v>
      </c>
    </row>
    <row r="4813" spans="22:44">
      <c r="V4813">
        <v>4805</v>
      </c>
      <c r="W4813">
        <v>152.41052479442186</v>
      </c>
      <c r="AQ4813">
        <f>SMALL('Iter No Test'!$W$9:$W$5008,4811)</f>
        <v>380.41268801300691</v>
      </c>
      <c r="AR4813">
        <f>1/(COUNT('Iter No Test'!$W$9:$W$5008)-1)+$AR$4812</f>
        <v>0.96219243848761637</v>
      </c>
    </row>
    <row r="4814" spans="22:44">
      <c r="V4814">
        <v>4806</v>
      </c>
      <c r="W4814">
        <v>79.364515913957433</v>
      </c>
      <c r="AQ4814">
        <f>SMALL('Iter No Test'!$W$9:$W$5008,4812)</f>
        <v>380.45481728320556</v>
      </c>
      <c r="AR4814">
        <f>1/(COUNT('Iter No Test'!$W$9:$W$5008)-1)+$AR$4813</f>
        <v>0.96239247849561793</v>
      </c>
    </row>
    <row r="4815" spans="22:44">
      <c r="V4815">
        <v>4807</v>
      </c>
      <c r="W4815">
        <v>140.3393432995006</v>
      </c>
      <c r="AQ4815">
        <f>SMALL('Iter No Test'!$W$9:$W$5008,4813)</f>
        <v>380.98882434334871</v>
      </c>
      <c r="AR4815">
        <f>1/(COUNT('Iter No Test'!$W$9:$W$5008)-1)+$AR$4814</f>
        <v>0.96259251850361949</v>
      </c>
    </row>
    <row r="4816" spans="22:44">
      <c r="V4816">
        <v>4808</v>
      </c>
      <c r="W4816">
        <v>283.401988483477</v>
      </c>
      <c r="AQ4816">
        <f>SMALL('Iter No Test'!$W$9:$W$5008,4814)</f>
        <v>381.18571570555468</v>
      </c>
      <c r="AR4816">
        <f>1/(COUNT('Iter No Test'!$W$9:$W$5008)-1)+$AR$4815</f>
        <v>0.96279255851162104</v>
      </c>
    </row>
    <row r="4817" spans="22:44">
      <c r="V4817">
        <v>4809</v>
      </c>
      <c r="W4817">
        <v>116.17278030717574</v>
      </c>
      <c r="AQ4817">
        <f>SMALL('Iter No Test'!$W$9:$W$5008,4815)</f>
        <v>381.49686951181934</v>
      </c>
      <c r="AR4817">
        <f>1/(COUNT('Iter No Test'!$W$9:$W$5008)-1)+$AR$4816</f>
        <v>0.9629925985196226</v>
      </c>
    </row>
    <row r="4818" spans="22:44">
      <c r="V4818">
        <v>4810</v>
      </c>
      <c r="W4818">
        <v>248.89411906492137</v>
      </c>
      <c r="AQ4818">
        <f>SMALL('Iter No Test'!$W$9:$W$5008,4816)</f>
        <v>381.51144573689737</v>
      </c>
      <c r="AR4818">
        <f>1/(COUNT('Iter No Test'!$W$9:$W$5008)-1)+$AR$4817</f>
        <v>0.96319263852762416</v>
      </c>
    </row>
    <row r="4819" spans="22:44">
      <c r="V4819">
        <v>4811</v>
      </c>
      <c r="W4819">
        <v>277.57325426080706</v>
      </c>
      <c r="AQ4819">
        <f>SMALL('Iter No Test'!$W$9:$W$5008,4817)</f>
        <v>382.15826949504026</v>
      </c>
      <c r="AR4819">
        <f>1/(COUNT('Iter No Test'!$W$9:$W$5008)-1)+$AR$4818</f>
        <v>0.96339267853562571</v>
      </c>
    </row>
    <row r="4820" spans="22:44">
      <c r="V4820">
        <v>4812</v>
      </c>
      <c r="W4820">
        <v>219.56003796834892</v>
      </c>
      <c r="AQ4820">
        <f>SMALL('Iter No Test'!$W$9:$W$5008,4818)</f>
        <v>382.56415103210793</v>
      </c>
      <c r="AR4820">
        <f>1/(COUNT('Iter No Test'!$W$9:$W$5008)-1)+$AR$4819</f>
        <v>0.96359271854362727</v>
      </c>
    </row>
    <row r="4821" spans="22:44">
      <c r="V4821">
        <v>4813</v>
      </c>
      <c r="W4821">
        <v>199.82048603801073</v>
      </c>
      <c r="AQ4821">
        <f>SMALL('Iter No Test'!$W$9:$W$5008,4819)</f>
        <v>382.56526734878923</v>
      </c>
      <c r="AR4821">
        <f>1/(COUNT('Iter No Test'!$W$9:$W$5008)-1)+$AR$4820</f>
        <v>0.96379275855162883</v>
      </c>
    </row>
    <row r="4822" spans="22:44">
      <c r="V4822">
        <v>4814</v>
      </c>
      <c r="W4822">
        <v>147.12345494331603</v>
      </c>
      <c r="AQ4822">
        <f>SMALL('Iter No Test'!$W$9:$W$5008,4820)</f>
        <v>382.74878676126434</v>
      </c>
      <c r="AR4822">
        <f>1/(COUNT('Iter No Test'!$W$9:$W$5008)-1)+$AR$4821</f>
        <v>0.96399279855963038</v>
      </c>
    </row>
    <row r="4823" spans="22:44">
      <c r="V4823">
        <v>4815</v>
      </c>
      <c r="W4823">
        <v>342.40696338413227</v>
      </c>
      <c r="AQ4823">
        <f>SMALL('Iter No Test'!$W$9:$W$5008,4821)</f>
        <v>382.85641520847935</v>
      </c>
      <c r="AR4823">
        <f>1/(COUNT('Iter No Test'!$W$9:$W$5008)-1)+$AR$4822</f>
        <v>0.96419283856763194</v>
      </c>
    </row>
    <row r="4824" spans="22:44">
      <c r="V4824">
        <v>4816</v>
      </c>
      <c r="W4824">
        <v>269.13624558660649</v>
      </c>
      <c r="AQ4824">
        <f>SMALL('Iter No Test'!$W$9:$W$5008,4822)</f>
        <v>382.8898218755354</v>
      </c>
      <c r="AR4824">
        <f>1/(COUNT('Iter No Test'!$W$9:$W$5008)-1)+$AR$4823</f>
        <v>0.96439287857563349</v>
      </c>
    </row>
    <row r="4825" spans="22:44">
      <c r="V4825">
        <v>4817</v>
      </c>
      <c r="W4825">
        <v>237.10339910017314</v>
      </c>
      <c r="AQ4825">
        <f>SMALL('Iter No Test'!$W$9:$W$5008,4823)</f>
        <v>383.20086379939085</v>
      </c>
      <c r="AR4825">
        <f>1/(COUNT('Iter No Test'!$W$9:$W$5008)-1)+$AR$4824</f>
        <v>0.96459291858363505</v>
      </c>
    </row>
    <row r="4826" spans="22:44">
      <c r="V4826">
        <v>4818</v>
      </c>
      <c r="W4826">
        <v>106.63724792330895</v>
      </c>
      <c r="AQ4826">
        <f>SMALL('Iter No Test'!$W$9:$W$5008,4824)</f>
        <v>383.22776179724883</v>
      </c>
      <c r="AR4826">
        <f>1/(COUNT('Iter No Test'!$W$9:$W$5008)-1)+$AR$4825</f>
        <v>0.96479295859163661</v>
      </c>
    </row>
    <row r="4827" spans="22:44">
      <c r="V4827">
        <v>4819</v>
      </c>
      <c r="W4827">
        <v>196.04877996715925</v>
      </c>
      <c r="AQ4827">
        <f>SMALL('Iter No Test'!$W$9:$W$5008,4825)</f>
        <v>383.27483744061954</v>
      </c>
      <c r="AR4827">
        <f>1/(COUNT('Iter No Test'!$W$9:$W$5008)-1)+$AR$4826</f>
        <v>0.96499299859963816</v>
      </c>
    </row>
    <row r="4828" spans="22:44">
      <c r="V4828">
        <v>4820</v>
      </c>
      <c r="W4828">
        <v>206.06749304512496</v>
      </c>
      <c r="AQ4828">
        <f>SMALL('Iter No Test'!$W$9:$W$5008,4826)</f>
        <v>384.0013198224305</v>
      </c>
      <c r="AR4828">
        <f>1/(COUNT('Iter No Test'!$W$9:$W$5008)-1)+$AR$4827</f>
        <v>0.96519303860763972</v>
      </c>
    </row>
    <row r="4829" spans="22:44">
      <c r="V4829">
        <v>4821</v>
      </c>
      <c r="W4829">
        <v>159.98955680393794</v>
      </c>
      <c r="AQ4829">
        <f>SMALL('Iter No Test'!$W$9:$W$5008,4827)</f>
        <v>384.84665228608083</v>
      </c>
      <c r="AR4829">
        <f>1/(COUNT('Iter No Test'!$W$9:$W$5008)-1)+$AR$4828</f>
        <v>0.96539307861564128</v>
      </c>
    </row>
    <row r="4830" spans="22:44">
      <c r="V4830">
        <v>4822</v>
      </c>
      <c r="W4830">
        <v>133.19536950255966</v>
      </c>
      <c r="AQ4830">
        <f>SMALL('Iter No Test'!$W$9:$W$5008,4828)</f>
        <v>384.85287715530922</v>
      </c>
      <c r="AR4830">
        <f>1/(COUNT('Iter No Test'!$W$9:$W$5008)-1)+$AR$4829</f>
        <v>0.96559311862364283</v>
      </c>
    </row>
    <row r="4831" spans="22:44">
      <c r="V4831">
        <v>4823</v>
      </c>
      <c r="W4831">
        <v>259.94214425275868</v>
      </c>
      <c r="AQ4831">
        <f>SMALL('Iter No Test'!$W$9:$W$5008,4829)</f>
        <v>385.17342570954486</v>
      </c>
      <c r="AR4831">
        <f>1/(COUNT('Iter No Test'!$W$9:$W$5008)-1)+$AR$4830</f>
        <v>0.96579315863164439</v>
      </c>
    </row>
    <row r="4832" spans="22:44">
      <c r="V4832">
        <v>4824</v>
      </c>
      <c r="W4832">
        <v>209.68584021652549</v>
      </c>
      <c r="AQ4832">
        <f>SMALL('Iter No Test'!$W$9:$W$5008,4830)</f>
        <v>385.31954894032867</v>
      </c>
      <c r="AR4832">
        <f>1/(COUNT('Iter No Test'!$W$9:$W$5008)-1)+$AR$4831</f>
        <v>0.96599319863964594</v>
      </c>
    </row>
    <row r="4833" spans="22:44">
      <c r="V4833">
        <v>4825</v>
      </c>
      <c r="W4833">
        <v>316.04334716352247</v>
      </c>
      <c r="AQ4833">
        <f>SMALL('Iter No Test'!$W$9:$W$5008,4831)</f>
        <v>385.35181596676955</v>
      </c>
      <c r="AR4833">
        <f>1/(COUNT('Iter No Test'!$W$9:$W$5008)-1)+$AR$4832</f>
        <v>0.9661932386476475</v>
      </c>
    </row>
    <row r="4834" spans="22:44">
      <c r="V4834">
        <v>4826</v>
      </c>
      <c r="W4834">
        <v>181.30828650058066</v>
      </c>
      <c r="AQ4834">
        <f>SMALL('Iter No Test'!$W$9:$W$5008,4832)</f>
        <v>385.50077573251178</v>
      </c>
      <c r="AR4834">
        <f>1/(COUNT('Iter No Test'!$W$9:$W$5008)-1)+$AR$4833</f>
        <v>0.96639327865564906</v>
      </c>
    </row>
    <row r="4835" spans="22:44">
      <c r="V4835">
        <v>4827</v>
      </c>
      <c r="W4835">
        <v>199.76754448569343</v>
      </c>
      <c r="AQ4835">
        <f>SMALL('Iter No Test'!$W$9:$W$5008,4833)</f>
        <v>385.67863855754524</v>
      </c>
      <c r="AR4835">
        <f>1/(COUNT('Iter No Test'!$W$9:$W$5008)-1)+$AR$4834</f>
        <v>0.96659331866365061</v>
      </c>
    </row>
    <row r="4836" spans="22:44">
      <c r="V4836">
        <v>4828</v>
      </c>
      <c r="W4836">
        <v>166.09780236433016</v>
      </c>
      <c r="AQ4836">
        <f>SMALL('Iter No Test'!$W$9:$W$5008,4834)</f>
        <v>385.83674468135894</v>
      </c>
      <c r="AR4836">
        <f>1/(COUNT('Iter No Test'!$W$9:$W$5008)-1)+$AR$4835</f>
        <v>0.96679335867165217</v>
      </c>
    </row>
    <row r="4837" spans="22:44">
      <c r="V4837">
        <v>4829</v>
      </c>
      <c r="W4837">
        <v>112.17939382600662</v>
      </c>
      <c r="AQ4837">
        <f>SMALL('Iter No Test'!$W$9:$W$5008,4835)</f>
        <v>385.95173354190979</v>
      </c>
      <c r="AR4837">
        <f>1/(COUNT('Iter No Test'!$W$9:$W$5008)-1)+$AR$4836</f>
        <v>0.96699339867965373</v>
      </c>
    </row>
    <row r="4838" spans="22:44">
      <c r="V4838">
        <v>4830</v>
      </c>
      <c r="W4838">
        <v>288.4745567494511</v>
      </c>
      <c r="AQ4838">
        <f>SMALL('Iter No Test'!$W$9:$W$5008,4836)</f>
        <v>386.2871564476718</v>
      </c>
      <c r="AR4838">
        <f>1/(COUNT('Iter No Test'!$W$9:$W$5008)-1)+$AR$4837</f>
        <v>0.96719343868765528</v>
      </c>
    </row>
    <row r="4839" spans="22:44">
      <c r="V4839">
        <v>4831</v>
      </c>
      <c r="W4839">
        <v>264.50826787941975</v>
      </c>
      <c r="AQ4839">
        <f>SMALL('Iter No Test'!$W$9:$W$5008,4837)</f>
        <v>386.81280348695901</v>
      </c>
      <c r="AR4839">
        <f>1/(COUNT('Iter No Test'!$W$9:$W$5008)-1)+$AR$4838</f>
        <v>0.96739347869565684</v>
      </c>
    </row>
    <row r="4840" spans="22:44">
      <c r="V4840">
        <v>4832</v>
      </c>
      <c r="W4840">
        <v>222.07795504916078</v>
      </c>
      <c r="AQ4840">
        <f>SMALL('Iter No Test'!$W$9:$W$5008,4838)</f>
        <v>386.97024004812215</v>
      </c>
      <c r="AR4840">
        <f>1/(COUNT('Iter No Test'!$W$9:$W$5008)-1)+$AR$4839</f>
        <v>0.9675935187036584</v>
      </c>
    </row>
    <row r="4841" spans="22:44">
      <c r="V4841">
        <v>4833</v>
      </c>
      <c r="W4841">
        <v>112.53292710915518</v>
      </c>
      <c r="AQ4841">
        <f>SMALL('Iter No Test'!$W$9:$W$5008,4839)</f>
        <v>387.7607997059726</v>
      </c>
      <c r="AR4841">
        <f>1/(COUNT('Iter No Test'!$W$9:$W$5008)-1)+$AR$4840</f>
        <v>0.96779355871165995</v>
      </c>
    </row>
    <row r="4842" spans="22:44">
      <c r="V4842">
        <v>4834</v>
      </c>
      <c r="W4842">
        <v>282.49843567572111</v>
      </c>
      <c r="AQ4842">
        <f>SMALL('Iter No Test'!$W$9:$W$5008,4840)</f>
        <v>389.01631616646978</v>
      </c>
      <c r="AR4842">
        <f>1/(COUNT('Iter No Test'!$W$9:$W$5008)-1)+$AR$4841</f>
        <v>0.96799359871966151</v>
      </c>
    </row>
    <row r="4843" spans="22:44">
      <c r="V4843">
        <v>4835</v>
      </c>
      <c r="W4843">
        <v>374.4409670703451</v>
      </c>
      <c r="AQ4843">
        <f>SMALL('Iter No Test'!$W$9:$W$5008,4841)</f>
        <v>389.25126738675181</v>
      </c>
      <c r="AR4843">
        <f>1/(COUNT('Iter No Test'!$W$9:$W$5008)-1)+$AR$4842</f>
        <v>0.96819363872766306</v>
      </c>
    </row>
    <row r="4844" spans="22:44">
      <c r="V4844">
        <v>4836</v>
      </c>
      <c r="W4844">
        <v>157.06113506814816</v>
      </c>
      <c r="AQ4844">
        <f>SMALL('Iter No Test'!$W$9:$W$5008,4842)</f>
        <v>389.36439369817009</v>
      </c>
      <c r="AR4844">
        <f>1/(COUNT('Iter No Test'!$W$9:$W$5008)-1)+$AR$4843</f>
        <v>0.96839367873566462</v>
      </c>
    </row>
    <row r="4845" spans="22:44">
      <c r="V4845">
        <v>4837</v>
      </c>
      <c r="W4845">
        <v>229.10488649506647</v>
      </c>
      <c r="AQ4845">
        <f>SMALL('Iter No Test'!$W$9:$W$5008,4843)</f>
        <v>389.49022800841232</v>
      </c>
      <c r="AR4845">
        <f>1/(COUNT('Iter No Test'!$W$9:$W$5008)-1)+$AR$4844</f>
        <v>0.96859371874366618</v>
      </c>
    </row>
    <row r="4846" spans="22:44">
      <c r="V4846">
        <v>4838</v>
      </c>
      <c r="W4846">
        <v>255.23629634971959</v>
      </c>
      <c r="AQ4846">
        <f>SMALL('Iter No Test'!$W$9:$W$5008,4844)</f>
        <v>389.80441435392333</v>
      </c>
      <c r="AR4846">
        <f>1/(COUNT('Iter No Test'!$W$9:$W$5008)-1)+$AR$4845</f>
        <v>0.96879375875166773</v>
      </c>
    </row>
    <row r="4847" spans="22:44">
      <c r="V4847">
        <v>4839</v>
      </c>
      <c r="W4847">
        <v>87.610762745798922</v>
      </c>
      <c r="AQ4847">
        <f>SMALL('Iter No Test'!$W$9:$W$5008,4845)</f>
        <v>390.02946692053933</v>
      </c>
      <c r="AR4847">
        <f>1/(COUNT('Iter No Test'!$W$9:$W$5008)-1)+$AR$4846</f>
        <v>0.96899379875966929</v>
      </c>
    </row>
    <row r="4848" spans="22:44">
      <c r="V4848">
        <v>4840</v>
      </c>
      <c r="W4848">
        <v>183.29187832518591</v>
      </c>
      <c r="AQ4848">
        <f>SMALL('Iter No Test'!$W$9:$W$5008,4846)</f>
        <v>390.45003193519869</v>
      </c>
      <c r="AR4848">
        <f>1/(COUNT('Iter No Test'!$W$9:$W$5008)-1)+$AR$4847</f>
        <v>0.96919383876767085</v>
      </c>
    </row>
    <row r="4849" spans="22:44">
      <c r="V4849">
        <v>4841</v>
      </c>
      <c r="W4849">
        <v>97.350815705163598</v>
      </c>
      <c r="AQ4849">
        <f>SMALL('Iter No Test'!$W$9:$W$5008,4847)</f>
        <v>390.46779380617181</v>
      </c>
      <c r="AR4849">
        <f>1/(COUNT('Iter No Test'!$W$9:$W$5008)-1)+$AR$4848</f>
        <v>0.9693938787756724</v>
      </c>
    </row>
    <row r="4850" spans="22:44">
      <c r="V4850">
        <v>4842</v>
      </c>
      <c r="W4850">
        <v>192.23141725355481</v>
      </c>
      <c r="AQ4850">
        <f>SMALL('Iter No Test'!$W$9:$W$5008,4848)</f>
        <v>390.51117667206597</v>
      </c>
      <c r="AR4850">
        <f>1/(COUNT('Iter No Test'!$W$9:$W$5008)-1)+$AR$4849</f>
        <v>0.96959391878367396</v>
      </c>
    </row>
    <row r="4851" spans="22:44">
      <c r="V4851">
        <v>4843</v>
      </c>
      <c r="W4851">
        <v>129.16750801835209</v>
      </c>
      <c r="AQ4851">
        <f>SMALL('Iter No Test'!$W$9:$W$5008,4849)</f>
        <v>390.7337749824411</v>
      </c>
      <c r="AR4851">
        <f>1/(COUNT('Iter No Test'!$W$9:$W$5008)-1)+$AR$4850</f>
        <v>0.96979395879167551</v>
      </c>
    </row>
    <row r="4852" spans="22:44">
      <c r="V4852">
        <v>4844</v>
      </c>
      <c r="W4852">
        <v>231.22843134884184</v>
      </c>
      <c r="AQ4852">
        <f>SMALL('Iter No Test'!$W$9:$W$5008,4850)</f>
        <v>391.27794304416864</v>
      </c>
      <c r="AR4852">
        <f>1/(COUNT('Iter No Test'!$W$9:$W$5008)-1)+$AR$4851</f>
        <v>0.96999399879967707</v>
      </c>
    </row>
    <row r="4853" spans="22:44">
      <c r="V4853">
        <v>4845</v>
      </c>
      <c r="W4853">
        <v>359.08589787176487</v>
      </c>
      <c r="AQ4853">
        <f>SMALL('Iter No Test'!$W$9:$W$5008,4851)</f>
        <v>391.46319165954912</v>
      </c>
      <c r="AR4853">
        <f>1/(COUNT('Iter No Test'!$W$9:$W$5008)-1)+$AR$4852</f>
        <v>0.97019403880767863</v>
      </c>
    </row>
    <row r="4854" spans="22:44">
      <c r="V4854">
        <v>4846</v>
      </c>
      <c r="W4854">
        <v>323.9283917497155</v>
      </c>
      <c r="AQ4854">
        <f>SMALL('Iter No Test'!$W$9:$W$5008,4852)</f>
        <v>391.61880780655912</v>
      </c>
      <c r="AR4854">
        <f>1/(COUNT('Iter No Test'!$W$9:$W$5008)-1)+$AR$4853</f>
        <v>0.97039407881568018</v>
      </c>
    </row>
    <row r="4855" spans="22:44">
      <c r="V4855">
        <v>4847</v>
      </c>
      <c r="W4855">
        <v>334.37251352826007</v>
      </c>
      <c r="AQ4855">
        <f>SMALL('Iter No Test'!$W$9:$W$5008,4853)</f>
        <v>391.69774893009185</v>
      </c>
      <c r="AR4855">
        <f>1/(COUNT('Iter No Test'!$W$9:$W$5008)-1)+$AR$4854</f>
        <v>0.97059411882368174</v>
      </c>
    </row>
    <row r="4856" spans="22:44">
      <c r="V4856">
        <v>4848</v>
      </c>
      <c r="W4856">
        <v>191.37505003417428</v>
      </c>
      <c r="AQ4856">
        <f>SMALL('Iter No Test'!$W$9:$W$5008,4854)</f>
        <v>391.91487022117451</v>
      </c>
      <c r="AR4856">
        <f>1/(COUNT('Iter No Test'!$W$9:$W$5008)-1)+$AR$4855</f>
        <v>0.9707941588316833</v>
      </c>
    </row>
    <row r="4857" spans="22:44">
      <c r="V4857">
        <v>4849</v>
      </c>
      <c r="W4857">
        <v>52.844429988947908</v>
      </c>
      <c r="AQ4857">
        <f>SMALL('Iter No Test'!$W$9:$W$5008,4855)</f>
        <v>391.91751969112033</v>
      </c>
      <c r="AR4857">
        <f>1/(COUNT('Iter No Test'!$W$9:$W$5008)-1)+$AR$4856</f>
        <v>0.97099419883968485</v>
      </c>
    </row>
    <row r="4858" spans="22:44">
      <c r="V4858">
        <v>4850</v>
      </c>
      <c r="W4858">
        <v>211.03976896744254</v>
      </c>
      <c r="AQ4858">
        <f>SMALL('Iter No Test'!$W$9:$W$5008,4856)</f>
        <v>392.09731634326454</v>
      </c>
      <c r="AR4858">
        <f>1/(COUNT('Iter No Test'!$W$9:$W$5008)-1)+$AR$4857</f>
        <v>0.97119423884768641</v>
      </c>
    </row>
    <row r="4859" spans="22:44">
      <c r="V4859">
        <v>4851</v>
      </c>
      <c r="W4859">
        <v>220.9172922598091</v>
      </c>
      <c r="AQ4859">
        <f>SMALL('Iter No Test'!$W$9:$W$5008,4857)</f>
        <v>392.37353893312292</v>
      </c>
      <c r="AR4859">
        <f>1/(COUNT('Iter No Test'!$W$9:$W$5008)-1)+$AR$4858</f>
        <v>0.97139427885568796</v>
      </c>
    </row>
    <row r="4860" spans="22:44">
      <c r="V4860">
        <v>4852</v>
      </c>
      <c r="W4860">
        <v>124.59294544003195</v>
      </c>
      <c r="AQ4860">
        <f>SMALL('Iter No Test'!$W$9:$W$5008,4858)</f>
        <v>392.41986054291431</v>
      </c>
      <c r="AR4860">
        <f>1/(COUNT('Iter No Test'!$W$9:$W$5008)-1)+$AR$4859</f>
        <v>0.97159431886368952</v>
      </c>
    </row>
    <row r="4861" spans="22:44">
      <c r="V4861">
        <v>4853</v>
      </c>
      <c r="W4861">
        <v>200.70182647060062</v>
      </c>
      <c r="AQ4861">
        <f>SMALL('Iter No Test'!$W$9:$W$5008,4859)</f>
        <v>393.31546851020914</v>
      </c>
      <c r="AR4861">
        <f>1/(COUNT('Iter No Test'!$W$9:$W$5008)-1)+$AR$4860</f>
        <v>0.97179435887169108</v>
      </c>
    </row>
    <row r="4862" spans="22:44">
      <c r="V4862">
        <v>4854</v>
      </c>
      <c r="W4862">
        <v>104.36782358906983</v>
      </c>
      <c r="AQ4862">
        <f>SMALL('Iter No Test'!$W$9:$W$5008,4860)</f>
        <v>393.36441408545755</v>
      </c>
      <c r="AR4862">
        <f>1/(COUNT('Iter No Test'!$W$9:$W$5008)-1)+$AR$4861</f>
        <v>0.97199439887969263</v>
      </c>
    </row>
    <row r="4863" spans="22:44">
      <c r="V4863">
        <v>4855</v>
      </c>
      <c r="W4863">
        <v>256.0229286505176</v>
      </c>
      <c r="AQ4863">
        <f>SMALL('Iter No Test'!$W$9:$W$5008,4861)</f>
        <v>393.40652664152077</v>
      </c>
      <c r="AR4863">
        <f>1/(COUNT('Iter No Test'!$W$9:$W$5008)-1)+$AR$4862</f>
        <v>0.97219443888769419</v>
      </c>
    </row>
    <row r="4864" spans="22:44">
      <c r="V4864">
        <v>4856</v>
      </c>
      <c r="W4864">
        <v>192.02369737963153</v>
      </c>
      <c r="AQ4864">
        <f>SMALL('Iter No Test'!$W$9:$W$5008,4862)</f>
        <v>394.10176544177904</v>
      </c>
      <c r="AR4864">
        <f>1/(COUNT('Iter No Test'!$W$9:$W$5008)-1)+$AR$4863</f>
        <v>0.97239447889569575</v>
      </c>
    </row>
    <row r="4865" spans="22:44">
      <c r="V4865">
        <v>4857</v>
      </c>
      <c r="W4865">
        <v>125.00222020637304</v>
      </c>
      <c r="AQ4865">
        <f>SMALL('Iter No Test'!$W$9:$W$5008,4863)</f>
        <v>394.34544516323672</v>
      </c>
      <c r="AR4865">
        <f>1/(COUNT('Iter No Test'!$W$9:$W$5008)-1)+$AR$4864</f>
        <v>0.9725945189036973</v>
      </c>
    </row>
    <row r="4866" spans="22:44">
      <c r="V4866">
        <v>4858</v>
      </c>
      <c r="W4866">
        <v>294.54805503837747</v>
      </c>
      <c r="AQ4866">
        <f>SMALL('Iter No Test'!$W$9:$W$5008,4864)</f>
        <v>394.89884870176797</v>
      </c>
      <c r="AR4866">
        <f>1/(COUNT('Iter No Test'!$W$9:$W$5008)-1)+$AR$4865</f>
        <v>0.97279455891169886</v>
      </c>
    </row>
    <row r="4867" spans="22:44">
      <c r="V4867">
        <v>4859</v>
      </c>
      <c r="W4867">
        <v>218.31596806782403</v>
      </c>
      <c r="AQ4867">
        <f>SMALL('Iter No Test'!$W$9:$W$5008,4865)</f>
        <v>394.98044428237353</v>
      </c>
      <c r="AR4867">
        <f>1/(COUNT('Iter No Test'!$W$9:$W$5008)-1)+$AR$4866</f>
        <v>0.97299459891970042</v>
      </c>
    </row>
    <row r="4868" spans="22:44">
      <c r="V4868">
        <v>4860</v>
      </c>
      <c r="W4868">
        <v>116.90667563461348</v>
      </c>
      <c r="AQ4868">
        <f>SMALL('Iter No Test'!$W$9:$W$5008,4866)</f>
        <v>395.03936151861956</v>
      </c>
      <c r="AR4868">
        <f>1/(COUNT('Iter No Test'!$W$9:$W$5008)-1)+$AR$4867</f>
        <v>0.97319463892770197</v>
      </c>
    </row>
    <row r="4869" spans="22:44">
      <c r="V4869">
        <v>4861</v>
      </c>
      <c r="W4869">
        <v>196.49822222888554</v>
      </c>
      <c r="AQ4869">
        <f>SMALL('Iter No Test'!$W$9:$W$5008,4867)</f>
        <v>395.0932068755443</v>
      </c>
      <c r="AR4869">
        <f>1/(COUNT('Iter No Test'!$W$9:$W$5008)-1)+$AR$4868</f>
        <v>0.97339467893570353</v>
      </c>
    </row>
    <row r="4870" spans="22:44">
      <c r="V4870">
        <v>4862</v>
      </c>
      <c r="W4870">
        <v>223.55908272173744</v>
      </c>
      <c r="AQ4870">
        <f>SMALL('Iter No Test'!$W$9:$W$5008,4868)</f>
        <v>395.11716266504538</v>
      </c>
      <c r="AR4870">
        <f>1/(COUNT('Iter No Test'!$W$9:$W$5008)-1)+$AR$4869</f>
        <v>0.97359471894370508</v>
      </c>
    </row>
    <row r="4871" spans="22:44">
      <c r="V4871">
        <v>4863</v>
      </c>
      <c r="W4871">
        <v>93.339461817335945</v>
      </c>
      <c r="AQ4871">
        <f>SMALL('Iter No Test'!$W$9:$W$5008,4869)</f>
        <v>395.19049830002507</v>
      </c>
      <c r="AR4871">
        <f>1/(COUNT('Iter No Test'!$W$9:$W$5008)-1)+$AR$4870</f>
        <v>0.97379475895170664</v>
      </c>
    </row>
    <row r="4872" spans="22:44">
      <c r="V4872">
        <v>4864</v>
      </c>
      <c r="W4872">
        <v>201.23182004299366</v>
      </c>
      <c r="AQ4872">
        <f>SMALL('Iter No Test'!$W$9:$W$5008,4870)</f>
        <v>395.78434480367832</v>
      </c>
      <c r="AR4872">
        <f>1/(COUNT('Iter No Test'!$W$9:$W$5008)-1)+$AR$4871</f>
        <v>0.9739947989597082</v>
      </c>
    </row>
    <row r="4873" spans="22:44">
      <c r="V4873">
        <v>4865</v>
      </c>
      <c r="W4873">
        <v>335.14793516682698</v>
      </c>
      <c r="AQ4873">
        <f>SMALL('Iter No Test'!$W$9:$W$5008,4871)</f>
        <v>396.51706352566839</v>
      </c>
      <c r="AR4873">
        <f>1/(COUNT('Iter No Test'!$W$9:$W$5008)-1)+$AR$4872</f>
        <v>0.97419483896770975</v>
      </c>
    </row>
    <row r="4874" spans="22:44">
      <c r="V4874">
        <v>4866</v>
      </c>
      <c r="W4874">
        <v>97.180508813648686</v>
      </c>
      <c r="AQ4874">
        <f>SMALL('Iter No Test'!$W$9:$W$5008,4872)</f>
        <v>396.57342454820514</v>
      </c>
      <c r="AR4874">
        <f>1/(COUNT('Iter No Test'!$W$9:$W$5008)-1)+$AR$4873</f>
        <v>0.97439487897571131</v>
      </c>
    </row>
    <row r="4875" spans="22:44">
      <c r="V4875">
        <v>4867</v>
      </c>
      <c r="W4875">
        <v>245.49674319092006</v>
      </c>
      <c r="AQ4875">
        <f>SMALL('Iter No Test'!$W$9:$W$5008,4873)</f>
        <v>397.5083127515245</v>
      </c>
      <c r="AR4875">
        <f>1/(COUNT('Iter No Test'!$W$9:$W$5008)-1)+$AR$4874</f>
        <v>0.97459491898371287</v>
      </c>
    </row>
    <row r="4876" spans="22:44">
      <c r="V4876">
        <v>4868</v>
      </c>
      <c r="W4876">
        <v>244.16286179119476</v>
      </c>
      <c r="AQ4876">
        <f>SMALL('Iter No Test'!$W$9:$W$5008,4874)</f>
        <v>397.67018764257227</v>
      </c>
      <c r="AR4876">
        <f>1/(COUNT('Iter No Test'!$W$9:$W$5008)-1)+$AR$4875</f>
        <v>0.97479495899171442</v>
      </c>
    </row>
    <row r="4877" spans="22:44">
      <c r="V4877">
        <v>4869</v>
      </c>
      <c r="W4877">
        <v>44.578876328477591</v>
      </c>
      <c r="AQ4877">
        <f>SMALL('Iter No Test'!$W$9:$W$5008,4875)</f>
        <v>398.23045150076985</v>
      </c>
      <c r="AR4877">
        <f>1/(COUNT('Iter No Test'!$W$9:$W$5008)-1)+$AR$4876</f>
        <v>0.97499499899971598</v>
      </c>
    </row>
    <row r="4878" spans="22:44">
      <c r="V4878">
        <v>4870</v>
      </c>
      <c r="W4878">
        <v>153.6109375082911</v>
      </c>
      <c r="AQ4878">
        <f>SMALL('Iter No Test'!$W$9:$W$5008,4876)</f>
        <v>398.25773238252305</v>
      </c>
      <c r="AR4878">
        <f>1/(COUNT('Iter No Test'!$W$9:$W$5008)-1)+$AR$4877</f>
        <v>0.97519503900771753</v>
      </c>
    </row>
    <row r="4879" spans="22:44">
      <c r="V4879">
        <v>4871</v>
      </c>
      <c r="W4879">
        <v>293.31017960569415</v>
      </c>
      <c r="AQ4879">
        <f>SMALL('Iter No Test'!$W$9:$W$5008,4877)</f>
        <v>398.65444304384175</v>
      </c>
      <c r="AR4879">
        <f>1/(COUNT('Iter No Test'!$W$9:$W$5008)-1)+$AR$4878</f>
        <v>0.97539507901571909</v>
      </c>
    </row>
    <row r="4880" spans="22:44">
      <c r="V4880">
        <v>4872</v>
      </c>
      <c r="W4880">
        <v>202.60811118123891</v>
      </c>
      <c r="AQ4880">
        <f>SMALL('Iter No Test'!$W$9:$W$5008,4878)</f>
        <v>398.76777057567392</v>
      </c>
      <c r="AR4880">
        <f>1/(COUNT('Iter No Test'!$W$9:$W$5008)-1)+$AR$4879</f>
        <v>0.97559511902372065</v>
      </c>
    </row>
    <row r="4881" spans="22:44">
      <c r="V4881">
        <v>4873</v>
      </c>
      <c r="W4881">
        <v>117.3454415977381</v>
      </c>
      <c r="AQ4881">
        <f>SMALL('Iter No Test'!$W$9:$W$5008,4879)</f>
        <v>399.19810990565594</v>
      </c>
      <c r="AR4881">
        <f>1/(COUNT('Iter No Test'!$W$9:$W$5008)-1)+$AR$4880</f>
        <v>0.9757951590317222</v>
      </c>
    </row>
    <row r="4882" spans="22:44">
      <c r="V4882">
        <v>4874</v>
      </c>
      <c r="W4882">
        <v>308.32625079756389</v>
      </c>
      <c r="AQ4882">
        <f>SMALL('Iter No Test'!$W$9:$W$5008,4880)</f>
        <v>399.41910919558029</v>
      </c>
      <c r="AR4882">
        <f>1/(COUNT('Iter No Test'!$W$9:$W$5008)-1)+$AR$4881</f>
        <v>0.97599519903972376</v>
      </c>
    </row>
    <row r="4883" spans="22:44">
      <c r="V4883">
        <v>4875</v>
      </c>
      <c r="W4883">
        <v>185.48917565072381</v>
      </c>
      <c r="AQ4883">
        <f>SMALL('Iter No Test'!$W$9:$W$5008,4881)</f>
        <v>399.96540756350396</v>
      </c>
      <c r="AR4883">
        <f>1/(COUNT('Iter No Test'!$W$9:$W$5008)-1)+$AR$4882</f>
        <v>0.97619523904772532</v>
      </c>
    </row>
    <row r="4884" spans="22:44">
      <c r="V4884">
        <v>4876</v>
      </c>
      <c r="W4884">
        <v>173.0666306263708</v>
      </c>
      <c r="AQ4884">
        <f>SMALL('Iter No Test'!$W$9:$W$5008,4882)</f>
        <v>400.12205507495401</v>
      </c>
      <c r="AR4884">
        <f>1/(COUNT('Iter No Test'!$W$9:$W$5008)-1)+$AR$4883</f>
        <v>0.97639527905572687</v>
      </c>
    </row>
    <row r="4885" spans="22:44">
      <c r="V4885">
        <v>4877</v>
      </c>
      <c r="W4885">
        <v>213.23505301754329</v>
      </c>
      <c r="AQ4885">
        <f>SMALL('Iter No Test'!$W$9:$W$5008,4883)</f>
        <v>400.87790680733087</v>
      </c>
      <c r="AR4885">
        <f>1/(COUNT('Iter No Test'!$W$9:$W$5008)-1)+$AR$4884</f>
        <v>0.97659531906372843</v>
      </c>
    </row>
    <row r="4886" spans="22:44">
      <c r="V4886">
        <v>4878</v>
      </c>
      <c r="W4886">
        <v>106.90449429101406</v>
      </c>
      <c r="AQ4886">
        <f>SMALL('Iter No Test'!$W$9:$W$5008,4884)</f>
        <v>401.22949461960496</v>
      </c>
      <c r="AR4886">
        <f>1/(COUNT('Iter No Test'!$W$9:$W$5008)-1)+$AR$4885</f>
        <v>0.97679535907172998</v>
      </c>
    </row>
    <row r="4887" spans="22:44">
      <c r="V4887">
        <v>4879</v>
      </c>
      <c r="W4887">
        <v>130.77172781280811</v>
      </c>
      <c r="AQ4887">
        <f>SMALL('Iter No Test'!$W$9:$W$5008,4885)</f>
        <v>401.6090454310106</v>
      </c>
      <c r="AR4887">
        <f>1/(COUNT('Iter No Test'!$W$9:$W$5008)-1)+$AR$4886</f>
        <v>0.97699539907973154</v>
      </c>
    </row>
    <row r="4888" spans="22:44">
      <c r="V4888">
        <v>4880</v>
      </c>
      <c r="W4888">
        <v>123.01411934260655</v>
      </c>
      <c r="AQ4888">
        <f>SMALL('Iter No Test'!$W$9:$W$5008,4886)</f>
        <v>402.80907278935695</v>
      </c>
      <c r="AR4888">
        <f>1/(COUNT('Iter No Test'!$W$9:$W$5008)-1)+$AR$4887</f>
        <v>0.9771954390877331</v>
      </c>
    </row>
    <row r="4889" spans="22:44">
      <c r="V4889">
        <v>4881</v>
      </c>
      <c r="W4889">
        <v>187.55772059710401</v>
      </c>
      <c r="AQ4889">
        <f>SMALL('Iter No Test'!$W$9:$W$5008,4887)</f>
        <v>402.95576702967901</v>
      </c>
      <c r="AR4889">
        <f>1/(COUNT('Iter No Test'!$W$9:$W$5008)-1)+$AR$4888</f>
        <v>0.97739547909573465</v>
      </c>
    </row>
    <row r="4890" spans="22:44">
      <c r="V4890">
        <v>4882</v>
      </c>
      <c r="W4890">
        <v>441.825232331498</v>
      </c>
      <c r="AQ4890">
        <f>SMALL('Iter No Test'!$W$9:$W$5008,4888)</f>
        <v>403.21469225203356</v>
      </c>
      <c r="AR4890">
        <f>1/(COUNT('Iter No Test'!$W$9:$W$5008)-1)+$AR$4889</f>
        <v>0.97759551910373621</v>
      </c>
    </row>
    <row r="4891" spans="22:44">
      <c r="V4891">
        <v>4883</v>
      </c>
      <c r="W4891">
        <v>299.71780711485872</v>
      </c>
      <c r="AQ4891">
        <f>SMALL('Iter No Test'!$W$9:$W$5008,4889)</f>
        <v>403.38940311883891</v>
      </c>
      <c r="AR4891">
        <f>1/(COUNT('Iter No Test'!$W$9:$W$5008)-1)+$AR$4890</f>
        <v>0.97779555911173777</v>
      </c>
    </row>
    <row r="4892" spans="22:44">
      <c r="V4892">
        <v>4884</v>
      </c>
      <c r="W4892">
        <v>191.41384287348495</v>
      </c>
      <c r="AQ4892">
        <f>SMALL('Iter No Test'!$W$9:$W$5008,4890)</f>
        <v>403.60323490697829</v>
      </c>
      <c r="AR4892">
        <f>1/(COUNT('Iter No Test'!$W$9:$W$5008)-1)+$AR$4891</f>
        <v>0.97799559911973932</v>
      </c>
    </row>
    <row r="4893" spans="22:44">
      <c r="V4893">
        <v>4885</v>
      </c>
      <c r="W4893">
        <v>281.47481526793047</v>
      </c>
      <c r="AQ4893">
        <f>SMALL('Iter No Test'!$W$9:$W$5008,4891)</f>
        <v>403.6860862657494</v>
      </c>
      <c r="AR4893">
        <f>1/(COUNT('Iter No Test'!$W$9:$W$5008)-1)+$AR$4892</f>
        <v>0.97819563912774088</v>
      </c>
    </row>
    <row r="4894" spans="22:44">
      <c r="V4894">
        <v>4886</v>
      </c>
      <c r="W4894">
        <v>204.94241314606501</v>
      </c>
      <c r="AQ4894">
        <f>SMALL('Iter No Test'!$W$9:$W$5008,4892)</f>
        <v>403.78375197252126</v>
      </c>
      <c r="AR4894">
        <f>1/(COUNT('Iter No Test'!$W$9:$W$5008)-1)+$AR$4893</f>
        <v>0.97839567913574244</v>
      </c>
    </row>
    <row r="4895" spans="22:44">
      <c r="V4895">
        <v>4887</v>
      </c>
      <c r="W4895">
        <v>236.17034508817153</v>
      </c>
      <c r="AQ4895">
        <f>SMALL('Iter No Test'!$W$9:$W$5008,4893)</f>
        <v>403.89061048067327</v>
      </c>
      <c r="AR4895">
        <f>1/(COUNT('Iter No Test'!$W$9:$W$5008)-1)+$AR$4894</f>
        <v>0.97859571914374399</v>
      </c>
    </row>
    <row r="4896" spans="22:44">
      <c r="V4896">
        <v>4888</v>
      </c>
      <c r="W4896">
        <v>174.45022194300904</v>
      </c>
      <c r="AQ4896">
        <f>SMALL('Iter No Test'!$W$9:$W$5008,4894)</f>
        <v>405.10805545079029</v>
      </c>
      <c r="AR4896">
        <f>1/(COUNT('Iter No Test'!$W$9:$W$5008)-1)+$AR$4895</f>
        <v>0.97879575915174555</v>
      </c>
    </row>
    <row r="4897" spans="22:44">
      <c r="V4897">
        <v>4889</v>
      </c>
      <c r="W4897">
        <v>142.62742447431077</v>
      </c>
      <c r="AQ4897">
        <f>SMALL('Iter No Test'!$W$9:$W$5008,4895)</f>
        <v>405.95555200105446</v>
      </c>
      <c r="AR4897">
        <f>1/(COUNT('Iter No Test'!$W$9:$W$5008)-1)+$AR$4896</f>
        <v>0.9789957991597471</v>
      </c>
    </row>
    <row r="4898" spans="22:44">
      <c r="V4898">
        <v>4890</v>
      </c>
      <c r="W4898">
        <v>196.22921626451216</v>
      </c>
      <c r="AQ4898">
        <f>SMALL('Iter No Test'!$W$9:$W$5008,4896)</f>
        <v>405.9868340800723</v>
      </c>
      <c r="AR4898">
        <f>1/(COUNT('Iter No Test'!$W$9:$W$5008)-1)+$AR$4897</f>
        <v>0.97919583916774866</v>
      </c>
    </row>
    <row r="4899" spans="22:44">
      <c r="V4899">
        <v>4891</v>
      </c>
      <c r="W4899">
        <v>219.55445982338762</v>
      </c>
      <c r="AQ4899">
        <f>SMALL('Iter No Test'!$W$9:$W$5008,4897)</f>
        <v>406.25383331254926</v>
      </c>
      <c r="AR4899">
        <f>1/(COUNT('Iter No Test'!$W$9:$W$5008)-1)+$AR$4898</f>
        <v>0.97939587917575022</v>
      </c>
    </row>
    <row r="4900" spans="22:44">
      <c r="V4900">
        <v>4892</v>
      </c>
      <c r="W4900">
        <v>243.87154120636418</v>
      </c>
      <c r="AQ4900">
        <f>SMALL('Iter No Test'!$W$9:$W$5008,4898)</f>
        <v>406.55923283105483</v>
      </c>
      <c r="AR4900">
        <f>1/(COUNT('Iter No Test'!$W$9:$W$5008)-1)+$AR$4899</f>
        <v>0.97959591918375177</v>
      </c>
    </row>
    <row r="4901" spans="22:44">
      <c r="V4901">
        <v>4893</v>
      </c>
      <c r="W4901">
        <v>181.51363722706171</v>
      </c>
      <c r="AQ4901">
        <f>SMALL('Iter No Test'!$W$9:$W$5008,4899)</f>
        <v>407.1175638900126</v>
      </c>
      <c r="AR4901">
        <f>1/(COUNT('Iter No Test'!$W$9:$W$5008)-1)+$AR$4900</f>
        <v>0.97979595919175333</v>
      </c>
    </row>
    <row r="4902" spans="22:44">
      <c r="V4902">
        <v>4894</v>
      </c>
      <c r="W4902">
        <v>168.28819894593349</v>
      </c>
      <c r="AQ4902">
        <f>SMALL('Iter No Test'!$W$9:$W$5008,4900)</f>
        <v>407.61089365594739</v>
      </c>
      <c r="AR4902">
        <f>1/(COUNT('Iter No Test'!$W$9:$W$5008)-1)+$AR$4901</f>
        <v>0.97999599919975489</v>
      </c>
    </row>
    <row r="4903" spans="22:44">
      <c r="V4903">
        <v>4895</v>
      </c>
      <c r="W4903">
        <v>231.86350676007615</v>
      </c>
      <c r="AQ4903">
        <f>SMALL('Iter No Test'!$W$9:$W$5008,4901)</f>
        <v>407.85728017499497</v>
      </c>
      <c r="AR4903">
        <f>1/(COUNT('Iter No Test'!$W$9:$W$5008)-1)+$AR$4902</f>
        <v>0.98019603920775644</v>
      </c>
    </row>
    <row r="4904" spans="22:44">
      <c r="V4904">
        <v>4896</v>
      </c>
      <c r="W4904">
        <v>107.70607159780599</v>
      </c>
      <c r="AQ4904">
        <f>SMALL('Iter No Test'!$W$9:$W$5008,4902)</f>
        <v>407.92784202645964</v>
      </c>
      <c r="AR4904">
        <f>1/(COUNT('Iter No Test'!$W$9:$W$5008)-1)+$AR$4903</f>
        <v>0.980396079215758</v>
      </c>
    </row>
    <row r="4905" spans="22:44">
      <c r="V4905">
        <v>4897</v>
      </c>
      <c r="W4905">
        <v>267.76186996134265</v>
      </c>
      <c r="AQ4905">
        <f>SMALL('Iter No Test'!$W$9:$W$5008,4903)</f>
        <v>408.5202395364488</v>
      </c>
      <c r="AR4905">
        <f>1/(COUNT('Iter No Test'!$W$9:$W$5008)-1)+$AR$4904</f>
        <v>0.98059611922375955</v>
      </c>
    </row>
    <row r="4906" spans="22:44">
      <c r="V4906">
        <v>4898</v>
      </c>
      <c r="W4906">
        <v>252.87101723553366</v>
      </c>
      <c r="AQ4906">
        <f>SMALL('Iter No Test'!$W$9:$W$5008,4904)</f>
        <v>409.11229682186649</v>
      </c>
      <c r="AR4906">
        <f>1/(COUNT('Iter No Test'!$W$9:$W$5008)-1)+$AR$4905</f>
        <v>0.98079615923176111</v>
      </c>
    </row>
    <row r="4907" spans="22:44">
      <c r="V4907">
        <v>4899</v>
      </c>
      <c r="W4907">
        <v>126.11650686924605</v>
      </c>
      <c r="AQ4907">
        <f>SMALL('Iter No Test'!$W$9:$W$5008,4905)</f>
        <v>409.63963821981702</v>
      </c>
      <c r="AR4907">
        <f>1/(COUNT('Iter No Test'!$W$9:$W$5008)-1)+$AR$4906</f>
        <v>0.98099619923976267</v>
      </c>
    </row>
    <row r="4908" spans="22:44">
      <c r="V4908">
        <v>4900</v>
      </c>
      <c r="W4908">
        <v>110.47600185675184</v>
      </c>
      <c r="AQ4908">
        <f>SMALL('Iter No Test'!$W$9:$W$5008,4906)</f>
        <v>410.10966902399116</v>
      </c>
      <c r="AR4908">
        <f>1/(COUNT('Iter No Test'!$W$9:$W$5008)-1)+$AR$4907</f>
        <v>0.98119623924776422</v>
      </c>
    </row>
    <row r="4909" spans="22:44">
      <c r="V4909">
        <v>4901</v>
      </c>
      <c r="W4909">
        <v>242.86118427189609</v>
      </c>
      <c r="AQ4909">
        <f>SMALL('Iter No Test'!$W$9:$W$5008,4907)</f>
        <v>410.45671641150113</v>
      </c>
      <c r="AR4909">
        <f>1/(COUNT('Iter No Test'!$W$9:$W$5008)-1)+$AR$4908</f>
        <v>0.98139627925576578</v>
      </c>
    </row>
    <row r="4910" spans="22:44">
      <c r="V4910">
        <v>4902</v>
      </c>
      <c r="W4910">
        <v>226.38283982366826</v>
      </c>
      <c r="AQ4910">
        <f>SMALL('Iter No Test'!$W$9:$W$5008,4908)</f>
        <v>411.23529531336806</v>
      </c>
      <c r="AR4910">
        <f>1/(COUNT('Iter No Test'!$W$9:$W$5008)-1)+$AR$4909</f>
        <v>0.98159631926376734</v>
      </c>
    </row>
    <row r="4911" spans="22:44">
      <c r="V4911">
        <v>4903</v>
      </c>
      <c r="W4911">
        <v>253.47041516652118</v>
      </c>
      <c r="AQ4911">
        <f>SMALL('Iter No Test'!$W$9:$W$5008,4909)</f>
        <v>411.3799144872678</v>
      </c>
      <c r="AR4911">
        <f>1/(COUNT('Iter No Test'!$W$9:$W$5008)-1)+$AR$4910</f>
        <v>0.98179635927176889</v>
      </c>
    </row>
    <row r="4912" spans="22:44">
      <c r="V4912">
        <v>4904</v>
      </c>
      <c r="W4912">
        <v>204.06822379022049</v>
      </c>
      <c r="AQ4912">
        <f>SMALL('Iter No Test'!$W$9:$W$5008,4910)</f>
        <v>411.46046628480553</v>
      </c>
      <c r="AR4912">
        <f>1/(COUNT('Iter No Test'!$W$9:$W$5008)-1)+$AR$4911</f>
        <v>0.98199639927977045</v>
      </c>
    </row>
    <row r="4913" spans="22:44">
      <c r="V4913">
        <v>4905</v>
      </c>
      <c r="W4913">
        <v>328.31133028507702</v>
      </c>
      <c r="AQ4913">
        <f>SMALL('Iter No Test'!$W$9:$W$5008,4911)</f>
        <v>412.13884790195459</v>
      </c>
      <c r="AR4913">
        <f>1/(COUNT('Iter No Test'!$W$9:$W$5008)-1)+$AR$4912</f>
        <v>0.98219643928777201</v>
      </c>
    </row>
    <row r="4914" spans="22:44">
      <c r="V4914">
        <v>4906</v>
      </c>
      <c r="W4914">
        <v>124.70495386842011</v>
      </c>
      <c r="AQ4914">
        <f>SMALL('Iter No Test'!$W$9:$W$5008,4912)</f>
        <v>412.2274831436103</v>
      </c>
      <c r="AR4914">
        <f>1/(COUNT('Iter No Test'!$W$9:$W$5008)-1)+$AR$4913</f>
        <v>0.98239647929577356</v>
      </c>
    </row>
    <row r="4915" spans="22:44">
      <c r="V4915">
        <v>4907</v>
      </c>
      <c r="W4915">
        <v>62.74469133061784</v>
      </c>
      <c r="AQ4915">
        <f>SMALL('Iter No Test'!$W$9:$W$5008,4913)</f>
        <v>412.76949982474753</v>
      </c>
      <c r="AR4915">
        <f>1/(COUNT('Iter No Test'!$W$9:$W$5008)-1)+$AR$4914</f>
        <v>0.98259651930377512</v>
      </c>
    </row>
    <row r="4916" spans="22:44">
      <c r="V4916">
        <v>4908</v>
      </c>
      <c r="W4916">
        <v>212.7552447047899</v>
      </c>
      <c r="AQ4916">
        <f>SMALL('Iter No Test'!$W$9:$W$5008,4914)</f>
        <v>412.83115098167821</v>
      </c>
      <c r="AR4916">
        <f>1/(COUNT('Iter No Test'!$W$9:$W$5008)-1)+$AR$4915</f>
        <v>0.98279655931177667</v>
      </c>
    </row>
    <row r="4917" spans="22:44">
      <c r="V4917">
        <v>4909</v>
      </c>
      <c r="W4917">
        <v>288.37109715460178</v>
      </c>
      <c r="AQ4917">
        <f>SMALL('Iter No Test'!$W$9:$W$5008,4915)</f>
        <v>413.04467985659647</v>
      </c>
      <c r="AR4917">
        <f>1/(COUNT('Iter No Test'!$W$9:$W$5008)-1)+$AR$4916</f>
        <v>0.98299659931977823</v>
      </c>
    </row>
    <row r="4918" spans="22:44">
      <c r="V4918">
        <v>4910</v>
      </c>
      <c r="W4918">
        <v>161.42028412745395</v>
      </c>
      <c r="AQ4918">
        <f>SMALL('Iter No Test'!$W$9:$W$5008,4916)</f>
        <v>413.24695400649119</v>
      </c>
      <c r="AR4918">
        <f>1/(COUNT('Iter No Test'!$W$9:$W$5008)-1)+$AR$4917</f>
        <v>0.98319663932777979</v>
      </c>
    </row>
    <row r="4919" spans="22:44">
      <c r="V4919">
        <v>4911</v>
      </c>
      <c r="W4919">
        <v>131.90523072155605</v>
      </c>
      <c r="AQ4919">
        <f>SMALL('Iter No Test'!$W$9:$W$5008,4917)</f>
        <v>413.80367798447315</v>
      </c>
      <c r="AR4919">
        <f>1/(COUNT('Iter No Test'!$W$9:$W$5008)-1)+$AR$4918</f>
        <v>0.98339667933578134</v>
      </c>
    </row>
    <row r="4920" spans="22:44">
      <c r="V4920">
        <v>4912</v>
      </c>
      <c r="W4920">
        <v>82.027726946855054</v>
      </c>
      <c r="AQ4920">
        <f>SMALL('Iter No Test'!$W$9:$W$5008,4918)</f>
        <v>414.17530139850402</v>
      </c>
      <c r="AR4920">
        <f>1/(COUNT('Iter No Test'!$W$9:$W$5008)-1)+$AR$4919</f>
        <v>0.9835967193437829</v>
      </c>
    </row>
    <row r="4921" spans="22:44">
      <c r="V4921">
        <v>4913</v>
      </c>
      <c r="W4921">
        <v>162.70286740970391</v>
      </c>
      <c r="AQ4921">
        <f>SMALL('Iter No Test'!$W$9:$W$5008,4919)</f>
        <v>414.21646290087608</v>
      </c>
      <c r="AR4921">
        <f>1/(COUNT('Iter No Test'!$W$9:$W$5008)-1)+$AR$4920</f>
        <v>0.98379675935178446</v>
      </c>
    </row>
    <row r="4922" spans="22:44">
      <c r="V4922">
        <v>4914</v>
      </c>
      <c r="W4922">
        <v>54.471113447497203</v>
      </c>
      <c r="AQ4922">
        <f>SMALL('Iter No Test'!$W$9:$W$5008,4920)</f>
        <v>414.29533006026782</v>
      </c>
      <c r="AR4922">
        <f>1/(COUNT('Iter No Test'!$W$9:$W$5008)-1)+$AR$4921</f>
        <v>0.98399679935978601</v>
      </c>
    </row>
    <row r="4923" spans="22:44">
      <c r="V4923">
        <v>4915</v>
      </c>
      <c r="W4923">
        <v>82.196090353717068</v>
      </c>
      <c r="AQ4923">
        <f>SMALL('Iter No Test'!$W$9:$W$5008,4921)</f>
        <v>414.6663198225001</v>
      </c>
      <c r="AR4923">
        <f>1/(COUNT('Iter No Test'!$W$9:$W$5008)-1)+$AR$4922</f>
        <v>0.98419683936778757</v>
      </c>
    </row>
    <row r="4924" spans="22:44">
      <c r="V4924">
        <v>4916</v>
      </c>
      <c r="W4924">
        <v>80.176808328860716</v>
      </c>
      <c r="AQ4924">
        <f>SMALL('Iter No Test'!$W$9:$W$5008,4922)</f>
        <v>415.01094208868722</v>
      </c>
      <c r="AR4924">
        <f>1/(COUNT('Iter No Test'!$W$9:$W$5008)-1)+$AR$4923</f>
        <v>0.98439687937578912</v>
      </c>
    </row>
    <row r="4925" spans="22:44">
      <c r="V4925">
        <v>4917</v>
      </c>
      <c r="W4925">
        <v>171.04890071217551</v>
      </c>
      <c r="AQ4925">
        <f>SMALL('Iter No Test'!$W$9:$W$5008,4923)</f>
        <v>416.26186011818709</v>
      </c>
      <c r="AR4925">
        <f>1/(COUNT('Iter No Test'!$W$9:$W$5008)-1)+$AR$4924</f>
        <v>0.98459691938379068</v>
      </c>
    </row>
    <row r="4926" spans="22:44">
      <c r="V4926">
        <v>4918</v>
      </c>
      <c r="W4926">
        <v>349.64090148070312</v>
      </c>
      <c r="AQ4926">
        <f>SMALL('Iter No Test'!$W$9:$W$5008,4924)</f>
        <v>416.41037854404215</v>
      </c>
      <c r="AR4926">
        <f>1/(COUNT('Iter No Test'!$W$9:$W$5008)-1)+$AR$4925</f>
        <v>0.98479695939179224</v>
      </c>
    </row>
    <row r="4927" spans="22:44">
      <c r="V4927">
        <v>4919</v>
      </c>
      <c r="W4927">
        <v>214.76498208481155</v>
      </c>
      <c r="AQ4927">
        <f>SMALL('Iter No Test'!$W$9:$W$5008,4925)</f>
        <v>416.83659059785475</v>
      </c>
      <c r="AR4927">
        <f>1/(COUNT('Iter No Test'!$W$9:$W$5008)-1)+$AR$4926</f>
        <v>0.98499699939979379</v>
      </c>
    </row>
    <row r="4928" spans="22:44">
      <c r="V4928">
        <v>4920</v>
      </c>
      <c r="W4928">
        <v>187.42408280117803</v>
      </c>
      <c r="AQ4928">
        <f>SMALL('Iter No Test'!$W$9:$W$5008,4926)</f>
        <v>417.17512676230763</v>
      </c>
      <c r="AR4928">
        <f>1/(COUNT('Iter No Test'!$W$9:$W$5008)-1)+$AR$4927</f>
        <v>0.98519703940779535</v>
      </c>
    </row>
    <row r="4929" spans="22:44">
      <c r="V4929">
        <v>4921</v>
      </c>
      <c r="W4929">
        <v>214.76525872592768</v>
      </c>
      <c r="AQ4929">
        <f>SMALL('Iter No Test'!$W$9:$W$5008,4927)</f>
        <v>417.86926325808196</v>
      </c>
      <c r="AR4929">
        <f>1/(COUNT('Iter No Test'!$W$9:$W$5008)-1)+$AR$4928</f>
        <v>0.98539707941579691</v>
      </c>
    </row>
    <row r="4930" spans="22:44">
      <c r="V4930">
        <v>4922</v>
      </c>
      <c r="W4930">
        <v>201.38763873986761</v>
      </c>
      <c r="AQ4930">
        <f>SMALL('Iter No Test'!$W$9:$W$5008,4928)</f>
        <v>418.05075168189853</v>
      </c>
      <c r="AR4930">
        <f>1/(COUNT('Iter No Test'!$W$9:$W$5008)-1)+$AR$4929</f>
        <v>0.98559711942379846</v>
      </c>
    </row>
    <row r="4931" spans="22:44">
      <c r="V4931">
        <v>4923</v>
      </c>
      <c r="W4931">
        <v>255.644264948022</v>
      </c>
      <c r="AQ4931">
        <f>SMALL('Iter No Test'!$W$9:$W$5008,4929)</f>
        <v>418.18778136357389</v>
      </c>
      <c r="AR4931">
        <f>1/(COUNT('Iter No Test'!$W$9:$W$5008)-1)+$AR$4930</f>
        <v>0.98579715943180002</v>
      </c>
    </row>
    <row r="4932" spans="22:44">
      <c r="V4932">
        <v>4924</v>
      </c>
      <c r="W4932">
        <v>188.07385140320883</v>
      </c>
      <c r="AQ4932">
        <f>SMALL('Iter No Test'!$W$9:$W$5008,4930)</f>
        <v>418.89124070288443</v>
      </c>
      <c r="AR4932">
        <f>1/(COUNT('Iter No Test'!$W$9:$W$5008)-1)+$AR$4931</f>
        <v>0.98599719943980157</v>
      </c>
    </row>
    <row r="4933" spans="22:44">
      <c r="V4933">
        <v>4925</v>
      </c>
      <c r="W4933">
        <v>111.13438694564158</v>
      </c>
      <c r="AQ4933">
        <f>SMALL('Iter No Test'!$W$9:$W$5008,4931)</f>
        <v>420.31727893366417</v>
      </c>
      <c r="AR4933">
        <f>1/(COUNT('Iter No Test'!$W$9:$W$5008)-1)+$AR$4932</f>
        <v>0.98619723944780313</v>
      </c>
    </row>
    <row r="4934" spans="22:44">
      <c r="V4934">
        <v>4926</v>
      </c>
      <c r="W4934">
        <v>180.96917103478967</v>
      </c>
      <c r="AQ4934">
        <f>SMALL('Iter No Test'!$W$9:$W$5008,4932)</f>
        <v>421.59721691228589</v>
      </c>
      <c r="AR4934">
        <f>1/(COUNT('Iter No Test'!$W$9:$W$5008)-1)+$AR$4933</f>
        <v>0.98639727945580469</v>
      </c>
    </row>
    <row r="4935" spans="22:44">
      <c r="V4935">
        <v>4927</v>
      </c>
      <c r="W4935">
        <v>261.82783103453511</v>
      </c>
      <c r="AQ4935">
        <f>SMALL('Iter No Test'!$W$9:$W$5008,4933)</f>
        <v>421.61402694362346</v>
      </c>
      <c r="AR4935">
        <f>1/(COUNT('Iter No Test'!$W$9:$W$5008)-1)+$AR$4934</f>
        <v>0.98659731946380624</v>
      </c>
    </row>
    <row r="4936" spans="22:44">
      <c r="V4936">
        <v>4928</v>
      </c>
      <c r="W4936">
        <v>259.23258849682799</v>
      </c>
      <c r="AQ4936">
        <f>SMALL('Iter No Test'!$W$9:$W$5008,4934)</f>
        <v>422.50817800303435</v>
      </c>
      <c r="AR4936">
        <f>1/(COUNT('Iter No Test'!$W$9:$W$5008)-1)+$AR$4935</f>
        <v>0.9867973594718078</v>
      </c>
    </row>
    <row r="4937" spans="22:44">
      <c r="V4937">
        <v>4929</v>
      </c>
      <c r="W4937">
        <v>87.125675795522667</v>
      </c>
      <c r="AQ4937">
        <f>SMALL('Iter No Test'!$W$9:$W$5008,4935)</f>
        <v>422.64082218821062</v>
      </c>
      <c r="AR4937">
        <f>1/(COUNT('Iter No Test'!$W$9:$W$5008)-1)+$AR$4936</f>
        <v>0.98699739947980936</v>
      </c>
    </row>
    <row r="4938" spans="22:44">
      <c r="V4938">
        <v>4930</v>
      </c>
      <c r="W4938">
        <v>256.4806789066069</v>
      </c>
      <c r="AQ4938">
        <f>SMALL('Iter No Test'!$W$9:$W$5008,4936)</f>
        <v>422.90567201263741</v>
      </c>
      <c r="AR4938">
        <f>1/(COUNT('Iter No Test'!$W$9:$W$5008)-1)+$AR$4937</f>
        <v>0.98719743948781091</v>
      </c>
    </row>
    <row r="4939" spans="22:44">
      <c r="V4939">
        <v>4931</v>
      </c>
      <c r="W4939">
        <v>357.94169055458548</v>
      </c>
      <c r="AQ4939">
        <f>SMALL('Iter No Test'!$W$9:$W$5008,4937)</f>
        <v>423.0059244489413</v>
      </c>
      <c r="AR4939">
        <f>1/(COUNT('Iter No Test'!$W$9:$W$5008)-1)+$AR$4938</f>
        <v>0.98739747949581247</v>
      </c>
    </row>
    <row r="4940" spans="22:44">
      <c r="V4940">
        <v>4932</v>
      </c>
      <c r="W4940">
        <v>78.39406132109103</v>
      </c>
      <c r="AQ4940">
        <f>SMALL('Iter No Test'!$W$9:$W$5008,4938)</f>
        <v>423.15467084213208</v>
      </c>
      <c r="AR4940">
        <f>1/(COUNT('Iter No Test'!$W$9:$W$5008)-1)+$AR$4939</f>
        <v>0.98759751950381403</v>
      </c>
    </row>
    <row r="4941" spans="22:44">
      <c r="V4941">
        <v>4933</v>
      </c>
      <c r="W4941">
        <v>117.37056991886007</v>
      </c>
      <c r="AQ4941">
        <f>SMALL('Iter No Test'!$W$9:$W$5008,4939)</f>
        <v>424.14926115347055</v>
      </c>
      <c r="AR4941">
        <f>1/(COUNT('Iter No Test'!$W$9:$W$5008)-1)+$AR$4940</f>
        <v>0.98779755951181558</v>
      </c>
    </row>
    <row r="4942" spans="22:44">
      <c r="V4942">
        <v>4934</v>
      </c>
      <c r="W4942">
        <v>234.82409927885013</v>
      </c>
      <c r="AQ4942">
        <f>SMALL('Iter No Test'!$W$9:$W$5008,4940)</f>
        <v>424.80595235342548</v>
      </c>
      <c r="AR4942">
        <f>1/(COUNT('Iter No Test'!$W$9:$W$5008)-1)+$AR$4941</f>
        <v>0.98799759951981714</v>
      </c>
    </row>
    <row r="4943" spans="22:44">
      <c r="V4943">
        <v>4935</v>
      </c>
      <c r="W4943">
        <v>157.08059792084561</v>
      </c>
      <c r="AQ4943">
        <f>SMALL('Iter No Test'!$W$9:$W$5008,4941)</f>
        <v>424.97154483657141</v>
      </c>
      <c r="AR4943">
        <f>1/(COUNT('Iter No Test'!$W$9:$W$5008)-1)+$AR$4942</f>
        <v>0.98819763952781869</v>
      </c>
    </row>
    <row r="4944" spans="22:44">
      <c r="V4944">
        <v>4936</v>
      </c>
      <c r="W4944">
        <v>235.77408509954449</v>
      </c>
      <c r="AQ4944">
        <f>SMALL('Iter No Test'!$W$9:$W$5008,4942)</f>
        <v>426.1906009034027</v>
      </c>
      <c r="AR4944">
        <f>1/(COUNT('Iter No Test'!$W$9:$W$5008)-1)+$AR$4943</f>
        <v>0.98839767953582025</v>
      </c>
    </row>
    <row r="4945" spans="22:44">
      <c r="V4945">
        <v>4937</v>
      </c>
      <c r="W4945">
        <v>241.28896642934905</v>
      </c>
      <c r="AQ4945">
        <f>SMALL('Iter No Test'!$W$9:$W$5008,4943)</f>
        <v>426.48064499609086</v>
      </c>
      <c r="AR4945">
        <f>1/(COUNT('Iter No Test'!$W$9:$W$5008)-1)+$AR$4944</f>
        <v>0.98859771954382181</v>
      </c>
    </row>
    <row r="4946" spans="22:44">
      <c r="V4946">
        <v>4938</v>
      </c>
      <c r="W4946">
        <v>176.44735482064641</v>
      </c>
      <c r="AQ4946">
        <f>SMALL('Iter No Test'!$W$9:$W$5008,4944)</f>
        <v>429.17307488196161</v>
      </c>
      <c r="AR4946">
        <f>1/(COUNT('Iter No Test'!$W$9:$W$5008)-1)+$AR$4945</f>
        <v>0.98879775955182336</v>
      </c>
    </row>
    <row r="4947" spans="22:44">
      <c r="V4947">
        <v>4939</v>
      </c>
      <c r="W4947">
        <v>150.34348261171704</v>
      </c>
      <c r="AQ4947">
        <f>SMALL('Iter No Test'!$W$9:$W$5008,4945)</f>
        <v>429.19672374403729</v>
      </c>
      <c r="AR4947">
        <f>1/(COUNT('Iter No Test'!$W$9:$W$5008)-1)+$AR$4946</f>
        <v>0.98899779955982492</v>
      </c>
    </row>
    <row r="4948" spans="22:44">
      <c r="V4948">
        <v>4940</v>
      </c>
      <c r="W4948">
        <v>164.26321591189031</v>
      </c>
      <c r="AQ4948">
        <f>SMALL('Iter No Test'!$W$9:$W$5008,4946)</f>
        <v>429.85865640521638</v>
      </c>
      <c r="AR4948">
        <f>1/(COUNT('Iter No Test'!$W$9:$W$5008)-1)+$AR$4947</f>
        <v>0.98919783956782648</v>
      </c>
    </row>
    <row r="4949" spans="22:44">
      <c r="V4949">
        <v>4941</v>
      </c>
      <c r="W4949">
        <v>239.94245059095164</v>
      </c>
      <c r="AQ4949">
        <f>SMALL('Iter No Test'!$W$9:$W$5008,4947)</f>
        <v>430.75226894019386</v>
      </c>
      <c r="AR4949">
        <f>1/(COUNT('Iter No Test'!$W$9:$W$5008)-1)+$AR$4948</f>
        <v>0.98939787957582803</v>
      </c>
    </row>
    <row r="4950" spans="22:44">
      <c r="V4950">
        <v>4942</v>
      </c>
      <c r="W4950">
        <v>191.68266626573669</v>
      </c>
      <c r="AQ4950">
        <f>SMALL('Iter No Test'!$W$9:$W$5008,4948)</f>
        <v>432.03830145727852</v>
      </c>
      <c r="AR4950">
        <f>1/(COUNT('Iter No Test'!$W$9:$W$5008)-1)+$AR$4949</f>
        <v>0.98959791958382959</v>
      </c>
    </row>
    <row r="4951" spans="22:44">
      <c r="V4951">
        <v>4943</v>
      </c>
      <c r="W4951">
        <v>259.55107988871055</v>
      </c>
      <c r="AQ4951">
        <f>SMALL('Iter No Test'!$W$9:$W$5008,4949)</f>
        <v>433.41537227570916</v>
      </c>
      <c r="AR4951">
        <f>1/(COUNT('Iter No Test'!$W$9:$W$5008)-1)+$AR$4950</f>
        <v>0.98979795959183114</v>
      </c>
    </row>
    <row r="4952" spans="22:44">
      <c r="V4952">
        <v>4944</v>
      </c>
      <c r="W4952">
        <v>244.30072552221023</v>
      </c>
      <c r="AQ4952">
        <f>SMALL('Iter No Test'!$W$9:$W$5008,4950)</f>
        <v>433.73513366440852</v>
      </c>
      <c r="AR4952">
        <f>1/(COUNT('Iter No Test'!$W$9:$W$5008)-1)+$AR$4951</f>
        <v>0.9899979995998327</v>
      </c>
    </row>
    <row r="4953" spans="22:44">
      <c r="V4953">
        <v>4945</v>
      </c>
      <c r="W4953">
        <v>225.86864814570708</v>
      </c>
      <c r="AQ4953">
        <f>SMALL('Iter No Test'!$W$9:$W$5008,4951)</f>
        <v>433.86994841994931</v>
      </c>
      <c r="AR4953">
        <f>1/(COUNT('Iter No Test'!$W$9:$W$5008)-1)+$AR$4952</f>
        <v>0.99019803960783426</v>
      </c>
    </row>
    <row r="4954" spans="22:44">
      <c r="V4954">
        <v>4946</v>
      </c>
      <c r="W4954">
        <v>276.75263611525446</v>
      </c>
      <c r="AQ4954">
        <f>SMALL('Iter No Test'!$W$9:$W$5008,4952)</f>
        <v>434.18841030245824</v>
      </c>
      <c r="AR4954">
        <f>1/(COUNT('Iter No Test'!$W$9:$W$5008)-1)+$AR$4953</f>
        <v>0.99039807961583581</v>
      </c>
    </row>
    <row r="4955" spans="22:44">
      <c r="V4955">
        <v>4947</v>
      </c>
      <c r="W4955">
        <v>568.3521014100487</v>
      </c>
      <c r="AQ4955">
        <f>SMALL('Iter No Test'!$W$9:$W$5008,4953)</f>
        <v>434.33434230456453</v>
      </c>
      <c r="AR4955">
        <f>1/(COUNT('Iter No Test'!$W$9:$W$5008)-1)+$AR$4954</f>
        <v>0.99059811962383737</v>
      </c>
    </row>
    <row r="4956" spans="22:44">
      <c r="V4956">
        <v>4948</v>
      </c>
      <c r="W4956">
        <v>100.03546698553322</v>
      </c>
      <c r="AQ4956">
        <f>SMALL('Iter No Test'!$W$9:$W$5008,4954)</f>
        <v>434.36120526527066</v>
      </c>
      <c r="AR4956">
        <f>1/(COUNT('Iter No Test'!$W$9:$W$5008)-1)+$AR$4955</f>
        <v>0.99079815963183893</v>
      </c>
    </row>
    <row r="4957" spans="22:44">
      <c r="V4957">
        <v>4949</v>
      </c>
      <c r="W4957">
        <v>363.72452302021884</v>
      </c>
      <c r="AQ4957">
        <f>SMALL('Iter No Test'!$W$9:$W$5008,4955)</f>
        <v>436.21357971645602</v>
      </c>
      <c r="AR4957">
        <f>1/(COUNT('Iter No Test'!$W$9:$W$5008)-1)+$AR$4956</f>
        <v>0.99099819963984048</v>
      </c>
    </row>
    <row r="4958" spans="22:44">
      <c r="V4958">
        <v>4950</v>
      </c>
      <c r="W4958">
        <v>297.19992266831093</v>
      </c>
      <c r="AQ4958">
        <f>SMALL('Iter No Test'!$W$9:$W$5008,4956)</f>
        <v>437.79242017984092</v>
      </c>
      <c r="AR4958">
        <f>1/(COUNT('Iter No Test'!$W$9:$W$5008)-1)+$AR$4957</f>
        <v>0.99119823964784204</v>
      </c>
    </row>
    <row r="4959" spans="22:44">
      <c r="V4959">
        <v>4951</v>
      </c>
      <c r="W4959">
        <v>325.72289987113811</v>
      </c>
      <c r="AQ4959">
        <f>SMALL('Iter No Test'!$W$9:$W$5008,4957)</f>
        <v>438.11322365716546</v>
      </c>
      <c r="AR4959">
        <f>1/(COUNT('Iter No Test'!$W$9:$W$5008)-1)+$AR$4958</f>
        <v>0.9913982796558436</v>
      </c>
    </row>
    <row r="4960" spans="22:44">
      <c r="V4960">
        <v>4952</v>
      </c>
      <c r="W4960">
        <v>283.28507867962048</v>
      </c>
      <c r="AQ4960">
        <f>SMALL('Iter No Test'!$W$9:$W$5008,4958)</f>
        <v>441.14230964020055</v>
      </c>
      <c r="AR4960">
        <f>1/(COUNT('Iter No Test'!$W$9:$W$5008)-1)+$AR$4959</f>
        <v>0.99159831966384515</v>
      </c>
    </row>
    <row r="4961" spans="22:44">
      <c r="V4961">
        <v>4953</v>
      </c>
      <c r="W4961">
        <v>300.13257627708322</v>
      </c>
      <c r="AQ4961">
        <f>SMALL('Iter No Test'!$W$9:$W$5008,4959)</f>
        <v>441.825232331498</v>
      </c>
      <c r="AR4961">
        <f>1/(COUNT('Iter No Test'!$W$9:$W$5008)-1)+$AR$4960</f>
        <v>0.99179835967184671</v>
      </c>
    </row>
    <row r="4962" spans="22:44">
      <c r="V4962">
        <v>4954</v>
      </c>
      <c r="W4962">
        <v>209.63826547967622</v>
      </c>
      <c r="AQ4962">
        <f>SMALL('Iter No Test'!$W$9:$W$5008,4960)</f>
        <v>442.950198385102</v>
      </c>
      <c r="AR4962">
        <f>1/(COUNT('Iter No Test'!$W$9:$W$5008)-1)+$AR$4961</f>
        <v>0.99199839967984826</v>
      </c>
    </row>
    <row r="4963" spans="22:44">
      <c r="V4963">
        <v>4955</v>
      </c>
      <c r="W4963">
        <v>230.28016412544912</v>
      </c>
      <c r="AQ4963">
        <f>SMALL('Iter No Test'!$W$9:$W$5008,4961)</f>
        <v>443.60375250429792</v>
      </c>
      <c r="AR4963">
        <f>1/(COUNT('Iter No Test'!$W$9:$W$5008)-1)+$AR$4962</f>
        <v>0.99219843968784982</v>
      </c>
    </row>
    <row r="4964" spans="22:44">
      <c r="V4964">
        <v>4956</v>
      </c>
      <c r="W4964">
        <v>281.26268097490833</v>
      </c>
      <c r="AQ4964">
        <f>SMALL('Iter No Test'!$W$9:$W$5008,4962)</f>
        <v>443.7264177398838</v>
      </c>
      <c r="AR4964">
        <f>1/(COUNT('Iter No Test'!$W$9:$W$5008)-1)+$AR$4963</f>
        <v>0.99239847969585138</v>
      </c>
    </row>
    <row r="4965" spans="22:44">
      <c r="V4965">
        <v>4957</v>
      </c>
      <c r="W4965">
        <v>220.58925601683353</v>
      </c>
      <c r="AQ4965">
        <f>SMALL('Iter No Test'!$W$9:$W$5008,4963)</f>
        <v>446.24035888424885</v>
      </c>
      <c r="AR4965">
        <f>1/(COUNT('Iter No Test'!$W$9:$W$5008)-1)+$AR$4964</f>
        <v>0.99259851970385293</v>
      </c>
    </row>
    <row r="4966" spans="22:44">
      <c r="V4966">
        <v>4958</v>
      </c>
      <c r="W4966">
        <v>290.48927640144507</v>
      </c>
      <c r="AQ4966">
        <f>SMALL('Iter No Test'!$W$9:$W$5008,4964)</f>
        <v>447.14918228999966</v>
      </c>
      <c r="AR4966">
        <f>1/(COUNT('Iter No Test'!$W$9:$W$5008)-1)+$AR$4965</f>
        <v>0.99279855971185449</v>
      </c>
    </row>
    <row r="4967" spans="22:44">
      <c r="V4967">
        <v>4959</v>
      </c>
      <c r="W4967">
        <v>165.02505565211351</v>
      </c>
      <c r="AQ4967">
        <f>SMALL('Iter No Test'!$W$9:$W$5008,4965)</f>
        <v>447.73544482619843</v>
      </c>
      <c r="AR4967">
        <f>1/(COUNT('Iter No Test'!$W$9:$W$5008)-1)+$AR$4966</f>
        <v>0.99299859971985605</v>
      </c>
    </row>
    <row r="4968" spans="22:44">
      <c r="V4968">
        <v>4960</v>
      </c>
      <c r="W4968">
        <v>421.61402694362346</v>
      </c>
      <c r="AQ4968">
        <f>SMALL('Iter No Test'!$W$9:$W$5008,4966)</f>
        <v>448.64642344579073</v>
      </c>
      <c r="AR4968">
        <f>1/(COUNT('Iter No Test'!$W$9:$W$5008)-1)+$AR$4967</f>
        <v>0.9931986397278576</v>
      </c>
    </row>
    <row r="4969" spans="22:44">
      <c r="V4969">
        <v>4961</v>
      </c>
      <c r="W4969">
        <v>182.77005786375395</v>
      </c>
      <c r="AQ4969">
        <f>SMALL('Iter No Test'!$W$9:$W$5008,4967)</f>
        <v>449.85144695121846</v>
      </c>
      <c r="AR4969">
        <f>1/(COUNT('Iter No Test'!$W$9:$W$5008)-1)+$AR$4968</f>
        <v>0.99339867973585916</v>
      </c>
    </row>
    <row r="4970" spans="22:44">
      <c r="V4970">
        <v>4962</v>
      </c>
      <c r="W4970">
        <v>173.33100445996712</v>
      </c>
      <c r="AQ4970">
        <f>SMALL('Iter No Test'!$W$9:$W$5008,4968)</f>
        <v>451.27661541503693</v>
      </c>
      <c r="AR4970">
        <f>1/(COUNT('Iter No Test'!$W$9:$W$5008)-1)+$AR$4969</f>
        <v>0.99359871974386071</v>
      </c>
    </row>
    <row r="4971" spans="22:44">
      <c r="V4971">
        <v>4963</v>
      </c>
      <c r="W4971">
        <v>242.64119542653498</v>
      </c>
      <c r="AQ4971">
        <f>SMALL('Iter No Test'!$W$9:$W$5008,4969)</f>
        <v>453.32069643596583</v>
      </c>
      <c r="AR4971">
        <f>1/(COUNT('Iter No Test'!$W$9:$W$5008)-1)+$AR$4970</f>
        <v>0.99379875975186227</v>
      </c>
    </row>
    <row r="4972" spans="22:44">
      <c r="V4972">
        <v>4964</v>
      </c>
      <c r="W4972">
        <v>126.50718815318798</v>
      </c>
      <c r="AQ4972">
        <f>SMALL('Iter No Test'!$W$9:$W$5008,4970)</f>
        <v>455.33142858351198</v>
      </c>
      <c r="AR4972">
        <f>1/(COUNT('Iter No Test'!$W$9:$W$5008)-1)+$AR$4971</f>
        <v>0.99399879975986383</v>
      </c>
    </row>
    <row r="4973" spans="22:44">
      <c r="V4973">
        <v>4965</v>
      </c>
      <c r="W4973">
        <v>265.94748999292381</v>
      </c>
      <c r="AQ4973">
        <f>SMALL('Iter No Test'!$W$9:$W$5008,4971)</f>
        <v>455.48337615721243</v>
      </c>
      <c r="AR4973">
        <f>1/(COUNT('Iter No Test'!$W$9:$W$5008)-1)+$AR$4972</f>
        <v>0.99419883976786538</v>
      </c>
    </row>
    <row r="4974" spans="22:44">
      <c r="V4974">
        <v>4966</v>
      </c>
      <c r="W4974">
        <v>265.15736386400766</v>
      </c>
      <c r="AQ4974">
        <f>SMALL('Iter No Test'!$W$9:$W$5008,4972)</f>
        <v>456.87934657736321</v>
      </c>
      <c r="AR4974">
        <f>1/(COUNT('Iter No Test'!$W$9:$W$5008)-1)+$AR$4973</f>
        <v>0.99439887977586694</v>
      </c>
    </row>
    <row r="4975" spans="22:44">
      <c r="V4975">
        <v>4967</v>
      </c>
      <c r="W4975">
        <v>312.14105985724825</v>
      </c>
      <c r="AQ4975">
        <f>SMALL('Iter No Test'!$W$9:$W$5008,4973)</f>
        <v>457.13796258618606</v>
      </c>
      <c r="AR4975">
        <f>1/(COUNT('Iter No Test'!$W$9:$W$5008)-1)+$AR$4974</f>
        <v>0.9945989197838685</v>
      </c>
    </row>
    <row r="4976" spans="22:44">
      <c r="V4976">
        <v>4968</v>
      </c>
      <c r="W4976">
        <v>177.83295997616767</v>
      </c>
      <c r="AQ4976">
        <f>SMALL('Iter No Test'!$W$9:$W$5008,4974)</f>
        <v>457.51163965737686</v>
      </c>
      <c r="AR4976">
        <f>1/(COUNT('Iter No Test'!$W$9:$W$5008)-1)+$AR$4975</f>
        <v>0.99479895979187005</v>
      </c>
    </row>
    <row r="4977" spans="22:44">
      <c r="V4977">
        <v>4969</v>
      </c>
      <c r="W4977">
        <v>230.79685889729976</v>
      </c>
      <c r="AQ4977">
        <f>SMALL('Iter No Test'!$W$9:$W$5008,4975)</f>
        <v>458.2273357460748</v>
      </c>
      <c r="AR4977">
        <f>1/(COUNT('Iter No Test'!$W$9:$W$5008)-1)+$AR$4976</f>
        <v>0.99499899979987161</v>
      </c>
    </row>
    <row r="4978" spans="22:44">
      <c r="V4978">
        <v>4970</v>
      </c>
      <c r="W4978">
        <v>75.908137022341776</v>
      </c>
      <c r="AQ4978">
        <f>SMALL('Iter No Test'!$W$9:$W$5008,4976)</f>
        <v>462.1777470096996</v>
      </c>
      <c r="AR4978">
        <f>1/(COUNT('Iter No Test'!$W$9:$W$5008)-1)+$AR$4977</f>
        <v>0.99519903980787316</v>
      </c>
    </row>
    <row r="4979" spans="22:44">
      <c r="V4979">
        <v>4971</v>
      </c>
      <c r="W4979">
        <v>216.74485022634821</v>
      </c>
      <c r="AQ4979">
        <f>SMALL('Iter No Test'!$W$9:$W$5008,4977)</f>
        <v>462.80107293355263</v>
      </c>
      <c r="AR4979">
        <f>1/(COUNT('Iter No Test'!$W$9:$W$5008)-1)+$AR$4978</f>
        <v>0.99539907981587472</v>
      </c>
    </row>
    <row r="4980" spans="22:44">
      <c r="V4980">
        <v>4972</v>
      </c>
      <c r="W4980">
        <v>248.86493571982683</v>
      </c>
      <c r="AQ4980">
        <f>SMALL('Iter No Test'!$W$9:$W$5008,4978)</f>
        <v>463.13563371112559</v>
      </c>
      <c r="AR4980">
        <f>1/(COUNT('Iter No Test'!$W$9:$W$5008)-1)+$AR$4979</f>
        <v>0.99559911982387628</v>
      </c>
    </row>
    <row r="4981" spans="22:44">
      <c r="V4981">
        <v>4973</v>
      </c>
      <c r="W4981">
        <v>205.9494290148296</v>
      </c>
      <c r="AQ4981">
        <f>SMALL('Iter No Test'!$W$9:$W$5008,4979)</f>
        <v>466.43796407181458</v>
      </c>
      <c r="AR4981">
        <f>1/(COUNT('Iter No Test'!$W$9:$W$5008)-1)+$AR$4980</f>
        <v>0.99579915983187783</v>
      </c>
    </row>
    <row r="4982" spans="22:44">
      <c r="V4982">
        <v>4974</v>
      </c>
      <c r="W4982">
        <v>312.57387225680992</v>
      </c>
      <c r="AQ4982">
        <f>SMALL('Iter No Test'!$W$9:$W$5008,4980)</f>
        <v>472.03811261205556</v>
      </c>
      <c r="AR4982">
        <f>1/(COUNT('Iter No Test'!$W$9:$W$5008)-1)+$AR$4981</f>
        <v>0.99599919983987939</v>
      </c>
    </row>
    <row r="4983" spans="22:44">
      <c r="V4983">
        <v>4975</v>
      </c>
      <c r="W4983">
        <v>54.870935894891602</v>
      </c>
      <c r="AQ4983">
        <f>SMALL('Iter No Test'!$W$9:$W$5008,4981)</f>
        <v>474.33251928315906</v>
      </c>
      <c r="AR4983">
        <f>1/(COUNT('Iter No Test'!$W$9:$W$5008)-1)+$AR$4982</f>
        <v>0.99619923984788095</v>
      </c>
    </row>
    <row r="4984" spans="22:44">
      <c r="V4984">
        <v>4976</v>
      </c>
      <c r="W4984">
        <v>219.72952032414099</v>
      </c>
      <c r="AQ4984">
        <f>SMALL('Iter No Test'!$W$9:$W$5008,4982)</f>
        <v>483.90358532824143</v>
      </c>
      <c r="AR4984">
        <f>1/(COUNT('Iter No Test'!$W$9:$W$5008)-1)+$AR$4983</f>
        <v>0.9963992798558825</v>
      </c>
    </row>
    <row r="4985" spans="22:44">
      <c r="V4985">
        <v>4977</v>
      </c>
      <c r="W4985">
        <v>109.450570160822</v>
      </c>
      <c r="AQ4985">
        <f>SMALL('Iter No Test'!$W$9:$W$5008,4983)</f>
        <v>484.67707079434615</v>
      </c>
      <c r="AR4985">
        <f>1/(COUNT('Iter No Test'!$W$9:$W$5008)-1)+$AR$4984</f>
        <v>0.99659931986388406</v>
      </c>
    </row>
    <row r="4986" spans="22:44">
      <c r="V4986">
        <v>4978</v>
      </c>
      <c r="W4986">
        <v>244.37659946362308</v>
      </c>
      <c r="AQ4986">
        <f>SMALL('Iter No Test'!$W$9:$W$5008,4984)</f>
        <v>493.95246964482453</v>
      </c>
      <c r="AR4986">
        <f>1/(COUNT('Iter No Test'!$W$9:$W$5008)-1)+$AR$4985</f>
        <v>0.99679935987188562</v>
      </c>
    </row>
    <row r="4987" spans="22:44">
      <c r="V4987">
        <v>4979</v>
      </c>
      <c r="W4987">
        <v>185.24836591069874</v>
      </c>
      <c r="AQ4987">
        <f>SMALL('Iter No Test'!$W$9:$W$5008,4985)</f>
        <v>496.6401626002787</v>
      </c>
      <c r="AR4987">
        <f>1/(COUNT('Iter No Test'!$W$9:$W$5008)-1)+$AR$4986</f>
        <v>0.99699939987988717</v>
      </c>
    </row>
    <row r="4988" spans="22:44">
      <c r="V4988">
        <v>4980</v>
      </c>
      <c r="W4988">
        <v>173.35282930558671</v>
      </c>
      <c r="AQ4988">
        <f>SMALL('Iter No Test'!$W$9:$W$5008,4986)</f>
        <v>496.93422954856123</v>
      </c>
      <c r="AR4988">
        <f>1/(COUNT('Iter No Test'!$W$9:$W$5008)-1)+$AR$4987</f>
        <v>0.99719943988788873</v>
      </c>
    </row>
    <row r="4989" spans="22:44">
      <c r="V4989">
        <v>4981</v>
      </c>
      <c r="W4989">
        <v>384.0013198224305</v>
      </c>
      <c r="AQ4989">
        <f>SMALL('Iter No Test'!$W$9:$W$5008,4987)</f>
        <v>497.14358421408144</v>
      </c>
      <c r="AR4989">
        <f>1/(COUNT('Iter No Test'!$W$9:$W$5008)-1)+$AR$4988</f>
        <v>0.99739947989589028</v>
      </c>
    </row>
    <row r="4990" spans="22:44">
      <c r="V4990">
        <v>4982</v>
      </c>
      <c r="W4990">
        <v>117.50008119761628</v>
      </c>
      <c r="AQ4990">
        <f>SMALL('Iter No Test'!$W$9:$W$5008,4988)</f>
        <v>499.27931677355639</v>
      </c>
      <c r="AR4990">
        <f>1/(COUNT('Iter No Test'!$W$9:$W$5008)-1)+$AR$4989</f>
        <v>0.99759951990389184</v>
      </c>
    </row>
    <row r="4991" spans="22:44">
      <c r="V4991">
        <v>4983</v>
      </c>
      <c r="W4991">
        <v>257.36185667863685</v>
      </c>
      <c r="AQ4991">
        <f>SMALL('Iter No Test'!$W$9:$W$5008,4989)</f>
        <v>504.00931623186773</v>
      </c>
      <c r="AR4991">
        <f>1/(COUNT('Iter No Test'!$W$9:$W$5008)-1)+$AR$4990</f>
        <v>0.9977995599118934</v>
      </c>
    </row>
    <row r="4992" spans="22:44">
      <c r="V4992">
        <v>4984</v>
      </c>
      <c r="W4992">
        <v>135.84882606977413</v>
      </c>
      <c r="AQ4992">
        <f>SMALL('Iter No Test'!$W$9:$W$5008,4990)</f>
        <v>505.84751083300358</v>
      </c>
      <c r="AR4992">
        <f>1/(COUNT('Iter No Test'!$W$9:$W$5008)-1)+$AR$4991</f>
        <v>0.99799959991989495</v>
      </c>
    </row>
    <row r="4993" spans="22:44">
      <c r="V4993">
        <v>4985</v>
      </c>
      <c r="W4993">
        <v>257.77715495889595</v>
      </c>
      <c r="AQ4993">
        <f>SMALL('Iter No Test'!$W$9:$W$5008,4991)</f>
        <v>507.04160037643351</v>
      </c>
      <c r="AR4993">
        <f>1/(COUNT('Iter No Test'!$W$9:$W$5008)-1)+$AR$4992</f>
        <v>0.99819963992789651</v>
      </c>
    </row>
    <row r="4994" spans="22:44">
      <c r="V4994">
        <v>4986</v>
      </c>
      <c r="W4994">
        <v>191.11684219316709</v>
      </c>
      <c r="AQ4994">
        <f>SMALL('Iter No Test'!$W$9:$W$5008,4992)</f>
        <v>516.99148041495766</v>
      </c>
      <c r="AR4994">
        <f>1/(COUNT('Iter No Test'!$W$9:$W$5008)-1)+$AR$4993</f>
        <v>0.99839967993589807</v>
      </c>
    </row>
    <row r="4995" spans="22:44">
      <c r="V4995">
        <v>4987</v>
      </c>
      <c r="W4995">
        <v>222.52980535212208</v>
      </c>
      <c r="AQ4995">
        <f>SMALL('Iter No Test'!$W$9:$W$5008,4993)</f>
        <v>522.76726793853936</v>
      </c>
      <c r="AR4995">
        <f>1/(COUNT('Iter No Test'!$W$9:$W$5008)-1)+$AR$4994</f>
        <v>0.99859971994389962</v>
      </c>
    </row>
    <row r="4996" spans="22:44">
      <c r="V4996">
        <v>4988</v>
      </c>
      <c r="W4996">
        <v>227.36454031526355</v>
      </c>
      <c r="AQ4996">
        <f>SMALL('Iter No Test'!$W$9:$W$5008,4994)</f>
        <v>525.29076877015893</v>
      </c>
      <c r="AR4996">
        <f>1/(COUNT('Iter No Test'!$W$9:$W$5008)-1)+$AR$4995</f>
        <v>0.99879975995190118</v>
      </c>
    </row>
    <row r="4997" spans="22:44">
      <c r="V4997">
        <v>4989</v>
      </c>
      <c r="W4997">
        <v>347.94683936847105</v>
      </c>
      <c r="AQ4997">
        <f>SMALL('Iter No Test'!$W$9:$W$5008,4995)</f>
        <v>561.35676327876195</v>
      </c>
      <c r="AR4997">
        <f>1/(COUNT('Iter No Test'!$W$9:$W$5008)-1)+$AR$4996</f>
        <v>0.99899979995990273</v>
      </c>
    </row>
    <row r="4998" spans="22:44">
      <c r="V4998">
        <v>4990</v>
      </c>
      <c r="W4998">
        <v>239.99461673185354</v>
      </c>
      <c r="AQ4998">
        <f>SMALL('Iter No Test'!$W$9:$W$5008,4996)</f>
        <v>568.3521014100487</v>
      </c>
      <c r="AR4998">
        <f>1/(COUNT('Iter No Test'!$W$9:$W$5008)-1)+$AR$4997</f>
        <v>0.99919983996790429</v>
      </c>
    </row>
    <row r="4999" spans="22:44">
      <c r="V4999">
        <v>4991</v>
      </c>
      <c r="W4999">
        <v>173.51468700418869</v>
      </c>
      <c r="AQ4999">
        <f>SMALL('Iter No Test'!$W$9:$W$5008,4997)</f>
        <v>597.14753128056464</v>
      </c>
      <c r="AR4999">
        <f>1/(COUNT('Iter No Test'!$W$9:$W$5008)-1)+$AR$4998</f>
        <v>0.99939987997590585</v>
      </c>
    </row>
    <row r="5000" spans="22:44">
      <c r="V5000">
        <v>4992</v>
      </c>
      <c r="W5000">
        <v>228.10025681782597</v>
      </c>
      <c r="AQ5000">
        <f>SMALL('Iter No Test'!$W$9:$W$5008,4998)</f>
        <v>608.54970659210676</v>
      </c>
      <c r="AR5000">
        <f>1/(COUNT('Iter No Test'!$W$9:$W$5008)-1)+$AR$4999</f>
        <v>0.9995999199839074</v>
      </c>
    </row>
    <row r="5001" spans="22:44">
      <c r="V5001">
        <v>4993</v>
      </c>
      <c r="W5001">
        <v>299.77909199692164</v>
      </c>
      <c r="AQ5001">
        <f>SMALL('Iter No Test'!$W$9:$W$5008,4999)</f>
        <v>641.98320384530416</v>
      </c>
      <c r="AR5001">
        <f>1/(COUNT('Iter No Test'!$W$9:$W$5008)-1)+$AR$5000</f>
        <v>0.99979995999190896</v>
      </c>
    </row>
    <row r="5002" spans="22:44">
      <c r="V5002">
        <v>4994</v>
      </c>
      <c r="W5002">
        <v>147.46502958209746</v>
      </c>
      <c r="AQ5002">
        <f>SMALL('Iter No Test'!$W$9:$W$5008,5000)</f>
        <v>652.44174702172313</v>
      </c>
      <c r="AR5002">
        <f>1/(COUNT('Iter No Test'!$W$9:$W$5008)-1)+$AR$5001</f>
        <v>0.99999999999991052</v>
      </c>
    </row>
    <row r="5003" spans="22:44">
      <c r="V5003">
        <v>4995</v>
      </c>
      <c r="W5003">
        <v>32.868153165706616</v>
      </c>
    </row>
    <row r="5004" spans="22:44">
      <c r="V5004">
        <v>4996</v>
      </c>
      <c r="W5004">
        <v>197.35470225121247</v>
      </c>
    </row>
    <row r="5005" spans="22:44">
      <c r="V5005">
        <v>4997</v>
      </c>
      <c r="W5005">
        <v>383.27483744061954</v>
      </c>
    </row>
    <row r="5006" spans="22:44">
      <c r="V5006">
        <v>4998</v>
      </c>
      <c r="W5006">
        <v>245.58801020750437</v>
      </c>
    </row>
    <row r="5007" spans="22:44">
      <c r="V5007">
        <v>4999</v>
      </c>
      <c r="W5007">
        <v>153.69722971872028</v>
      </c>
    </row>
    <row r="5008" spans="22:44">
      <c r="V5008">
        <v>5000</v>
      </c>
      <c r="W5008">
        <v>291.13222258824464</v>
      </c>
    </row>
    <row r="5010" spans="22:23">
      <c r="V5010" t="s">
        <v>40</v>
      </c>
    </row>
    <row r="5011" spans="22:23">
      <c r="V5011" t="s">
        <v>41</v>
      </c>
      <c r="W5011" t="str">
        <f>IF(ISBLANK($B5010)=TRUE,"",_xll.EDF(W9:W5008,$B5010))</f>
        <v/>
      </c>
    </row>
    <row r="5012" spans="22:23">
      <c r="V5012" t="s">
        <v>42</v>
      </c>
    </row>
    <row r="5013" spans="22:23">
      <c r="V5013" t="s">
        <v>43</v>
      </c>
      <c r="W5013" t="str">
        <f>IF(ISBLANK($B5012)=TRUE,"",_xll.EDF(W9:W5008,$B5012))</f>
        <v/>
      </c>
    </row>
    <row r="5014" spans="22:23">
      <c r="V5014" t="s">
        <v>44</v>
      </c>
    </row>
    <row r="5015" spans="22:23">
      <c r="V5015" t="s">
        <v>45</v>
      </c>
      <c r="W5015" t="str">
        <f>IF(ISBLANK($B5014)=TRUE,"",_xll.EDF(W9:W5008,$B5014))</f>
        <v/>
      </c>
    </row>
    <row r="5016" spans="22:23">
      <c r="V5016" t="s">
        <v>46</v>
      </c>
    </row>
    <row r="5017" spans="22:23">
      <c r="V5017" t="s">
        <v>47</v>
      </c>
      <c r="W5017" t="str">
        <f>IF(ISBLANK($B5016)=TRUE,"",_xll.EDF(W9:W5008,$B5016))</f>
        <v/>
      </c>
    </row>
    <row r="5018" spans="22:23">
      <c r="V5018" t="s">
        <v>48</v>
      </c>
    </row>
    <row r="5019" spans="22:23">
      <c r="V5019" t="s">
        <v>49</v>
      </c>
      <c r="W5019" t="str">
        <f>IF(ISBLANK($B5018)=TRUE,"",_xll.EDF(W9:W5008,$B5018))</f>
        <v/>
      </c>
    </row>
  </sheetData>
  <sheetCalcPr fullCalcOnLoad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SimDataScen</vt:lpstr>
      <vt:lpstr>Model</vt:lpstr>
      <vt:lpstr>SimData</vt:lpstr>
      <vt:lpstr>Iter No Test</vt:lpstr>
      <vt:lpstr>25 Iter CDF</vt:lpstr>
      <vt:lpstr>50 Iter CDF</vt:lpstr>
      <vt:lpstr>75 Iter CDF</vt:lpstr>
      <vt:lpstr>100 Iter CDF</vt:lpstr>
      <vt:lpstr>200 Iter CDF</vt:lpstr>
      <vt:lpstr>500 Iter CDF</vt:lpstr>
      <vt:lpstr>1000 Iter CDF</vt:lpstr>
      <vt:lpstr>5000 Iter CDF</vt:lpstr>
      <vt:lpstr>Model!Print_Area</vt:lpstr>
    </vt:vector>
  </TitlesOfParts>
  <Company>TAMU -- 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AFPC TAMU System</dc:creator>
  <cp:lastModifiedBy>James W. Richardson</cp:lastModifiedBy>
  <cp:lastPrinted>2002-11-23T02:43:58Z</cp:lastPrinted>
  <dcterms:created xsi:type="dcterms:W3CDTF">2000-06-08T18:29:47Z</dcterms:created>
  <dcterms:modified xsi:type="dcterms:W3CDTF">2011-02-07T04:04:06Z</dcterms:modified>
</cp:coreProperties>
</file>