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255" windowWidth="13740" windowHeight="7455" activeTab="1"/>
  </bookViews>
  <sheets>
    <sheet name="SimData" sheetId="4" r:id="rId1"/>
    <sheet name="Sheet1" sheetId="1" r:id="rId2"/>
    <sheet name="Sheet2" sheetId="2" r:id="rId3"/>
    <sheet name="Sheet3" sheetId="3" r:id="rId4"/>
  </sheets>
  <calcPr calcId="125725" calcMode="manual" iterateDelta="1E-4"/>
</workbook>
</file>

<file path=xl/calcChain.xml><?xml version="1.0" encoding="utf-8"?>
<calcChain xmlns="http://schemas.openxmlformats.org/spreadsheetml/2006/main">
  <c r="C119" i="4"/>
  <c r="C117"/>
  <c r="C115"/>
  <c r="C113"/>
  <c r="C111"/>
  <c r="C8"/>
  <c r="C7"/>
  <c r="C6"/>
  <c r="C4"/>
  <c r="C5" s="1"/>
  <c r="C3"/>
  <c r="B119"/>
  <c r="B117"/>
  <c r="B115"/>
  <c r="B113"/>
  <c r="B111"/>
  <c r="B8"/>
  <c r="B7"/>
  <c r="B6"/>
  <c r="B4"/>
  <c r="B5" s="1"/>
  <c r="B3"/>
  <c r="B24" i="1"/>
  <c r="E7" s="1"/>
  <c r="E12" s="1"/>
  <c r="B25"/>
  <c r="F7" s="1"/>
  <c r="F12" s="1"/>
  <c r="B26"/>
  <c r="G7" s="1"/>
  <c r="G12" s="1"/>
  <c r="B28"/>
  <c r="B27"/>
  <c r="B20"/>
  <c r="B23" s="1"/>
  <c r="B21"/>
  <c r="B22"/>
  <c r="B19"/>
  <c r="J10" i="4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J81" s="1"/>
  <c r="J82" s="1"/>
  <c r="J83" s="1"/>
  <c r="J84" s="1"/>
  <c r="J85" s="1"/>
  <c r="J86" s="1"/>
  <c r="J87" s="1"/>
  <c r="J88" s="1"/>
  <c r="J89" s="1"/>
  <c r="J90" s="1"/>
  <c r="J91" s="1"/>
  <c r="J92" s="1"/>
  <c r="J93" s="1"/>
  <c r="J94" s="1"/>
  <c r="J95" s="1"/>
  <c r="J96" s="1"/>
  <c r="J97" s="1"/>
  <c r="J98" s="1"/>
  <c r="J99" s="1"/>
  <c r="J100" s="1"/>
  <c r="J101" s="1"/>
  <c r="J102" s="1"/>
  <c r="J103" s="1"/>
  <c r="J104" s="1"/>
  <c r="J105" s="1"/>
  <c r="J106" s="1"/>
  <c r="J107" s="1"/>
  <c r="J108" s="1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H10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C2"/>
  <c r="B2"/>
  <c r="G25" i="1"/>
  <c r="G21"/>
  <c r="G17"/>
  <c r="G24"/>
  <c r="G16"/>
  <c r="H30"/>
  <c r="G26"/>
  <c r="G22"/>
  <c r="G18"/>
  <c r="G14"/>
  <c r="A1"/>
  <c r="G23"/>
  <c r="G19"/>
  <c r="G15"/>
  <c r="G20"/>
  <c r="H31" s="1"/>
</calcChain>
</file>

<file path=xl/sharedStrings.xml><?xml version="1.0" encoding="utf-8"?>
<sst xmlns="http://schemas.openxmlformats.org/spreadsheetml/2006/main" count="51" uniqueCount="41">
  <si>
    <t>James W. Richardson</t>
  </si>
  <si>
    <t>Wheat P</t>
  </si>
  <si>
    <t>Mean</t>
  </si>
  <si>
    <t>StDev</t>
  </si>
  <si>
    <t>95 % LCI</t>
  </si>
  <si>
    <t>95 % UCI</t>
  </si>
  <si>
    <t>Min</t>
  </si>
  <si>
    <t>Median</t>
  </si>
  <si>
    <t>Max</t>
  </si>
  <si>
    <t>GRKS Distribution With the Following Parameters:</t>
  </si>
  <si>
    <t>Minimum</t>
  </si>
  <si>
    <t>Mode</t>
  </si>
  <si>
    <t>Maximum</t>
  </si>
  <si>
    <t>Interval</t>
  </si>
  <si>
    <t>Prob(Xi)</t>
  </si>
  <si>
    <t>Xi</t>
  </si>
  <si>
    <t>Pseudo Min</t>
  </si>
  <si>
    <t>Pseudo Max</t>
  </si>
  <si>
    <t>Simulate GRK Directly</t>
  </si>
  <si>
    <t>Simulate GRKS with Empirical</t>
  </si>
  <si>
    <t>Direct</t>
  </si>
  <si>
    <t>Indirect</t>
  </si>
  <si>
    <t>Variable</t>
  </si>
  <si>
    <t>CV</t>
  </si>
  <si>
    <t>Iteration</t>
  </si>
  <si>
    <t>x1-value</t>
  </si>
  <si>
    <t>Prob(X&lt;=x1)</t>
  </si>
  <si>
    <t>x2-value</t>
  </si>
  <si>
    <t>Prob(X&lt;=x2)</t>
  </si>
  <si>
    <t>x3-value</t>
  </si>
  <si>
    <t>Prob(X&lt;=x3)</t>
  </si>
  <si>
    <t>x4-value</t>
  </si>
  <si>
    <t>Prob(X&lt;=x4)</t>
  </si>
  <si>
    <t>x5-value</t>
  </si>
  <si>
    <t>Prob(X&lt;=x5)</t>
  </si>
  <si>
    <t>CDFProb.</t>
  </si>
  <si>
    <t>Skewness</t>
  </si>
  <si>
    <t>Kurtosis</t>
  </si>
  <si>
    <t>Middle</t>
  </si>
  <si>
    <t>Simetar Simulation Results for 100 Iterations.  8:35:53 AM 11/18/2005 (0.20 sec.).  © 2005.</t>
  </si>
  <si>
    <t>© 2011</t>
  </si>
</sst>
</file>

<file path=xl/styles.xml><?xml version="1.0" encoding="utf-8"?>
<styleSheet xmlns="http://schemas.openxmlformats.org/spreadsheetml/2006/main">
  <fonts count="4">
    <font>
      <sz val="9"/>
      <name val="Arial"/>
    </font>
    <font>
      <sz val="9"/>
      <name val="Arial"/>
    </font>
    <font>
      <sz val="8"/>
      <name val="Arial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CDF</a:t>
            </a:r>
          </a:p>
        </c:rich>
      </c:tx>
      <c:layout>
        <c:manualLayout>
          <c:xMode val="edge"/>
          <c:yMode val="edge"/>
          <c:x val="0.47086911218180699"/>
          <c:y val="3.552514948143342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619292206472427"/>
          <c:y val="0.21670341183674391"/>
          <c:w val="0.83814701968361638"/>
          <c:h val="0.529324727273358"/>
        </c:manualLayout>
      </c:layout>
      <c:scatterChart>
        <c:scatterStyle val="smoothMarker"/>
        <c:ser>
          <c:idx val="0"/>
          <c:order val="0"/>
          <c:tx>
            <c:strRef>
              <c:f>SimData!$G$8</c:f>
              <c:strCache>
                <c:ptCount val="1"/>
                <c:pt idx="0">
                  <c:v>Direct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SimData!$G$9:$G$108</c:f>
              <c:numCache>
                <c:formatCode>General</c:formatCode>
                <c:ptCount val="100"/>
                <c:pt idx="0">
                  <c:v>2.1973776670028262</c:v>
                </c:pt>
                <c:pt idx="1">
                  <c:v>2.2711936513686135</c:v>
                </c:pt>
                <c:pt idx="2">
                  <c:v>2.4412651088575035</c:v>
                </c:pt>
                <c:pt idx="3">
                  <c:v>2.487330202882835</c:v>
                </c:pt>
                <c:pt idx="4">
                  <c:v>2.5174675078153261</c:v>
                </c:pt>
                <c:pt idx="5">
                  <c:v>2.5907499158287033</c:v>
                </c:pt>
                <c:pt idx="6">
                  <c:v>2.6015861395414377</c:v>
                </c:pt>
                <c:pt idx="7">
                  <c:v>2.6519353548882312</c:v>
                </c:pt>
                <c:pt idx="8">
                  <c:v>2.6744378847589347</c:v>
                </c:pt>
                <c:pt idx="9">
                  <c:v>2.6887260513781572</c:v>
                </c:pt>
                <c:pt idx="10">
                  <c:v>2.7083414250439861</c:v>
                </c:pt>
                <c:pt idx="11">
                  <c:v>2.7406906253473191</c:v>
                </c:pt>
                <c:pt idx="12">
                  <c:v>2.7556470784525482</c:v>
                </c:pt>
                <c:pt idx="13">
                  <c:v>2.7827901851350392</c:v>
                </c:pt>
                <c:pt idx="14">
                  <c:v>2.8071694598116372</c:v>
                </c:pt>
                <c:pt idx="15">
                  <c:v>2.8216822007938056</c:v>
                </c:pt>
                <c:pt idx="16">
                  <c:v>2.8426494796571795</c:v>
                </c:pt>
                <c:pt idx="17">
                  <c:v>2.8669017365312537</c:v>
                </c:pt>
                <c:pt idx="18">
                  <c:v>2.8714287380895214</c:v>
                </c:pt>
                <c:pt idx="19">
                  <c:v>2.8935027250856002</c:v>
                </c:pt>
                <c:pt idx="20">
                  <c:v>2.8984597895329349</c:v>
                </c:pt>
                <c:pt idx="21">
                  <c:v>2.9145918059824685</c:v>
                </c:pt>
                <c:pt idx="22">
                  <c:v>2.9312581482947739</c:v>
                </c:pt>
                <c:pt idx="23">
                  <c:v>2.9421787540132742</c:v>
                </c:pt>
                <c:pt idx="24">
                  <c:v>2.9601962131281372</c:v>
                </c:pt>
                <c:pt idx="25">
                  <c:v>2.9699194959345983</c:v>
                </c:pt>
                <c:pt idx="26">
                  <c:v>2.9899860742187023</c:v>
                </c:pt>
                <c:pt idx="27">
                  <c:v>3.0007172814879217</c:v>
                </c:pt>
                <c:pt idx="28">
                  <c:v>3.022618009341318</c:v>
                </c:pt>
                <c:pt idx="29">
                  <c:v>3.0368975262564724</c:v>
                </c:pt>
                <c:pt idx="30">
                  <c:v>3.0509383104863819</c:v>
                </c:pt>
                <c:pt idx="31">
                  <c:v>3.0609028944677252</c:v>
                </c:pt>
                <c:pt idx="32">
                  <c:v>3.0713941384345</c:v>
                </c:pt>
                <c:pt idx="33">
                  <c:v>3.0818256660549785</c:v>
                </c:pt>
                <c:pt idx="34">
                  <c:v>3.0900330204502837</c:v>
                </c:pt>
                <c:pt idx="35">
                  <c:v>3.1015939149060152</c:v>
                </c:pt>
                <c:pt idx="36">
                  <c:v>3.1143461970411699</c:v>
                </c:pt>
                <c:pt idx="37">
                  <c:v>3.124182782559719</c:v>
                </c:pt>
                <c:pt idx="38">
                  <c:v>3.1286312068274693</c:v>
                </c:pt>
                <c:pt idx="39">
                  <c:v>3.1415892071750253</c:v>
                </c:pt>
                <c:pt idx="40">
                  <c:v>3.1598832881934955</c:v>
                </c:pt>
                <c:pt idx="41">
                  <c:v>3.1689540873446282</c:v>
                </c:pt>
                <c:pt idx="42">
                  <c:v>3.1817922427425338</c:v>
                </c:pt>
                <c:pt idx="43">
                  <c:v>3.186194562491417</c:v>
                </c:pt>
                <c:pt idx="44">
                  <c:v>3.1960755895929647</c:v>
                </c:pt>
                <c:pt idx="45">
                  <c:v>3.208163908793404</c:v>
                </c:pt>
                <c:pt idx="46">
                  <c:v>3.2216791363324941</c:v>
                </c:pt>
                <c:pt idx="47">
                  <c:v>3.2315435604886376</c:v>
                </c:pt>
                <c:pt idx="48">
                  <c:v>3.2407072783680446</c:v>
                </c:pt>
                <c:pt idx="49">
                  <c:v>3.2505613683003545</c:v>
                </c:pt>
                <c:pt idx="50">
                  <c:v>3.2740985324766503</c:v>
                </c:pt>
                <c:pt idx="51">
                  <c:v>3.2789818190620981</c:v>
                </c:pt>
                <c:pt idx="52">
                  <c:v>3.3103538603787426</c:v>
                </c:pt>
                <c:pt idx="53">
                  <c:v>3.3142117061429124</c:v>
                </c:pt>
                <c:pt idx="54">
                  <c:v>3.3438845128829535</c:v>
                </c:pt>
                <c:pt idx="55">
                  <c:v>3.3560662272894066</c:v>
                </c:pt>
                <c:pt idx="56">
                  <c:v>3.366364050045684</c:v>
                </c:pt>
                <c:pt idx="57">
                  <c:v>3.3861135590618017</c:v>
                </c:pt>
                <c:pt idx="58">
                  <c:v>3.405010920824147</c:v>
                </c:pt>
                <c:pt idx="59">
                  <c:v>3.4164983090749068</c:v>
                </c:pt>
                <c:pt idx="60">
                  <c:v>3.4376246470409559</c:v>
                </c:pt>
                <c:pt idx="61">
                  <c:v>3.4602079903299394</c:v>
                </c:pt>
                <c:pt idx="62">
                  <c:v>3.4653021485031665</c:v>
                </c:pt>
                <c:pt idx="63">
                  <c:v>3.4915483507100737</c:v>
                </c:pt>
                <c:pt idx="64">
                  <c:v>3.503686078652013</c:v>
                </c:pt>
                <c:pt idx="65">
                  <c:v>3.5234181360196364</c:v>
                </c:pt>
                <c:pt idx="66">
                  <c:v>3.5322833786898538</c:v>
                </c:pt>
                <c:pt idx="67">
                  <c:v>3.5605916067379417</c:v>
                </c:pt>
                <c:pt idx="68">
                  <c:v>3.5686396278841106</c:v>
                </c:pt>
                <c:pt idx="69">
                  <c:v>3.5931725016190503</c:v>
                </c:pt>
                <c:pt idx="70">
                  <c:v>3.612257062074498</c:v>
                </c:pt>
                <c:pt idx="71">
                  <c:v>3.6419608196879278</c:v>
                </c:pt>
                <c:pt idx="72">
                  <c:v>3.6485710175255757</c:v>
                </c:pt>
                <c:pt idx="73">
                  <c:v>3.6846535224115811</c:v>
                </c:pt>
                <c:pt idx="74">
                  <c:v>3.6989694836551701</c:v>
                </c:pt>
                <c:pt idx="75">
                  <c:v>3.7085528223220074</c:v>
                </c:pt>
                <c:pt idx="76">
                  <c:v>3.7311176252039528</c:v>
                </c:pt>
                <c:pt idx="77">
                  <c:v>3.7649677458112443</c:v>
                </c:pt>
                <c:pt idx="78">
                  <c:v>3.7738596168943612</c:v>
                </c:pt>
                <c:pt idx="79">
                  <c:v>3.8065096310011994</c:v>
                </c:pt>
                <c:pt idx="80">
                  <c:v>3.8272734389803049</c:v>
                </c:pt>
                <c:pt idx="81">
                  <c:v>3.8561561639425141</c:v>
                </c:pt>
                <c:pt idx="82">
                  <c:v>3.87275206305508</c:v>
                </c:pt>
                <c:pt idx="83">
                  <c:v>3.8983990321173945</c:v>
                </c:pt>
                <c:pt idx="84">
                  <c:v>3.912564478117257</c:v>
                </c:pt>
                <c:pt idx="85">
                  <c:v>3.9518700263866937</c:v>
                </c:pt>
                <c:pt idx="86">
                  <c:v>3.9869203801061364</c:v>
                </c:pt>
                <c:pt idx="87">
                  <c:v>4.012922851310166</c:v>
                </c:pt>
                <c:pt idx="88">
                  <c:v>4.0519218476301315</c:v>
                </c:pt>
                <c:pt idx="89">
                  <c:v>4.0967989912248486</c:v>
                </c:pt>
                <c:pt idx="90">
                  <c:v>4.1360822861652453</c:v>
                </c:pt>
                <c:pt idx="91">
                  <c:v>4.1551233495297932</c:v>
                </c:pt>
                <c:pt idx="92">
                  <c:v>4.2083790066815272</c:v>
                </c:pt>
                <c:pt idx="93">
                  <c:v>4.2734572542620484</c:v>
                </c:pt>
                <c:pt idx="94">
                  <c:v>4.2815497732418635</c:v>
                </c:pt>
                <c:pt idx="95">
                  <c:v>4.3822746172643487</c:v>
                </c:pt>
                <c:pt idx="96">
                  <c:v>4.4532788539981434</c:v>
                </c:pt>
                <c:pt idx="97">
                  <c:v>4.5997131035938681</c:v>
                </c:pt>
                <c:pt idx="98">
                  <c:v>4.662472362385496</c:v>
                </c:pt>
                <c:pt idx="99">
                  <c:v>5.093031771787361</c:v>
                </c:pt>
              </c:numCache>
            </c:numRef>
          </c:xVal>
          <c:yVal>
            <c:numRef>
              <c:f>SimData!$H$9:$H$108</c:f>
              <c:numCache>
                <c:formatCode>General</c:formatCode>
                <c:ptCount val="100"/>
                <c:pt idx="0">
                  <c:v>0</c:v>
                </c:pt>
                <c:pt idx="1">
                  <c:v>1.0101010101010102E-2</c:v>
                </c:pt>
                <c:pt idx="2">
                  <c:v>2.0202020202020204E-2</c:v>
                </c:pt>
                <c:pt idx="3">
                  <c:v>3.0303030303030304E-2</c:v>
                </c:pt>
                <c:pt idx="4">
                  <c:v>4.0404040404040407E-2</c:v>
                </c:pt>
                <c:pt idx="5">
                  <c:v>5.0505050505050511E-2</c:v>
                </c:pt>
                <c:pt idx="6">
                  <c:v>6.0606060606060615E-2</c:v>
                </c:pt>
                <c:pt idx="7">
                  <c:v>7.0707070707070718E-2</c:v>
                </c:pt>
                <c:pt idx="8">
                  <c:v>8.0808080808080815E-2</c:v>
                </c:pt>
                <c:pt idx="9">
                  <c:v>9.0909090909090912E-2</c:v>
                </c:pt>
                <c:pt idx="10">
                  <c:v>0.10101010101010101</c:v>
                </c:pt>
                <c:pt idx="11">
                  <c:v>0.1111111111111111</c:v>
                </c:pt>
                <c:pt idx="12">
                  <c:v>0.1212121212121212</c:v>
                </c:pt>
                <c:pt idx="13">
                  <c:v>0.1313131313131313</c:v>
                </c:pt>
                <c:pt idx="14">
                  <c:v>0.14141414141414141</c:v>
                </c:pt>
                <c:pt idx="15">
                  <c:v>0.15151515151515152</c:v>
                </c:pt>
                <c:pt idx="16">
                  <c:v>0.16161616161616163</c:v>
                </c:pt>
                <c:pt idx="17">
                  <c:v>0.17171717171717174</c:v>
                </c:pt>
                <c:pt idx="18">
                  <c:v>0.18181818181818185</c:v>
                </c:pt>
                <c:pt idx="19">
                  <c:v>0.19191919191919196</c:v>
                </c:pt>
                <c:pt idx="20">
                  <c:v>0.20202020202020207</c:v>
                </c:pt>
                <c:pt idx="21">
                  <c:v>0.21212121212121218</c:v>
                </c:pt>
                <c:pt idx="22">
                  <c:v>0.22222222222222229</c:v>
                </c:pt>
                <c:pt idx="23">
                  <c:v>0.2323232323232324</c:v>
                </c:pt>
                <c:pt idx="24">
                  <c:v>0.24242424242424251</c:v>
                </c:pt>
                <c:pt idx="25">
                  <c:v>0.2525252525252526</c:v>
                </c:pt>
                <c:pt idx="26">
                  <c:v>0.26262626262626271</c:v>
                </c:pt>
                <c:pt idx="27">
                  <c:v>0.27272727272727282</c:v>
                </c:pt>
                <c:pt idx="28">
                  <c:v>0.28282828282828293</c:v>
                </c:pt>
                <c:pt idx="29">
                  <c:v>0.29292929292929304</c:v>
                </c:pt>
                <c:pt idx="30">
                  <c:v>0.30303030303030315</c:v>
                </c:pt>
                <c:pt idx="31">
                  <c:v>0.31313131313131326</c:v>
                </c:pt>
                <c:pt idx="32">
                  <c:v>0.32323232323232337</c:v>
                </c:pt>
                <c:pt idx="33">
                  <c:v>0.33333333333333348</c:v>
                </c:pt>
                <c:pt idx="34">
                  <c:v>0.34343434343434359</c:v>
                </c:pt>
                <c:pt idx="35">
                  <c:v>0.3535353535353537</c:v>
                </c:pt>
                <c:pt idx="36">
                  <c:v>0.36363636363636381</c:v>
                </c:pt>
                <c:pt idx="37">
                  <c:v>0.37373737373737392</c:v>
                </c:pt>
                <c:pt idx="38">
                  <c:v>0.38383838383838403</c:v>
                </c:pt>
                <c:pt idx="39">
                  <c:v>0.39393939393939414</c:v>
                </c:pt>
                <c:pt idx="40">
                  <c:v>0.40404040404040426</c:v>
                </c:pt>
                <c:pt idx="41">
                  <c:v>0.41414141414141437</c:v>
                </c:pt>
                <c:pt idx="42">
                  <c:v>0.42424242424242448</c:v>
                </c:pt>
                <c:pt idx="43">
                  <c:v>0.43434343434343459</c:v>
                </c:pt>
                <c:pt idx="44">
                  <c:v>0.4444444444444447</c:v>
                </c:pt>
                <c:pt idx="45">
                  <c:v>0.45454545454545481</c:v>
                </c:pt>
                <c:pt idx="46">
                  <c:v>0.46464646464646492</c:v>
                </c:pt>
                <c:pt idx="47">
                  <c:v>0.47474747474747503</c:v>
                </c:pt>
                <c:pt idx="48">
                  <c:v>0.48484848484848514</c:v>
                </c:pt>
                <c:pt idx="49">
                  <c:v>0.49494949494949525</c:v>
                </c:pt>
                <c:pt idx="50">
                  <c:v>0.50505050505050531</c:v>
                </c:pt>
                <c:pt idx="51">
                  <c:v>0.51515151515151536</c:v>
                </c:pt>
                <c:pt idx="52">
                  <c:v>0.52525252525252542</c:v>
                </c:pt>
                <c:pt idx="53">
                  <c:v>0.53535353535353547</c:v>
                </c:pt>
                <c:pt idx="54">
                  <c:v>0.54545454545454553</c:v>
                </c:pt>
                <c:pt idx="55">
                  <c:v>0.55555555555555558</c:v>
                </c:pt>
                <c:pt idx="56">
                  <c:v>0.56565656565656564</c:v>
                </c:pt>
                <c:pt idx="57">
                  <c:v>0.57575757575757569</c:v>
                </c:pt>
                <c:pt idx="58">
                  <c:v>0.58585858585858575</c:v>
                </c:pt>
                <c:pt idx="59">
                  <c:v>0.5959595959595958</c:v>
                </c:pt>
                <c:pt idx="60">
                  <c:v>0.60606060606060586</c:v>
                </c:pt>
                <c:pt idx="61">
                  <c:v>0.61616161616161591</c:v>
                </c:pt>
                <c:pt idx="62">
                  <c:v>0.62626262626262597</c:v>
                </c:pt>
                <c:pt idx="63">
                  <c:v>0.63636363636363602</c:v>
                </c:pt>
                <c:pt idx="64">
                  <c:v>0.64646464646464608</c:v>
                </c:pt>
                <c:pt idx="65">
                  <c:v>0.65656565656565613</c:v>
                </c:pt>
                <c:pt idx="66">
                  <c:v>0.66666666666666619</c:v>
                </c:pt>
                <c:pt idx="67">
                  <c:v>0.67676767676767624</c:v>
                </c:pt>
                <c:pt idx="68">
                  <c:v>0.6868686868686863</c:v>
                </c:pt>
                <c:pt idx="69">
                  <c:v>0.69696969696969635</c:v>
                </c:pt>
                <c:pt idx="70">
                  <c:v>0.70707070707070641</c:v>
                </c:pt>
                <c:pt idx="71">
                  <c:v>0.71717171717171646</c:v>
                </c:pt>
                <c:pt idx="72">
                  <c:v>0.72727272727272652</c:v>
                </c:pt>
                <c:pt idx="73">
                  <c:v>0.73737373737373657</c:v>
                </c:pt>
                <c:pt idx="74">
                  <c:v>0.74747474747474663</c:v>
                </c:pt>
                <c:pt idx="75">
                  <c:v>0.75757575757575668</c:v>
                </c:pt>
                <c:pt idx="76">
                  <c:v>0.76767676767676674</c:v>
                </c:pt>
                <c:pt idx="77">
                  <c:v>0.77777777777777679</c:v>
                </c:pt>
                <c:pt idx="78">
                  <c:v>0.78787878787878685</c:v>
                </c:pt>
                <c:pt idx="79">
                  <c:v>0.7979797979797969</c:v>
                </c:pt>
                <c:pt idx="80">
                  <c:v>0.80808080808080696</c:v>
                </c:pt>
                <c:pt idx="81">
                  <c:v>0.81818181818181701</c:v>
                </c:pt>
                <c:pt idx="82">
                  <c:v>0.82828282828282707</c:v>
                </c:pt>
                <c:pt idx="83">
                  <c:v>0.83838383838383712</c:v>
                </c:pt>
                <c:pt idx="84">
                  <c:v>0.84848484848484718</c:v>
                </c:pt>
                <c:pt idx="85">
                  <c:v>0.85858585858585723</c:v>
                </c:pt>
                <c:pt idx="86">
                  <c:v>0.86868686868686729</c:v>
                </c:pt>
                <c:pt idx="87">
                  <c:v>0.87878787878787734</c:v>
                </c:pt>
                <c:pt idx="88">
                  <c:v>0.8888888888888874</c:v>
                </c:pt>
                <c:pt idx="89">
                  <c:v>0.89898989898989745</c:v>
                </c:pt>
                <c:pt idx="90">
                  <c:v>0.90909090909090751</c:v>
                </c:pt>
                <c:pt idx="91">
                  <c:v>0.91919191919191756</c:v>
                </c:pt>
                <c:pt idx="92">
                  <c:v>0.92929292929292762</c:v>
                </c:pt>
                <c:pt idx="93">
                  <c:v>0.93939393939393767</c:v>
                </c:pt>
                <c:pt idx="94">
                  <c:v>0.94949494949494773</c:v>
                </c:pt>
                <c:pt idx="95">
                  <c:v>0.95959595959595778</c:v>
                </c:pt>
                <c:pt idx="96">
                  <c:v>0.96969696969696784</c:v>
                </c:pt>
                <c:pt idx="97">
                  <c:v>0.97979797979797789</c:v>
                </c:pt>
                <c:pt idx="98">
                  <c:v>0.98989898989898795</c:v>
                </c:pt>
                <c:pt idx="99">
                  <c:v>0.999999999999998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SimData!$I$8</c:f>
              <c:strCache>
                <c:ptCount val="1"/>
                <c:pt idx="0">
                  <c:v>Indirect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SimData!$I$9:$I$108</c:f>
              <c:numCache>
                <c:formatCode>General</c:formatCode>
                <c:ptCount val="100"/>
                <c:pt idx="0">
                  <c:v>2.1417911420944535</c:v>
                </c:pt>
                <c:pt idx="1">
                  <c:v>2.3839539182466019</c:v>
                </c:pt>
                <c:pt idx="2">
                  <c:v>2.4491125700101266</c:v>
                </c:pt>
                <c:pt idx="3">
                  <c:v>2.4703790124314007</c:v>
                </c:pt>
                <c:pt idx="4">
                  <c:v>2.5381877680684708</c:v>
                </c:pt>
                <c:pt idx="5">
                  <c:v>2.5512287451334426</c:v>
                </c:pt>
                <c:pt idx="6">
                  <c:v>2.6002725612013231</c:v>
                </c:pt>
                <c:pt idx="7">
                  <c:v>2.6421824848934286</c:v>
                </c:pt>
                <c:pt idx="8">
                  <c:v>2.6710181928778325</c:v>
                </c:pt>
                <c:pt idx="9">
                  <c:v>2.704886270834582</c:v>
                </c:pt>
                <c:pt idx="10">
                  <c:v>2.7096771839876368</c:v>
                </c:pt>
                <c:pt idx="11">
                  <c:v>2.7303328580867952</c:v>
                </c:pt>
                <c:pt idx="12">
                  <c:v>2.7524653299247719</c:v>
                </c:pt>
                <c:pt idx="13">
                  <c:v>2.7801039549949227</c:v>
                </c:pt>
                <c:pt idx="14">
                  <c:v>2.819798975596735</c:v>
                </c:pt>
                <c:pt idx="15">
                  <c:v>2.8363927473832238</c:v>
                </c:pt>
                <c:pt idx="16">
                  <c:v>2.8516809276211728</c:v>
                </c:pt>
                <c:pt idx="17">
                  <c:v>2.8648407824770832</c:v>
                </c:pt>
                <c:pt idx="18">
                  <c:v>2.8713361208514914</c:v>
                </c:pt>
                <c:pt idx="19">
                  <c:v>2.8851569959446293</c:v>
                </c:pt>
                <c:pt idx="20">
                  <c:v>2.9059015481293891</c:v>
                </c:pt>
                <c:pt idx="21">
                  <c:v>2.9195061280190613</c:v>
                </c:pt>
                <c:pt idx="22">
                  <c:v>2.9371245745336729</c:v>
                </c:pt>
                <c:pt idx="23">
                  <c:v>2.9534742818874351</c:v>
                </c:pt>
                <c:pt idx="24">
                  <c:v>2.9661350535771072</c:v>
                </c:pt>
                <c:pt idx="25">
                  <c:v>2.9690897102909837</c:v>
                </c:pt>
                <c:pt idx="26">
                  <c:v>2.9837277493375871</c:v>
                </c:pt>
                <c:pt idx="27">
                  <c:v>3.0067296304476998</c:v>
                </c:pt>
                <c:pt idx="28">
                  <c:v>3.0134708630899194</c:v>
                </c:pt>
                <c:pt idx="29">
                  <c:v>3.0262495765781079</c:v>
                </c:pt>
                <c:pt idx="30">
                  <c:v>3.0389536840919296</c:v>
                </c:pt>
                <c:pt idx="31">
                  <c:v>3.0532257039146837</c:v>
                </c:pt>
                <c:pt idx="32">
                  <c:v>3.0647251534853583</c:v>
                </c:pt>
                <c:pt idx="33">
                  <c:v>3.0808413478507171</c:v>
                </c:pt>
                <c:pt idx="34">
                  <c:v>3.0923627036693855</c:v>
                </c:pt>
                <c:pt idx="35">
                  <c:v>3.0973232367319117</c:v>
                </c:pt>
                <c:pt idx="36">
                  <c:v>3.1075771631959572</c:v>
                </c:pt>
                <c:pt idx="37">
                  <c:v>3.1193384888185758</c:v>
                </c:pt>
                <c:pt idx="38">
                  <c:v>3.1334421606858966</c:v>
                </c:pt>
                <c:pt idx="39">
                  <c:v>3.1484079629860573</c:v>
                </c:pt>
                <c:pt idx="40">
                  <c:v>3.1607976409538199</c:v>
                </c:pt>
                <c:pt idx="41">
                  <c:v>3.1705946695403506</c:v>
                </c:pt>
                <c:pt idx="42">
                  <c:v>3.1805825014942486</c:v>
                </c:pt>
                <c:pt idx="43">
                  <c:v>3.1860791781655258</c:v>
                </c:pt>
                <c:pt idx="44">
                  <c:v>3.2033175601130055</c:v>
                </c:pt>
                <c:pt idx="45">
                  <c:v>3.2095438625847099</c:v>
                </c:pt>
                <c:pt idx="46">
                  <c:v>3.2212220688154893</c:v>
                </c:pt>
                <c:pt idx="47">
                  <c:v>3.2281632911380873</c:v>
                </c:pt>
                <c:pt idx="48">
                  <c:v>3.2402209597580938</c:v>
                </c:pt>
                <c:pt idx="49">
                  <c:v>3.25687599507875</c:v>
                </c:pt>
                <c:pt idx="50">
                  <c:v>3.2612962073930198</c:v>
                </c:pt>
                <c:pt idx="51">
                  <c:v>3.2788338909925119</c:v>
                </c:pt>
                <c:pt idx="52">
                  <c:v>3.2983313464678985</c:v>
                </c:pt>
                <c:pt idx="53">
                  <c:v>3.3264694645183659</c:v>
                </c:pt>
                <c:pt idx="54">
                  <c:v>3.3365080688790103</c:v>
                </c:pt>
                <c:pt idx="55">
                  <c:v>3.3588383140736058</c:v>
                </c:pt>
                <c:pt idx="56">
                  <c:v>3.3735878962061374</c:v>
                </c:pt>
                <c:pt idx="57">
                  <c:v>3.3935748602368503</c:v>
                </c:pt>
                <c:pt idx="58">
                  <c:v>3.3996346396480526</c:v>
                </c:pt>
                <c:pt idx="59">
                  <c:v>3.4271001032869246</c:v>
                </c:pt>
                <c:pt idx="60">
                  <c:v>3.4422905363480449</c:v>
                </c:pt>
                <c:pt idx="61">
                  <c:v>3.4572675106171444</c:v>
                </c:pt>
                <c:pt idx="62">
                  <c:v>3.4752827028076219</c:v>
                </c:pt>
                <c:pt idx="63">
                  <c:v>3.4831070435564517</c:v>
                </c:pt>
                <c:pt idx="64">
                  <c:v>3.4997685998256762</c:v>
                </c:pt>
                <c:pt idx="65">
                  <c:v>3.5241443265229835</c:v>
                </c:pt>
                <c:pt idx="66">
                  <c:v>3.5307082485629055</c:v>
                </c:pt>
                <c:pt idx="67">
                  <c:v>3.5589459413962801</c:v>
                </c:pt>
                <c:pt idx="68">
                  <c:v>3.574972082092791</c:v>
                </c:pt>
                <c:pt idx="69">
                  <c:v>3.5812299322944638</c:v>
                </c:pt>
                <c:pt idx="70">
                  <c:v>3.6061269326073155</c:v>
                </c:pt>
                <c:pt idx="71">
                  <c:v>3.6375534049972624</c:v>
                </c:pt>
                <c:pt idx="72">
                  <c:v>3.6578226723817253</c:v>
                </c:pt>
                <c:pt idx="73">
                  <c:v>3.6817867030392986</c:v>
                </c:pt>
                <c:pt idx="74">
                  <c:v>3.6943364547061046</c:v>
                </c:pt>
                <c:pt idx="75">
                  <c:v>3.7119516225494693</c:v>
                </c:pt>
                <c:pt idx="76">
                  <c:v>3.7359796696920973</c:v>
                </c:pt>
                <c:pt idx="77">
                  <c:v>3.7611540907605252</c:v>
                </c:pt>
                <c:pt idx="78">
                  <c:v>3.7831184472925568</c:v>
                </c:pt>
                <c:pt idx="79">
                  <c:v>3.8051442889374774</c:v>
                </c:pt>
                <c:pt idx="80">
                  <c:v>3.8165635553453594</c:v>
                </c:pt>
                <c:pt idx="81">
                  <c:v>3.8409122625221048</c:v>
                </c:pt>
                <c:pt idx="82">
                  <c:v>3.8624728177135372</c:v>
                </c:pt>
                <c:pt idx="83">
                  <c:v>3.8921721533940445</c:v>
                </c:pt>
                <c:pt idx="84">
                  <c:v>3.932748102474362</c:v>
                </c:pt>
                <c:pt idx="85">
                  <c:v>3.9440968894310302</c:v>
                </c:pt>
                <c:pt idx="86">
                  <c:v>3.9731933813287759</c:v>
                </c:pt>
                <c:pt idx="87">
                  <c:v>4.0239052672431841</c:v>
                </c:pt>
                <c:pt idx="88">
                  <c:v>4.0630861181229543</c:v>
                </c:pt>
                <c:pt idx="89">
                  <c:v>4.1031731746098217</c:v>
                </c:pt>
                <c:pt idx="90">
                  <c:v>4.1460095614024759</c:v>
                </c:pt>
                <c:pt idx="91">
                  <c:v>4.1569045809949774</c:v>
                </c:pt>
                <c:pt idx="92">
                  <c:v>4.1911538235611339</c:v>
                </c:pt>
                <c:pt idx="93">
                  <c:v>4.2436065437718558</c:v>
                </c:pt>
                <c:pt idx="94">
                  <c:v>4.324812575419422</c:v>
                </c:pt>
                <c:pt idx="95">
                  <c:v>4.3985245033875602</c:v>
                </c:pt>
                <c:pt idx="96">
                  <c:v>4.455179962147537</c:v>
                </c:pt>
                <c:pt idx="97">
                  <c:v>4.5332371626214663</c:v>
                </c:pt>
                <c:pt idx="98">
                  <c:v>4.746266659823994</c:v>
                </c:pt>
                <c:pt idx="99">
                  <c:v>4.8269950088156728</c:v>
                </c:pt>
              </c:numCache>
            </c:numRef>
          </c:xVal>
          <c:yVal>
            <c:numRef>
              <c:f>SimData!$J$9:$J$108</c:f>
              <c:numCache>
                <c:formatCode>General</c:formatCode>
                <c:ptCount val="100"/>
                <c:pt idx="0">
                  <c:v>0</c:v>
                </c:pt>
                <c:pt idx="1">
                  <c:v>1.0101010101010102E-2</c:v>
                </c:pt>
                <c:pt idx="2">
                  <c:v>2.0202020202020204E-2</c:v>
                </c:pt>
                <c:pt idx="3">
                  <c:v>3.0303030303030304E-2</c:v>
                </c:pt>
                <c:pt idx="4">
                  <c:v>4.0404040404040407E-2</c:v>
                </c:pt>
                <c:pt idx="5">
                  <c:v>5.0505050505050511E-2</c:v>
                </c:pt>
                <c:pt idx="6">
                  <c:v>6.0606060606060615E-2</c:v>
                </c:pt>
                <c:pt idx="7">
                  <c:v>7.0707070707070718E-2</c:v>
                </c:pt>
                <c:pt idx="8">
                  <c:v>8.0808080808080815E-2</c:v>
                </c:pt>
                <c:pt idx="9">
                  <c:v>9.0909090909090912E-2</c:v>
                </c:pt>
                <c:pt idx="10">
                  <c:v>0.10101010101010101</c:v>
                </c:pt>
                <c:pt idx="11">
                  <c:v>0.1111111111111111</c:v>
                </c:pt>
                <c:pt idx="12">
                  <c:v>0.1212121212121212</c:v>
                </c:pt>
                <c:pt idx="13">
                  <c:v>0.1313131313131313</c:v>
                </c:pt>
                <c:pt idx="14">
                  <c:v>0.14141414141414141</c:v>
                </c:pt>
                <c:pt idx="15">
                  <c:v>0.15151515151515152</c:v>
                </c:pt>
                <c:pt idx="16">
                  <c:v>0.16161616161616163</c:v>
                </c:pt>
                <c:pt idx="17">
                  <c:v>0.17171717171717174</c:v>
                </c:pt>
                <c:pt idx="18">
                  <c:v>0.18181818181818185</c:v>
                </c:pt>
                <c:pt idx="19">
                  <c:v>0.19191919191919196</c:v>
                </c:pt>
                <c:pt idx="20">
                  <c:v>0.20202020202020207</c:v>
                </c:pt>
                <c:pt idx="21">
                  <c:v>0.21212121212121218</c:v>
                </c:pt>
                <c:pt idx="22">
                  <c:v>0.22222222222222229</c:v>
                </c:pt>
                <c:pt idx="23">
                  <c:v>0.2323232323232324</c:v>
                </c:pt>
                <c:pt idx="24">
                  <c:v>0.24242424242424251</c:v>
                </c:pt>
                <c:pt idx="25">
                  <c:v>0.2525252525252526</c:v>
                </c:pt>
                <c:pt idx="26">
                  <c:v>0.26262626262626271</c:v>
                </c:pt>
                <c:pt idx="27">
                  <c:v>0.27272727272727282</c:v>
                </c:pt>
                <c:pt idx="28">
                  <c:v>0.28282828282828293</c:v>
                </c:pt>
                <c:pt idx="29">
                  <c:v>0.29292929292929304</c:v>
                </c:pt>
                <c:pt idx="30">
                  <c:v>0.30303030303030315</c:v>
                </c:pt>
                <c:pt idx="31">
                  <c:v>0.31313131313131326</c:v>
                </c:pt>
                <c:pt idx="32">
                  <c:v>0.32323232323232337</c:v>
                </c:pt>
                <c:pt idx="33">
                  <c:v>0.33333333333333348</c:v>
                </c:pt>
                <c:pt idx="34">
                  <c:v>0.34343434343434359</c:v>
                </c:pt>
                <c:pt idx="35">
                  <c:v>0.3535353535353537</c:v>
                </c:pt>
                <c:pt idx="36">
                  <c:v>0.36363636363636381</c:v>
                </c:pt>
                <c:pt idx="37">
                  <c:v>0.37373737373737392</c:v>
                </c:pt>
                <c:pt idx="38">
                  <c:v>0.38383838383838403</c:v>
                </c:pt>
                <c:pt idx="39">
                  <c:v>0.39393939393939414</c:v>
                </c:pt>
                <c:pt idx="40">
                  <c:v>0.40404040404040426</c:v>
                </c:pt>
                <c:pt idx="41">
                  <c:v>0.41414141414141437</c:v>
                </c:pt>
                <c:pt idx="42">
                  <c:v>0.42424242424242448</c:v>
                </c:pt>
                <c:pt idx="43">
                  <c:v>0.43434343434343459</c:v>
                </c:pt>
                <c:pt idx="44">
                  <c:v>0.4444444444444447</c:v>
                </c:pt>
                <c:pt idx="45">
                  <c:v>0.45454545454545481</c:v>
                </c:pt>
                <c:pt idx="46">
                  <c:v>0.46464646464646492</c:v>
                </c:pt>
                <c:pt idx="47">
                  <c:v>0.47474747474747503</c:v>
                </c:pt>
                <c:pt idx="48">
                  <c:v>0.48484848484848514</c:v>
                </c:pt>
                <c:pt idx="49">
                  <c:v>0.49494949494949525</c:v>
                </c:pt>
                <c:pt idx="50">
                  <c:v>0.50505050505050531</c:v>
                </c:pt>
                <c:pt idx="51">
                  <c:v>0.51515151515151536</c:v>
                </c:pt>
                <c:pt idx="52">
                  <c:v>0.52525252525252542</c:v>
                </c:pt>
                <c:pt idx="53">
                  <c:v>0.53535353535353547</c:v>
                </c:pt>
                <c:pt idx="54">
                  <c:v>0.54545454545454553</c:v>
                </c:pt>
                <c:pt idx="55">
                  <c:v>0.55555555555555558</c:v>
                </c:pt>
                <c:pt idx="56">
                  <c:v>0.56565656565656564</c:v>
                </c:pt>
                <c:pt idx="57">
                  <c:v>0.57575757575757569</c:v>
                </c:pt>
                <c:pt idx="58">
                  <c:v>0.58585858585858575</c:v>
                </c:pt>
                <c:pt idx="59">
                  <c:v>0.5959595959595958</c:v>
                </c:pt>
                <c:pt idx="60">
                  <c:v>0.60606060606060586</c:v>
                </c:pt>
                <c:pt idx="61">
                  <c:v>0.61616161616161591</c:v>
                </c:pt>
                <c:pt idx="62">
                  <c:v>0.62626262626262597</c:v>
                </c:pt>
                <c:pt idx="63">
                  <c:v>0.63636363636363602</c:v>
                </c:pt>
                <c:pt idx="64">
                  <c:v>0.64646464646464608</c:v>
                </c:pt>
                <c:pt idx="65">
                  <c:v>0.65656565656565613</c:v>
                </c:pt>
                <c:pt idx="66">
                  <c:v>0.66666666666666619</c:v>
                </c:pt>
                <c:pt idx="67">
                  <c:v>0.67676767676767624</c:v>
                </c:pt>
                <c:pt idx="68">
                  <c:v>0.6868686868686863</c:v>
                </c:pt>
                <c:pt idx="69">
                  <c:v>0.69696969696969635</c:v>
                </c:pt>
                <c:pt idx="70">
                  <c:v>0.70707070707070641</c:v>
                </c:pt>
                <c:pt idx="71">
                  <c:v>0.71717171717171646</c:v>
                </c:pt>
                <c:pt idx="72">
                  <c:v>0.72727272727272652</c:v>
                </c:pt>
                <c:pt idx="73">
                  <c:v>0.73737373737373657</c:v>
                </c:pt>
                <c:pt idx="74">
                  <c:v>0.74747474747474663</c:v>
                </c:pt>
                <c:pt idx="75">
                  <c:v>0.75757575757575668</c:v>
                </c:pt>
                <c:pt idx="76">
                  <c:v>0.76767676767676674</c:v>
                </c:pt>
                <c:pt idx="77">
                  <c:v>0.77777777777777679</c:v>
                </c:pt>
                <c:pt idx="78">
                  <c:v>0.78787878787878685</c:v>
                </c:pt>
                <c:pt idx="79">
                  <c:v>0.7979797979797969</c:v>
                </c:pt>
                <c:pt idx="80">
                  <c:v>0.80808080808080696</c:v>
                </c:pt>
                <c:pt idx="81">
                  <c:v>0.81818181818181701</c:v>
                </c:pt>
                <c:pt idx="82">
                  <c:v>0.82828282828282707</c:v>
                </c:pt>
                <c:pt idx="83">
                  <c:v>0.83838383838383712</c:v>
                </c:pt>
                <c:pt idx="84">
                  <c:v>0.84848484848484718</c:v>
                </c:pt>
                <c:pt idx="85">
                  <c:v>0.85858585858585723</c:v>
                </c:pt>
                <c:pt idx="86">
                  <c:v>0.86868686868686729</c:v>
                </c:pt>
                <c:pt idx="87">
                  <c:v>0.87878787878787734</c:v>
                </c:pt>
                <c:pt idx="88">
                  <c:v>0.8888888888888874</c:v>
                </c:pt>
                <c:pt idx="89">
                  <c:v>0.89898989898989745</c:v>
                </c:pt>
                <c:pt idx="90">
                  <c:v>0.90909090909090751</c:v>
                </c:pt>
                <c:pt idx="91">
                  <c:v>0.91919191919191756</c:v>
                </c:pt>
                <c:pt idx="92">
                  <c:v>0.92929292929292762</c:v>
                </c:pt>
                <c:pt idx="93">
                  <c:v>0.93939393939393767</c:v>
                </c:pt>
                <c:pt idx="94">
                  <c:v>0.94949494949494773</c:v>
                </c:pt>
                <c:pt idx="95">
                  <c:v>0.95959595959595778</c:v>
                </c:pt>
                <c:pt idx="96">
                  <c:v>0.96969696969696784</c:v>
                </c:pt>
                <c:pt idx="97">
                  <c:v>0.97979797979797789</c:v>
                </c:pt>
                <c:pt idx="98">
                  <c:v>0.98989898989898795</c:v>
                </c:pt>
                <c:pt idx="99">
                  <c:v>0.999999999999998</c:v>
                </c:pt>
              </c:numCache>
            </c:numRef>
          </c:yVal>
          <c:smooth val="1"/>
        </c:ser>
        <c:axId val="48212992"/>
        <c:axId val="48214784"/>
      </c:scatterChart>
      <c:valAx>
        <c:axId val="482129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214784"/>
        <c:crosses val="autoZero"/>
        <c:crossBetween val="midCat"/>
      </c:valAx>
      <c:valAx>
        <c:axId val="4821478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Prob</a:t>
                </a:r>
              </a:p>
            </c:rich>
          </c:tx>
          <c:layout>
            <c:manualLayout>
              <c:xMode val="edge"/>
              <c:yMode val="edge"/>
              <c:x val="3.0135623179635647E-2"/>
              <c:y val="0.4263017937772011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21299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1059786582253571"/>
          <c:y val="0.89168125198397896"/>
          <c:w val="0.2693371321679936"/>
          <c:h val="8.170784380729688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GRKS Distribution</a:t>
            </a:r>
          </a:p>
        </c:rich>
      </c:tx>
      <c:layout>
        <c:manualLayout>
          <c:xMode val="edge"/>
          <c:yMode val="edge"/>
          <c:x val="0.36431390384530743"/>
          <c:y val="3.75177467368903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65114948430921E-2"/>
          <c:y val="0.24386535378978705"/>
          <c:w val="0.85069174454600138"/>
          <c:h val="0.58902862376917797"/>
        </c:manualLayout>
      </c:layout>
      <c:scatterChart>
        <c:scatterStyle val="lineMarker"/>
        <c:ser>
          <c:idx val="0"/>
          <c:order val="0"/>
          <c:spPr>
            <a:ln w="38100">
              <a:solidFill>
                <a:srgbClr val="333333"/>
              </a:solidFill>
              <a:prstDash val="solid"/>
            </a:ln>
          </c:spPr>
          <c:marker>
            <c:symbol val="none"/>
          </c:marker>
          <c:xVal>
            <c:numRef>
              <c:f>Sheet1!$G$14:$G$26</c:f>
              <c:numCache>
                <c:formatCode>0.00</c:formatCode>
                <c:ptCount val="13"/>
                <c:pt idx="0">
                  <c:v>2</c:v>
                </c:pt>
                <c:pt idx="1">
                  <c:v>2.2099995086991528</c:v>
                </c:pt>
                <c:pt idx="2">
                  <c:v>2.4200003333424696</c:v>
                </c:pt>
                <c:pt idx="3">
                  <c:v>2.6299998691518973</c:v>
                </c:pt>
                <c:pt idx="4">
                  <c:v>2.8399999871238211</c:v>
                </c:pt>
                <c:pt idx="5">
                  <c:v>3.050000007143935</c:v>
                </c:pt>
                <c:pt idx="6">
                  <c:v>3.26</c:v>
                </c:pt>
                <c:pt idx="7">
                  <c:v>3.5824999890289564</c:v>
                </c:pt>
                <c:pt idx="8">
                  <c:v>3.905000019774131</c:v>
                </c:pt>
                <c:pt idx="9">
                  <c:v>4.2275002009452995</c:v>
                </c:pt>
                <c:pt idx="10">
                  <c:v>4.5499994880812062</c:v>
                </c:pt>
                <c:pt idx="11">
                  <c:v>4.8725007544977279</c:v>
                </c:pt>
                <c:pt idx="12">
                  <c:v>5.1949999999999985</c:v>
                </c:pt>
              </c:numCache>
            </c:numRef>
          </c:xVal>
          <c:yVal>
            <c:numRef>
              <c:f>Sheet1!$F$14:$F$26</c:f>
              <c:numCache>
                <c:formatCode>0.00</c:formatCode>
                <c:ptCount val="13"/>
                <c:pt idx="0">
                  <c:v>0</c:v>
                </c:pt>
                <c:pt idx="1">
                  <c:v>6.2096653257759371E-3</c:v>
                </c:pt>
                <c:pt idx="2">
                  <c:v>2.275013194817932E-2</c:v>
                </c:pt>
                <c:pt idx="3">
                  <c:v>6.6807201268858085E-2</c:v>
                </c:pt>
                <c:pt idx="4">
                  <c:v>0.15865525393145707</c:v>
                </c:pt>
                <c:pt idx="5">
                  <c:v>0.30853753872598688</c:v>
                </c:pt>
                <c:pt idx="6">
                  <c:v>0.5</c:v>
                </c:pt>
                <c:pt idx="7">
                  <c:v>0.69146246127401312</c:v>
                </c:pt>
                <c:pt idx="8">
                  <c:v>0.84134474606854293</c:v>
                </c:pt>
                <c:pt idx="9">
                  <c:v>0.93319279873114191</c:v>
                </c:pt>
                <c:pt idx="10">
                  <c:v>0.97724986805182068</c:v>
                </c:pt>
                <c:pt idx="11">
                  <c:v>0.99379033467422406</c:v>
                </c:pt>
                <c:pt idx="12">
                  <c:v>1</c:v>
                </c:pt>
              </c:numCache>
            </c:numRef>
          </c:yVal>
        </c:ser>
        <c:axId val="48177536"/>
        <c:axId val="48179072"/>
      </c:scatterChart>
      <c:valAx>
        <c:axId val="48177536"/>
        <c:scaling>
          <c:orientation val="minMax"/>
        </c:scaling>
        <c:axPos val="b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179072"/>
        <c:crosses val="autoZero"/>
        <c:crossBetween val="midCat"/>
      </c:valAx>
      <c:valAx>
        <c:axId val="48179072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177536"/>
        <c:crosses val="autoZero"/>
        <c:crossBetween val="midCat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</xdr:row>
      <xdr:rowOff>104775</xdr:rowOff>
    </xdr:from>
    <xdr:to>
      <xdr:col>12</xdr:col>
      <xdr:colOff>466725</xdr:colOff>
      <xdr:row>20</xdr:row>
      <xdr:rowOff>76200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10</xdr:row>
      <xdr:rowOff>19050</xdr:rowOff>
    </xdr:from>
    <xdr:to>
      <xdr:col>16</xdr:col>
      <xdr:colOff>304800</xdr:colOff>
      <xdr:row>27</xdr:row>
      <xdr:rowOff>57150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133350</xdr:rowOff>
    </xdr:from>
    <xdr:to>
      <xdr:col>14</xdr:col>
      <xdr:colOff>209550</xdr:colOff>
      <xdr:row>47</xdr:row>
      <xdr:rowOff>66675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53075" y="4248150"/>
          <a:ext cx="3257550" cy="29813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workbookViewId="0">
      <selection activeCell="F24" sqref="F24"/>
    </sheetView>
  </sheetViews>
  <sheetFormatPr defaultRowHeight="12"/>
  <sheetData>
    <row r="1" spans="1:10">
      <c r="A1" t="s">
        <v>39</v>
      </c>
    </row>
    <row r="2" spans="1:10">
      <c r="A2" t="s">
        <v>22</v>
      </c>
      <c r="B2" t="str">
        <f ca="1">ADDRESS(ROW(Sheet1!$H$30),COLUMN(Sheet1!$H$30),4,,_xll.WSNAME(Sheet1!$H$30))</f>
        <v>Sheet1!H30</v>
      </c>
      <c r="C2" t="str">
        <f ca="1">ADDRESS(ROW(Sheet1!$H$31),COLUMN(Sheet1!$H$31),4,,_xll.WSNAME(Sheet1!$H$31))</f>
        <v>Sheet1!H31</v>
      </c>
    </row>
    <row r="3" spans="1:10">
      <c r="A3" t="s">
        <v>2</v>
      </c>
      <c r="B3">
        <f>AVERAGE(B9:B108)</f>
        <v>3.3526310755930604</v>
      </c>
      <c r="C3">
        <f>AVERAGE(C9:C108)</f>
        <v>3.3506168309844551</v>
      </c>
    </row>
    <row r="4" spans="1:10">
      <c r="A4" t="s">
        <v>3</v>
      </c>
      <c r="B4">
        <f>STDEV(B9:B108)</f>
        <v>0.5521114468104098</v>
      </c>
      <c r="C4">
        <f>STDEV(C9:C108)</f>
        <v>0.54468805547525068</v>
      </c>
    </row>
    <row r="5" spans="1:10">
      <c r="A5" t="s">
        <v>23</v>
      </c>
      <c r="B5">
        <f>100*B4/B3</f>
        <v>16.46800481060221</v>
      </c>
      <c r="C5">
        <f>100*C4/C3</f>
        <v>16.256351679437312</v>
      </c>
    </row>
    <row r="6" spans="1:10">
      <c r="A6" t="s">
        <v>6</v>
      </c>
      <c r="B6">
        <f>MIN(B9:B108)</f>
        <v>2.1973776670028262</v>
      </c>
      <c r="C6">
        <f>MIN(C9:C108)</f>
        <v>2.1417911420944535</v>
      </c>
    </row>
    <row r="7" spans="1:10">
      <c r="A7" t="s">
        <v>8</v>
      </c>
      <c r="B7">
        <f>MAX(B9:B108)</f>
        <v>5.093031771787361</v>
      </c>
      <c r="C7">
        <f>MAX(C9:C108)</f>
        <v>4.8269950088156728</v>
      </c>
    </row>
    <row r="8" spans="1:10">
      <c r="A8" t="s">
        <v>24</v>
      </c>
      <c r="B8" t="str">
        <f>Sheet1!$G$30</f>
        <v>Direct</v>
      </c>
      <c r="C8" t="str">
        <f>Sheet1!$G$31</f>
        <v>Indirect</v>
      </c>
      <c r="G8" t="str">
        <f>SimData!$B$8</f>
        <v>Direct</v>
      </c>
      <c r="H8" t="s">
        <v>35</v>
      </c>
      <c r="I8" t="str">
        <f>SimData!$C$8</f>
        <v>Indirect</v>
      </c>
      <c r="J8" t="s">
        <v>35</v>
      </c>
    </row>
    <row r="9" spans="1:10">
      <c r="A9">
        <v>1</v>
      </c>
      <c r="B9">
        <v>3.2789818190620981</v>
      </c>
      <c r="C9">
        <v>4.746266659823994</v>
      </c>
      <c r="G9">
        <f>SMALL(SimData!$B$9:$B$108,1)</f>
        <v>2.1973776670028262</v>
      </c>
      <c r="H9">
        <v>0</v>
      </c>
      <c r="I9">
        <f>SMALL(SimData!$C$9:$C$108,1)</f>
        <v>2.1417911420944535</v>
      </c>
      <c r="J9">
        <v>0</v>
      </c>
    </row>
    <row r="10" spans="1:10">
      <c r="A10">
        <v>2</v>
      </c>
      <c r="B10">
        <v>3.0609028944677252</v>
      </c>
      <c r="C10">
        <v>3.2788338909925119</v>
      </c>
      <c r="G10">
        <f>SMALL(SimData!$B$9:$B$108,2)</f>
        <v>2.2711936513686135</v>
      </c>
      <c r="H10">
        <f>1/(COUNT(SimData!$B$9:$B$108)-1)+$H$9</f>
        <v>1.0101010101010102E-2</v>
      </c>
      <c r="I10">
        <f>SMALL(SimData!$C$9:$C$108,2)</f>
        <v>2.3839539182466019</v>
      </c>
      <c r="J10">
        <f>1/(COUNT(SimData!$C$9:$C$108)-1)+$J$9</f>
        <v>1.0101010101010102E-2</v>
      </c>
    </row>
    <row r="11" spans="1:10">
      <c r="A11">
        <v>3</v>
      </c>
      <c r="B11">
        <v>3.405010920824147</v>
      </c>
      <c r="C11">
        <v>3.1484079629860573</v>
      </c>
      <c r="G11">
        <f>SMALL(SimData!$B$9:$B$108,3)</f>
        <v>2.4412651088575035</v>
      </c>
      <c r="H11">
        <f>1/(COUNT(SimData!$B$9:$B$108)-1)+$H$10</f>
        <v>2.0202020202020204E-2</v>
      </c>
      <c r="I11">
        <f>SMALL(SimData!$C$9:$C$108,3)</f>
        <v>2.4491125700101266</v>
      </c>
      <c r="J11">
        <f>1/(COUNT(SimData!$C$9:$C$108)-1)+$J$10</f>
        <v>2.0202020202020204E-2</v>
      </c>
    </row>
    <row r="12" spans="1:10">
      <c r="A12">
        <v>4</v>
      </c>
      <c r="B12">
        <v>3.8065096310011994</v>
      </c>
      <c r="C12">
        <v>3.0808413478507171</v>
      </c>
      <c r="G12">
        <f>SMALL(SimData!$B$9:$B$108,4)</f>
        <v>2.487330202882835</v>
      </c>
      <c r="H12">
        <f>1/(COUNT(SimData!$B$9:$B$108)-1)+$H$11</f>
        <v>3.0303030303030304E-2</v>
      </c>
      <c r="I12">
        <f>SMALL(SimData!$C$9:$C$108,4)</f>
        <v>2.4703790124314007</v>
      </c>
      <c r="J12">
        <f>1/(COUNT(SimData!$C$9:$C$108)-1)+$J$11</f>
        <v>3.0303030303030304E-2</v>
      </c>
    </row>
    <row r="13" spans="1:10">
      <c r="A13">
        <v>5</v>
      </c>
      <c r="B13">
        <v>4.2815497732418635</v>
      </c>
      <c r="C13">
        <v>3.8165635553453594</v>
      </c>
      <c r="G13">
        <f>SMALL(SimData!$B$9:$B$108,5)</f>
        <v>2.5174675078153261</v>
      </c>
      <c r="H13">
        <f>1/(COUNT(SimData!$B$9:$B$108)-1)+$H$12</f>
        <v>4.0404040404040407E-2</v>
      </c>
      <c r="I13">
        <f>SMALL(SimData!$C$9:$C$108,5)</f>
        <v>2.5381877680684708</v>
      </c>
      <c r="J13">
        <f>1/(COUNT(SimData!$C$9:$C$108)-1)+$J$12</f>
        <v>4.0404040404040407E-2</v>
      </c>
    </row>
    <row r="14" spans="1:10">
      <c r="A14">
        <v>6</v>
      </c>
      <c r="B14">
        <v>3.6989694836551701</v>
      </c>
      <c r="C14">
        <v>3.2983313464678985</v>
      </c>
      <c r="G14">
        <f>SMALL(SimData!$B$9:$B$108,6)</f>
        <v>2.5907499158287033</v>
      </c>
      <c r="H14">
        <f>1/(COUNT(SimData!$B$9:$B$108)-1)+$H$13</f>
        <v>5.0505050505050511E-2</v>
      </c>
      <c r="I14">
        <f>SMALL(SimData!$C$9:$C$108,6)</f>
        <v>2.5512287451334426</v>
      </c>
      <c r="J14">
        <f>1/(COUNT(SimData!$C$9:$C$108)-1)+$J$13</f>
        <v>5.0505050505050511E-2</v>
      </c>
    </row>
    <row r="15" spans="1:10">
      <c r="A15">
        <v>7</v>
      </c>
      <c r="B15">
        <v>2.6887260513781572</v>
      </c>
      <c r="C15">
        <v>2.704886270834582</v>
      </c>
      <c r="G15">
        <f>SMALL(SimData!$B$9:$B$108,7)</f>
        <v>2.6015861395414377</v>
      </c>
      <c r="H15">
        <f>1/(COUNT(SimData!$B$9:$B$108)-1)+$H$14</f>
        <v>6.0606060606060615E-2</v>
      </c>
      <c r="I15">
        <f>SMALL(SimData!$C$9:$C$108,7)</f>
        <v>2.6002725612013231</v>
      </c>
      <c r="J15">
        <f>1/(COUNT(SimData!$C$9:$C$108)-1)+$J$14</f>
        <v>6.0606060606060615E-2</v>
      </c>
    </row>
    <row r="16" spans="1:10">
      <c r="A16">
        <v>8</v>
      </c>
      <c r="B16">
        <v>3.022618009341318</v>
      </c>
      <c r="C16">
        <v>3.7119516225494693</v>
      </c>
      <c r="G16">
        <f>SMALL(SimData!$B$9:$B$108,8)</f>
        <v>2.6519353548882312</v>
      </c>
      <c r="H16">
        <f>1/(COUNT(SimData!$B$9:$B$108)-1)+$H$15</f>
        <v>7.0707070707070718E-2</v>
      </c>
      <c r="I16">
        <f>SMALL(SimData!$C$9:$C$108,8)</f>
        <v>2.6421824848934286</v>
      </c>
      <c r="J16">
        <f>1/(COUNT(SimData!$C$9:$C$108)-1)+$J$15</f>
        <v>7.0707070707070718E-2</v>
      </c>
    </row>
    <row r="17" spans="1:10">
      <c r="A17">
        <v>9</v>
      </c>
      <c r="B17">
        <v>4.3822746172643487</v>
      </c>
      <c r="C17">
        <v>3.5812299322944638</v>
      </c>
      <c r="G17">
        <f>SMALL(SimData!$B$9:$B$108,9)</f>
        <v>2.6744378847589347</v>
      </c>
      <c r="H17">
        <f>1/(COUNT(SimData!$B$9:$B$108)-1)+$H$16</f>
        <v>8.0808080808080815E-2</v>
      </c>
      <c r="I17">
        <f>SMALL(SimData!$C$9:$C$108,9)</f>
        <v>2.6710181928778325</v>
      </c>
      <c r="J17">
        <f>1/(COUNT(SimData!$C$9:$C$108)-1)+$J$16</f>
        <v>8.0808080808080815E-2</v>
      </c>
    </row>
    <row r="18" spans="1:10">
      <c r="A18">
        <v>10</v>
      </c>
      <c r="B18">
        <v>3.5322833786898538</v>
      </c>
      <c r="C18">
        <v>2.6002725612013231</v>
      </c>
      <c r="G18">
        <f>SMALL(SimData!$B$9:$B$108,10)</f>
        <v>2.6887260513781572</v>
      </c>
      <c r="H18">
        <f>1/(COUNT(SimData!$B$9:$B$108)-1)+$H$17</f>
        <v>9.0909090909090912E-2</v>
      </c>
      <c r="I18">
        <f>SMALL(SimData!$C$9:$C$108,10)</f>
        <v>2.704886270834582</v>
      </c>
      <c r="J18">
        <f>1/(COUNT(SimData!$C$9:$C$108)-1)+$J$17</f>
        <v>9.0909090909090912E-2</v>
      </c>
    </row>
    <row r="19" spans="1:10">
      <c r="A19">
        <v>11</v>
      </c>
      <c r="B19">
        <v>3.5605916067379417</v>
      </c>
      <c r="C19">
        <v>3.2612962073930198</v>
      </c>
      <c r="G19">
        <f>SMALL(SimData!$B$9:$B$108,11)</f>
        <v>2.7083414250439861</v>
      </c>
      <c r="H19">
        <f>1/(COUNT(SimData!$B$9:$B$108)-1)+$H$18</f>
        <v>0.10101010101010101</v>
      </c>
      <c r="I19">
        <f>SMALL(SimData!$C$9:$C$108,11)</f>
        <v>2.7096771839876368</v>
      </c>
      <c r="J19">
        <f>1/(COUNT(SimData!$C$9:$C$108)-1)+$J$18</f>
        <v>0.10101010101010101</v>
      </c>
    </row>
    <row r="20" spans="1:10">
      <c r="A20">
        <v>12</v>
      </c>
      <c r="B20">
        <v>2.9601962131281372</v>
      </c>
      <c r="C20">
        <v>2.8713361208514914</v>
      </c>
      <c r="G20">
        <f>SMALL(SimData!$B$9:$B$108,12)</f>
        <v>2.7406906253473191</v>
      </c>
      <c r="H20">
        <f>1/(COUNT(SimData!$B$9:$B$108)-1)+$H$19</f>
        <v>0.1111111111111111</v>
      </c>
      <c r="I20">
        <f>SMALL(SimData!$C$9:$C$108,12)</f>
        <v>2.7303328580867952</v>
      </c>
      <c r="J20">
        <f>1/(COUNT(SimData!$C$9:$C$108)-1)+$J$19</f>
        <v>0.1111111111111111</v>
      </c>
    </row>
    <row r="21" spans="1:10">
      <c r="A21">
        <v>13</v>
      </c>
      <c r="B21">
        <v>4.2083790066815272</v>
      </c>
      <c r="C21">
        <v>3.4831070435564517</v>
      </c>
      <c r="G21">
        <f>SMALL(SimData!$B$9:$B$108,13)</f>
        <v>2.7556470784525482</v>
      </c>
      <c r="H21">
        <f>1/(COUNT(SimData!$B$9:$B$108)-1)+$H$20</f>
        <v>0.1212121212121212</v>
      </c>
      <c r="I21">
        <f>SMALL(SimData!$C$9:$C$108,13)</f>
        <v>2.7524653299247719</v>
      </c>
      <c r="J21">
        <f>1/(COUNT(SimData!$C$9:$C$108)-1)+$J$20</f>
        <v>0.1212121212121212</v>
      </c>
    </row>
    <row r="22" spans="1:10">
      <c r="A22">
        <v>14</v>
      </c>
      <c r="B22">
        <v>2.8071694598116372</v>
      </c>
      <c r="C22">
        <v>2.9195061280190613</v>
      </c>
      <c r="G22">
        <f>SMALL(SimData!$B$9:$B$108,14)</f>
        <v>2.7827901851350392</v>
      </c>
      <c r="H22">
        <f>1/(COUNT(SimData!$B$9:$B$108)-1)+$H$21</f>
        <v>0.1313131313131313</v>
      </c>
      <c r="I22">
        <f>SMALL(SimData!$C$9:$C$108,14)</f>
        <v>2.7801039549949227</v>
      </c>
      <c r="J22">
        <f>1/(COUNT(SimData!$C$9:$C$108)-1)+$J$21</f>
        <v>0.1313131313131313</v>
      </c>
    </row>
    <row r="23" spans="1:10">
      <c r="A23">
        <v>15</v>
      </c>
      <c r="B23">
        <v>3.0368975262564724</v>
      </c>
      <c r="C23">
        <v>3.574972082092791</v>
      </c>
      <c r="G23">
        <f>SMALL(SimData!$B$9:$B$108,15)</f>
        <v>2.8071694598116372</v>
      </c>
      <c r="H23">
        <f>1/(COUNT(SimData!$B$9:$B$108)-1)+$H$22</f>
        <v>0.14141414141414141</v>
      </c>
      <c r="I23">
        <f>SMALL(SimData!$C$9:$C$108,15)</f>
        <v>2.819798975596735</v>
      </c>
      <c r="J23">
        <f>1/(COUNT(SimData!$C$9:$C$108)-1)+$J$22</f>
        <v>0.14141414141414141</v>
      </c>
    </row>
    <row r="24" spans="1:10">
      <c r="A24">
        <v>16</v>
      </c>
      <c r="B24">
        <v>3.2315435604886376</v>
      </c>
      <c r="C24">
        <v>3.9440968894310302</v>
      </c>
      <c r="G24">
        <f>SMALL(SimData!$B$9:$B$108,16)</f>
        <v>2.8216822007938056</v>
      </c>
      <c r="H24">
        <f>1/(COUNT(SimData!$B$9:$B$108)-1)+$H$23</f>
        <v>0.15151515151515152</v>
      </c>
      <c r="I24">
        <f>SMALL(SimData!$C$9:$C$108,16)</f>
        <v>2.8363927473832238</v>
      </c>
      <c r="J24">
        <f>1/(COUNT(SimData!$C$9:$C$108)-1)+$J$23</f>
        <v>0.15151515151515152</v>
      </c>
    </row>
    <row r="25" spans="1:10">
      <c r="A25">
        <v>17</v>
      </c>
      <c r="B25">
        <v>3.8561561639425141</v>
      </c>
      <c r="C25">
        <v>2.9534742818874351</v>
      </c>
      <c r="G25">
        <f>SMALL(SimData!$B$9:$B$108,17)</f>
        <v>2.8426494796571795</v>
      </c>
      <c r="H25">
        <f>1/(COUNT(SimData!$B$9:$B$108)-1)+$H$24</f>
        <v>0.16161616161616163</v>
      </c>
      <c r="I25">
        <f>SMALL(SimData!$C$9:$C$108,17)</f>
        <v>2.8516809276211728</v>
      </c>
      <c r="J25">
        <f>1/(COUNT(SimData!$C$9:$C$108)-1)+$J$24</f>
        <v>0.16161616161616163</v>
      </c>
    </row>
    <row r="26" spans="1:10">
      <c r="A26">
        <v>18</v>
      </c>
      <c r="B26">
        <v>3.3560662272894066</v>
      </c>
      <c r="C26">
        <v>3.0262495765781079</v>
      </c>
      <c r="G26">
        <f>SMALL(SimData!$B$9:$B$108,18)</f>
        <v>2.8669017365312537</v>
      </c>
      <c r="H26">
        <f>1/(COUNT(SimData!$B$9:$B$108)-1)+$H$25</f>
        <v>0.17171717171717174</v>
      </c>
      <c r="I26">
        <f>SMALL(SimData!$C$9:$C$108,18)</f>
        <v>2.8648407824770832</v>
      </c>
      <c r="J26">
        <f>1/(COUNT(SimData!$C$9:$C$108)-1)+$J$25</f>
        <v>0.17171717171717174</v>
      </c>
    </row>
    <row r="27" spans="1:10">
      <c r="A27">
        <v>19</v>
      </c>
      <c r="B27">
        <v>3.7649677458112443</v>
      </c>
      <c r="C27">
        <v>2.7303328580867952</v>
      </c>
      <c r="G27">
        <f>SMALL(SimData!$B$9:$B$108,19)</f>
        <v>2.8714287380895214</v>
      </c>
      <c r="H27">
        <f>1/(COUNT(SimData!$B$9:$B$108)-1)+$H$26</f>
        <v>0.18181818181818185</v>
      </c>
      <c r="I27">
        <f>SMALL(SimData!$C$9:$C$108,19)</f>
        <v>2.8713361208514914</v>
      </c>
      <c r="J27">
        <f>1/(COUNT(SimData!$C$9:$C$108)-1)+$J$26</f>
        <v>0.18181818181818185</v>
      </c>
    </row>
    <row r="28" spans="1:10">
      <c r="A28">
        <v>20</v>
      </c>
      <c r="B28">
        <v>3.4653021485031665</v>
      </c>
      <c r="C28">
        <v>3.6375534049972624</v>
      </c>
      <c r="G28">
        <f>SMALL(SimData!$B$9:$B$108,20)</f>
        <v>2.8935027250856002</v>
      </c>
      <c r="H28">
        <f>1/(COUNT(SimData!$B$9:$B$108)-1)+$H$27</f>
        <v>0.19191919191919196</v>
      </c>
      <c r="I28">
        <f>SMALL(SimData!$C$9:$C$108,20)</f>
        <v>2.8851569959446293</v>
      </c>
      <c r="J28">
        <f>1/(COUNT(SimData!$C$9:$C$108)-1)+$J$27</f>
        <v>0.19191919191919196</v>
      </c>
    </row>
    <row r="29" spans="1:10">
      <c r="A29">
        <v>21</v>
      </c>
      <c r="B29">
        <v>2.2711936513686135</v>
      </c>
      <c r="C29">
        <v>2.819798975596735</v>
      </c>
      <c r="G29">
        <f>SMALL(SimData!$B$9:$B$108,21)</f>
        <v>2.8984597895329349</v>
      </c>
      <c r="H29">
        <f>1/(COUNT(SimData!$B$9:$B$108)-1)+$H$28</f>
        <v>0.20202020202020207</v>
      </c>
      <c r="I29">
        <f>SMALL(SimData!$C$9:$C$108,21)</f>
        <v>2.9059015481293891</v>
      </c>
      <c r="J29">
        <f>1/(COUNT(SimData!$C$9:$C$108)-1)+$J$28</f>
        <v>0.20202020202020207</v>
      </c>
    </row>
    <row r="30" spans="1:10">
      <c r="A30">
        <v>22</v>
      </c>
      <c r="B30">
        <v>2.8714287380895214</v>
      </c>
      <c r="C30">
        <v>3.2281632911380873</v>
      </c>
      <c r="G30">
        <f>SMALL(SimData!$B$9:$B$108,22)</f>
        <v>2.9145918059824685</v>
      </c>
      <c r="H30">
        <f>1/(COUNT(SimData!$B$9:$B$108)-1)+$H$29</f>
        <v>0.21212121212121218</v>
      </c>
      <c r="I30">
        <f>SMALL(SimData!$C$9:$C$108,22)</f>
        <v>2.9195061280190613</v>
      </c>
      <c r="J30">
        <f>1/(COUNT(SimData!$C$9:$C$108)-1)+$J$29</f>
        <v>0.21212121212121218</v>
      </c>
    </row>
    <row r="31" spans="1:10">
      <c r="A31">
        <v>23</v>
      </c>
      <c r="B31">
        <v>3.4915483507100737</v>
      </c>
      <c r="C31">
        <v>3.0923627036693855</v>
      </c>
      <c r="G31">
        <f>SMALL(SimData!$B$9:$B$108,23)</f>
        <v>2.9312581482947739</v>
      </c>
      <c r="H31">
        <f>1/(COUNT(SimData!$B$9:$B$108)-1)+$H$30</f>
        <v>0.22222222222222229</v>
      </c>
      <c r="I31">
        <f>SMALL(SimData!$C$9:$C$108,23)</f>
        <v>2.9371245745336729</v>
      </c>
      <c r="J31">
        <f>1/(COUNT(SimData!$C$9:$C$108)-1)+$J$30</f>
        <v>0.22222222222222229</v>
      </c>
    </row>
    <row r="32" spans="1:10">
      <c r="A32">
        <v>24</v>
      </c>
      <c r="B32">
        <v>2.7827901851350392</v>
      </c>
      <c r="C32">
        <v>3.1860791781655258</v>
      </c>
      <c r="G32">
        <f>SMALL(SimData!$B$9:$B$108,24)</f>
        <v>2.9421787540132742</v>
      </c>
      <c r="H32">
        <f>1/(COUNT(SimData!$B$9:$B$108)-1)+$H$31</f>
        <v>0.2323232323232324</v>
      </c>
      <c r="I32">
        <f>SMALL(SimData!$C$9:$C$108,24)</f>
        <v>2.9534742818874351</v>
      </c>
      <c r="J32">
        <f>1/(COUNT(SimData!$C$9:$C$108)-1)+$J$31</f>
        <v>0.2323232323232324</v>
      </c>
    </row>
    <row r="33" spans="1:10">
      <c r="A33">
        <v>25</v>
      </c>
      <c r="B33">
        <v>4.012922851310166</v>
      </c>
      <c r="C33">
        <v>3.1607976409538199</v>
      </c>
      <c r="G33">
        <f>SMALL(SimData!$B$9:$B$108,25)</f>
        <v>2.9601962131281372</v>
      </c>
      <c r="H33">
        <f>1/(COUNT(SimData!$B$9:$B$108)-1)+$H$32</f>
        <v>0.24242424242424251</v>
      </c>
      <c r="I33">
        <f>SMALL(SimData!$C$9:$C$108,25)</f>
        <v>2.9661350535771072</v>
      </c>
      <c r="J33">
        <f>1/(COUNT(SimData!$C$9:$C$108)-1)+$J$32</f>
        <v>0.24242424242424251</v>
      </c>
    </row>
    <row r="34" spans="1:10">
      <c r="A34">
        <v>26</v>
      </c>
      <c r="B34">
        <v>3.1598832881934955</v>
      </c>
      <c r="C34">
        <v>3.2095438625847099</v>
      </c>
      <c r="G34">
        <f>SMALL(SimData!$B$9:$B$108,26)</f>
        <v>2.9699194959345983</v>
      </c>
      <c r="H34">
        <f>1/(COUNT(SimData!$B$9:$B$108)-1)+$H$33</f>
        <v>0.2525252525252526</v>
      </c>
      <c r="I34">
        <f>SMALL(SimData!$C$9:$C$108,26)</f>
        <v>2.9690897102909837</v>
      </c>
      <c r="J34">
        <f>1/(COUNT(SimData!$C$9:$C$108)-1)+$J$33</f>
        <v>0.2525252525252526</v>
      </c>
    </row>
    <row r="35" spans="1:10">
      <c r="A35">
        <v>27</v>
      </c>
      <c r="B35">
        <v>3.2740985324766503</v>
      </c>
      <c r="C35">
        <v>2.5512287451334426</v>
      </c>
      <c r="G35">
        <f>SMALL(SimData!$B$9:$B$108,27)</f>
        <v>2.9899860742187023</v>
      </c>
      <c r="H35">
        <f>1/(COUNT(SimData!$B$9:$B$108)-1)+$H$34</f>
        <v>0.26262626262626271</v>
      </c>
      <c r="I35">
        <f>SMALL(SimData!$C$9:$C$108,27)</f>
        <v>2.9837277493375871</v>
      </c>
      <c r="J35">
        <f>1/(COUNT(SimData!$C$9:$C$108)-1)+$J$34</f>
        <v>0.26262626262626271</v>
      </c>
    </row>
    <row r="36" spans="1:10">
      <c r="A36">
        <v>28</v>
      </c>
      <c r="B36">
        <v>2.9899860742187023</v>
      </c>
      <c r="C36">
        <v>3.0973232367319117</v>
      </c>
      <c r="G36">
        <f>SMALL(SimData!$B$9:$B$108,28)</f>
        <v>3.0007172814879217</v>
      </c>
      <c r="H36">
        <f>1/(COUNT(SimData!$B$9:$B$108)-1)+$H$35</f>
        <v>0.27272727272727282</v>
      </c>
      <c r="I36">
        <f>SMALL(SimData!$C$9:$C$108,28)</f>
        <v>3.0067296304476998</v>
      </c>
      <c r="J36">
        <f>1/(COUNT(SimData!$C$9:$C$108)-1)+$J$35</f>
        <v>0.27272727272727282</v>
      </c>
    </row>
    <row r="37" spans="1:10">
      <c r="A37">
        <v>29</v>
      </c>
      <c r="B37">
        <v>3.8983990321173945</v>
      </c>
      <c r="C37">
        <v>3.1334421606858966</v>
      </c>
      <c r="G37">
        <f>SMALL(SimData!$B$9:$B$108,29)</f>
        <v>3.022618009341318</v>
      </c>
      <c r="H37">
        <f>1/(COUNT(SimData!$B$9:$B$108)-1)+$H$36</f>
        <v>0.28282828282828293</v>
      </c>
      <c r="I37">
        <f>SMALL(SimData!$C$9:$C$108,29)</f>
        <v>3.0134708630899194</v>
      </c>
      <c r="J37">
        <f>1/(COUNT(SimData!$C$9:$C$108)-1)+$J$36</f>
        <v>0.28282828282828293</v>
      </c>
    </row>
    <row r="38" spans="1:10">
      <c r="A38">
        <v>30</v>
      </c>
      <c r="B38">
        <v>3.3861135590618017</v>
      </c>
      <c r="C38">
        <v>3.3996346396480526</v>
      </c>
      <c r="G38">
        <f>SMALL(SimData!$B$9:$B$108,30)</f>
        <v>3.0368975262564724</v>
      </c>
      <c r="H38">
        <f>1/(COUNT(SimData!$B$9:$B$108)-1)+$H$37</f>
        <v>0.29292929292929304</v>
      </c>
      <c r="I38">
        <f>SMALL(SimData!$C$9:$C$108,30)</f>
        <v>3.0262495765781079</v>
      </c>
      <c r="J38">
        <f>1/(COUNT(SimData!$C$9:$C$108)-1)+$J$37</f>
        <v>0.29292929292929304</v>
      </c>
    </row>
    <row r="39" spans="1:10">
      <c r="A39">
        <v>31</v>
      </c>
      <c r="B39">
        <v>3.2407072783680446</v>
      </c>
      <c r="C39">
        <v>3.0647251534853583</v>
      </c>
      <c r="G39">
        <f>SMALL(SimData!$B$9:$B$108,31)</f>
        <v>3.0509383104863819</v>
      </c>
      <c r="H39">
        <f>1/(COUNT(SimData!$B$9:$B$108)-1)+$H$38</f>
        <v>0.30303030303030315</v>
      </c>
      <c r="I39">
        <f>SMALL(SimData!$C$9:$C$108,31)</f>
        <v>3.0389536840919296</v>
      </c>
      <c r="J39">
        <f>1/(COUNT(SimData!$C$9:$C$108)-1)+$J$38</f>
        <v>0.30303030303030315</v>
      </c>
    </row>
    <row r="40" spans="1:10">
      <c r="A40">
        <v>32</v>
      </c>
      <c r="B40">
        <v>3.2216791363324941</v>
      </c>
      <c r="C40">
        <v>2.8516809276211728</v>
      </c>
      <c r="G40">
        <f>SMALL(SimData!$B$9:$B$108,32)</f>
        <v>3.0609028944677252</v>
      </c>
      <c r="H40">
        <f>1/(COUNT(SimData!$B$9:$B$108)-1)+$H$39</f>
        <v>0.31313131313131326</v>
      </c>
      <c r="I40">
        <f>SMALL(SimData!$C$9:$C$108,32)</f>
        <v>3.0532257039146837</v>
      </c>
      <c r="J40">
        <f>1/(COUNT(SimData!$C$9:$C$108)-1)+$J$39</f>
        <v>0.31313131313131326</v>
      </c>
    </row>
    <row r="41" spans="1:10">
      <c r="A41">
        <v>33</v>
      </c>
      <c r="B41">
        <v>3.208163908793404</v>
      </c>
      <c r="C41">
        <v>2.4491125700101266</v>
      </c>
      <c r="G41">
        <f>SMALL(SimData!$B$9:$B$108,33)</f>
        <v>3.0713941384345</v>
      </c>
      <c r="H41">
        <f>1/(COUNT(SimData!$B$9:$B$108)-1)+$H$40</f>
        <v>0.32323232323232337</v>
      </c>
      <c r="I41">
        <f>SMALL(SimData!$C$9:$C$108,33)</f>
        <v>3.0647251534853583</v>
      </c>
      <c r="J41">
        <f>1/(COUNT(SimData!$C$9:$C$108)-1)+$J$40</f>
        <v>0.32323232323232337</v>
      </c>
    </row>
    <row r="42" spans="1:10">
      <c r="A42">
        <v>34</v>
      </c>
      <c r="B42">
        <v>4.4532788539981434</v>
      </c>
      <c r="C42">
        <v>3.1193384888185758</v>
      </c>
      <c r="G42">
        <f>SMALL(SimData!$B$9:$B$108,34)</f>
        <v>3.0818256660549785</v>
      </c>
      <c r="H42">
        <f>1/(COUNT(SimData!$B$9:$B$108)-1)+$H$41</f>
        <v>0.33333333333333348</v>
      </c>
      <c r="I42">
        <f>SMALL(SimData!$C$9:$C$108,34)</f>
        <v>3.0808413478507171</v>
      </c>
      <c r="J42">
        <f>1/(COUNT(SimData!$C$9:$C$108)-1)+$J$41</f>
        <v>0.33333333333333348</v>
      </c>
    </row>
    <row r="43" spans="1:10">
      <c r="A43">
        <v>35</v>
      </c>
      <c r="B43">
        <v>3.8272734389803049</v>
      </c>
      <c r="C43">
        <v>3.7359796696920973</v>
      </c>
      <c r="G43">
        <f>SMALL(SimData!$B$9:$B$108,35)</f>
        <v>3.0900330204502837</v>
      </c>
      <c r="H43">
        <f>1/(COUNT(SimData!$B$9:$B$108)-1)+$H$42</f>
        <v>0.34343434343434359</v>
      </c>
      <c r="I43">
        <f>SMALL(SimData!$C$9:$C$108,35)</f>
        <v>3.0923627036693855</v>
      </c>
      <c r="J43">
        <f>1/(COUNT(SimData!$C$9:$C$108)-1)+$J$42</f>
        <v>0.34343434343434359</v>
      </c>
    </row>
    <row r="44" spans="1:10">
      <c r="A44">
        <v>36</v>
      </c>
      <c r="B44">
        <v>2.8669017365312537</v>
      </c>
      <c r="C44">
        <v>2.9371245745336729</v>
      </c>
      <c r="G44">
        <f>SMALL(SimData!$B$9:$B$108,36)</f>
        <v>3.1015939149060152</v>
      </c>
      <c r="H44">
        <f>1/(COUNT(SimData!$B$9:$B$108)-1)+$H$43</f>
        <v>0.3535353535353537</v>
      </c>
      <c r="I44">
        <f>SMALL(SimData!$C$9:$C$108,36)</f>
        <v>3.0973232367319117</v>
      </c>
      <c r="J44">
        <f>1/(COUNT(SimData!$C$9:$C$108)-1)+$J$43</f>
        <v>0.3535353535353537</v>
      </c>
    </row>
    <row r="45" spans="1:10">
      <c r="A45">
        <v>37</v>
      </c>
      <c r="B45">
        <v>4.1551233495297932</v>
      </c>
      <c r="C45">
        <v>3.4271001032869246</v>
      </c>
      <c r="G45">
        <f>SMALL(SimData!$B$9:$B$108,37)</f>
        <v>3.1143461970411699</v>
      </c>
      <c r="H45">
        <f>1/(COUNT(SimData!$B$9:$B$108)-1)+$H$44</f>
        <v>0.36363636363636381</v>
      </c>
      <c r="I45">
        <f>SMALL(SimData!$C$9:$C$108,37)</f>
        <v>3.1075771631959572</v>
      </c>
      <c r="J45">
        <f>1/(COUNT(SimData!$C$9:$C$108)-1)+$J$44</f>
        <v>0.36363636363636381</v>
      </c>
    </row>
    <row r="46" spans="1:10">
      <c r="A46">
        <v>38</v>
      </c>
      <c r="B46">
        <v>3.912564478117257</v>
      </c>
      <c r="C46">
        <v>3.8624728177135372</v>
      </c>
      <c r="G46">
        <f>SMALL(SimData!$B$9:$B$108,38)</f>
        <v>3.124182782559719</v>
      </c>
      <c r="H46">
        <f>1/(COUNT(SimData!$B$9:$B$108)-1)+$H$45</f>
        <v>0.37373737373737392</v>
      </c>
      <c r="I46">
        <f>SMALL(SimData!$C$9:$C$108,38)</f>
        <v>3.1193384888185758</v>
      </c>
      <c r="J46">
        <f>1/(COUNT(SimData!$C$9:$C$108)-1)+$J$45</f>
        <v>0.37373737373737392</v>
      </c>
    </row>
    <row r="47" spans="1:10">
      <c r="A47">
        <v>39</v>
      </c>
      <c r="B47">
        <v>3.366364050045684</v>
      </c>
      <c r="C47">
        <v>3.6061269326073155</v>
      </c>
      <c r="G47">
        <f>SMALL(SimData!$B$9:$B$108,39)</f>
        <v>3.1286312068274693</v>
      </c>
      <c r="H47">
        <f>1/(COUNT(SimData!$B$9:$B$108)-1)+$H$46</f>
        <v>0.38383838383838403</v>
      </c>
      <c r="I47">
        <f>SMALL(SimData!$C$9:$C$108,39)</f>
        <v>3.1334421606858966</v>
      </c>
      <c r="J47">
        <f>1/(COUNT(SimData!$C$9:$C$108)-1)+$J$46</f>
        <v>0.38383838383838403</v>
      </c>
    </row>
    <row r="48" spans="1:10">
      <c r="A48">
        <v>40</v>
      </c>
      <c r="B48">
        <v>3.186194562491417</v>
      </c>
      <c r="C48">
        <v>2.7801039549949227</v>
      </c>
      <c r="G48">
        <f>SMALL(SimData!$B$9:$B$108,40)</f>
        <v>3.1415892071750253</v>
      </c>
      <c r="H48">
        <f>1/(COUNT(SimData!$B$9:$B$108)-1)+$H$47</f>
        <v>0.39393939393939414</v>
      </c>
      <c r="I48">
        <f>SMALL(SimData!$C$9:$C$108,40)</f>
        <v>3.1484079629860573</v>
      </c>
      <c r="J48">
        <f>1/(COUNT(SimData!$C$9:$C$108)-1)+$J$47</f>
        <v>0.39393939393939414</v>
      </c>
    </row>
    <row r="49" spans="1:10">
      <c r="A49">
        <v>41</v>
      </c>
      <c r="B49">
        <v>5.093031771787361</v>
      </c>
      <c r="C49">
        <v>3.3264694645183659</v>
      </c>
      <c r="G49">
        <f>SMALL(SimData!$B$9:$B$108,41)</f>
        <v>3.1598832881934955</v>
      </c>
      <c r="H49">
        <f>1/(COUNT(SimData!$B$9:$B$108)-1)+$H$48</f>
        <v>0.40404040404040426</v>
      </c>
      <c r="I49">
        <f>SMALL(SimData!$C$9:$C$108,41)</f>
        <v>3.1607976409538199</v>
      </c>
      <c r="J49">
        <f>1/(COUNT(SimData!$C$9:$C$108)-1)+$J$48</f>
        <v>0.40404040404040426</v>
      </c>
    </row>
    <row r="50" spans="1:10">
      <c r="A50">
        <v>42</v>
      </c>
      <c r="B50">
        <v>3.5686396278841106</v>
      </c>
      <c r="C50">
        <v>3.3935748602368503</v>
      </c>
      <c r="G50">
        <f>SMALL(SimData!$B$9:$B$108,42)</f>
        <v>3.1689540873446282</v>
      </c>
      <c r="H50">
        <f>1/(COUNT(SimData!$B$9:$B$108)-1)+$H$49</f>
        <v>0.41414141414141437</v>
      </c>
      <c r="I50">
        <f>SMALL(SimData!$C$9:$C$108,42)</f>
        <v>3.1705946695403506</v>
      </c>
      <c r="J50">
        <f>1/(COUNT(SimData!$C$9:$C$108)-1)+$J$49</f>
        <v>0.41414141414141437</v>
      </c>
    </row>
    <row r="51" spans="1:10">
      <c r="A51">
        <v>43</v>
      </c>
      <c r="B51">
        <v>3.6419608196879278</v>
      </c>
      <c r="C51">
        <v>3.4572675106171444</v>
      </c>
      <c r="G51">
        <f>SMALL(SimData!$B$9:$B$108,43)</f>
        <v>3.1817922427425338</v>
      </c>
      <c r="H51">
        <f>1/(COUNT(SimData!$B$9:$B$108)-1)+$H$50</f>
        <v>0.42424242424242448</v>
      </c>
      <c r="I51">
        <f>SMALL(SimData!$C$9:$C$108,43)</f>
        <v>3.1805825014942486</v>
      </c>
      <c r="J51">
        <f>1/(COUNT(SimData!$C$9:$C$108)-1)+$J$50</f>
        <v>0.42424242424242448</v>
      </c>
    </row>
    <row r="52" spans="1:10">
      <c r="A52">
        <v>44</v>
      </c>
      <c r="B52">
        <v>2.8984597895329349</v>
      </c>
      <c r="C52">
        <v>4.1569045809949774</v>
      </c>
      <c r="G52">
        <f>SMALL(SimData!$B$9:$B$108,44)</f>
        <v>3.186194562491417</v>
      </c>
      <c r="H52">
        <f>1/(COUNT(SimData!$B$9:$B$108)-1)+$H$51</f>
        <v>0.43434343434343459</v>
      </c>
      <c r="I52">
        <f>SMALL(SimData!$C$9:$C$108,44)</f>
        <v>3.1860791781655258</v>
      </c>
      <c r="J52">
        <f>1/(COUNT(SimData!$C$9:$C$108)-1)+$J$51</f>
        <v>0.43434343434343459</v>
      </c>
    </row>
    <row r="53" spans="1:10">
      <c r="A53">
        <v>45</v>
      </c>
      <c r="B53">
        <v>2.8935027250856002</v>
      </c>
      <c r="C53">
        <v>4.1031731746098217</v>
      </c>
      <c r="G53">
        <f>SMALL(SimData!$B$9:$B$108,45)</f>
        <v>3.1960755895929647</v>
      </c>
      <c r="H53">
        <f>1/(COUNT(SimData!$B$9:$B$108)-1)+$H$52</f>
        <v>0.4444444444444447</v>
      </c>
      <c r="I53">
        <f>SMALL(SimData!$C$9:$C$108,45)</f>
        <v>3.2033175601130055</v>
      </c>
      <c r="J53">
        <f>1/(COUNT(SimData!$C$9:$C$108)-1)+$J$52</f>
        <v>0.4444444444444447</v>
      </c>
    </row>
    <row r="54" spans="1:10">
      <c r="A54">
        <v>46</v>
      </c>
      <c r="B54">
        <v>3.0509383104863819</v>
      </c>
      <c r="C54">
        <v>4.1911538235611339</v>
      </c>
      <c r="G54">
        <f>SMALL(SimData!$B$9:$B$108,46)</f>
        <v>3.208163908793404</v>
      </c>
      <c r="H54">
        <f>1/(COUNT(SimData!$B$9:$B$108)-1)+$H$53</f>
        <v>0.45454545454545481</v>
      </c>
      <c r="I54">
        <f>SMALL(SimData!$C$9:$C$108,46)</f>
        <v>3.2095438625847099</v>
      </c>
      <c r="J54">
        <f>1/(COUNT(SimData!$C$9:$C$108)-1)+$J$53</f>
        <v>0.45454545454545481</v>
      </c>
    </row>
    <row r="55" spans="1:10">
      <c r="A55">
        <v>47</v>
      </c>
      <c r="B55">
        <v>4.1360822861652453</v>
      </c>
      <c r="C55">
        <v>3.5241443265229835</v>
      </c>
      <c r="G55">
        <f>SMALL(SimData!$B$9:$B$108,47)</f>
        <v>3.2216791363324941</v>
      </c>
      <c r="H55">
        <f>1/(COUNT(SimData!$B$9:$B$108)-1)+$H$54</f>
        <v>0.46464646464646492</v>
      </c>
      <c r="I55">
        <f>SMALL(SimData!$C$9:$C$108,47)</f>
        <v>3.2212220688154893</v>
      </c>
      <c r="J55">
        <f>1/(COUNT(SimData!$C$9:$C$108)-1)+$J$54</f>
        <v>0.46464646464646492</v>
      </c>
    </row>
    <row r="56" spans="1:10">
      <c r="A56">
        <v>48</v>
      </c>
      <c r="B56">
        <v>3.9518700263866937</v>
      </c>
      <c r="C56">
        <v>3.1705946695403506</v>
      </c>
      <c r="G56">
        <f>SMALL(SimData!$B$9:$B$108,48)</f>
        <v>3.2315435604886376</v>
      </c>
      <c r="H56">
        <f>1/(COUNT(SimData!$B$9:$B$108)-1)+$H$55</f>
        <v>0.47474747474747503</v>
      </c>
      <c r="I56">
        <f>SMALL(SimData!$C$9:$C$108,48)</f>
        <v>3.2281632911380873</v>
      </c>
      <c r="J56">
        <f>1/(COUNT(SimData!$C$9:$C$108)-1)+$J$55</f>
        <v>0.47474747474747503</v>
      </c>
    </row>
    <row r="57" spans="1:10">
      <c r="A57">
        <v>49</v>
      </c>
      <c r="B57">
        <v>2.7083414250439861</v>
      </c>
      <c r="C57">
        <v>2.6421824848934286</v>
      </c>
      <c r="G57">
        <f>SMALL(SimData!$B$9:$B$108,49)</f>
        <v>3.2407072783680446</v>
      </c>
      <c r="H57">
        <f>1/(COUNT(SimData!$B$9:$B$108)-1)+$H$56</f>
        <v>0.48484848484848514</v>
      </c>
      <c r="I57">
        <f>SMALL(SimData!$C$9:$C$108,49)</f>
        <v>3.2402209597580938</v>
      </c>
      <c r="J57">
        <f>1/(COUNT(SimData!$C$9:$C$108)-1)+$J$56</f>
        <v>0.48484848484848514</v>
      </c>
    </row>
    <row r="58" spans="1:10">
      <c r="A58">
        <v>50</v>
      </c>
      <c r="B58">
        <v>2.9312581482947739</v>
      </c>
      <c r="C58">
        <v>3.3735878962061374</v>
      </c>
      <c r="G58">
        <f>SMALL(SimData!$B$9:$B$108,50)</f>
        <v>3.2505613683003545</v>
      </c>
      <c r="H58">
        <f>1/(COUNT(SimData!$B$9:$B$108)-1)+$H$57</f>
        <v>0.49494949494949525</v>
      </c>
      <c r="I58">
        <f>SMALL(SimData!$C$9:$C$108,50)</f>
        <v>3.25687599507875</v>
      </c>
      <c r="J58">
        <f>1/(COUNT(SimData!$C$9:$C$108)-1)+$J$57</f>
        <v>0.49494949494949525</v>
      </c>
    </row>
    <row r="59" spans="1:10">
      <c r="A59">
        <v>51</v>
      </c>
      <c r="B59">
        <v>4.0519218476301315</v>
      </c>
      <c r="C59">
        <v>3.3365080688790103</v>
      </c>
      <c r="G59">
        <f>SMALL(SimData!$B$9:$B$108,51)</f>
        <v>3.2740985324766503</v>
      </c>
      <c r="H59">
        <f>1/(COUNT(SimData!$B$9:$B$108)-1)+$H$58</f>
        <v>0.50505050505050531</v>
      </c>
      <c r="I59">
        <f>SMALL(SimData!$C$9:$C$108,51)</f>
        <v>3.2612962073930198</v>
      </c>
      <c r="J59">
        <f>1/(COUNT(SimData!$C$9:$C$108)-1)+$J$58</f>
        <v>0.50505050505050531</v>
      </c>
    </row>
    <row r="60" spans="1:10">
      <c r="A60">
        <v>52</v>
      </c>
      <c r="B60">
        <v>3.5931725016190503</v>
      </c>
      <c r="C60">
        <v>3.5307082485629055</v>
      </c>
      <c r="G60">
        <f>SMALL(SimData!$B$9:$B$108,52)</f>
        <v>3.2789818190620981</v>
      </c>
      <c r="H60">
        <f>1/(COUNT(SimData!$B$9:$B$108)-1)+$H$59</f>
        <v>0.51515151515151536</v>
      </c>
      <c r="I60">
        <f>SMALL(SimData!$C$9:$C$108,52)</f>
        <v>3.2788338909925119</v>
      </c>
      <c r="J60">
        <f>1/(COUNT(SimData!$C$9:$C$108)-1)+$J$59</f>
        <v>0.51515151515151536</v>
      </c>
    </row>
    <row r="61" spans="1:10">
      <c r="A61">
        <v>53</v>
      </c>
      <c r="B61">
        <v>3.612257062074498</v>
      </c>
      <c r="C61">
        <v>3.8409122625221048</v>
      </c>
      <c r="G61">
        <f>SMALL(SimData!$B$9:$B$108,53)</f>
        <v>3.3103538603787426</v>
      </c>
      <c r="H61">
        <f>1/(COUNT(SimData!$B$9:$B$108)-1)+$H$60</f>
        <v>0.52525252525252542</v>
      </c>
      <c r="I61">
        <f>SMALL(SimData!$C$9:$C$108,53)</f>
        <v>3.2983313464678985</v>
      </c>
      <c r="J61">
        <f>1/(COUNT(SimData!$C$9:$C$108)-1)+$J$60</f>
        <v>0.52525252525252542</v>
      </c>
    </row>
    <row r="62" spans="1:10">
      <c r="A62">
        <v>54</v>
      </c>
      <c r="B62">
        <v>3.4376246470409559</v>
      </c>
      <c r="C62">
        <v>2.9837277493375871</v>
      </c>
      <c r="G62">
        <f>SMALL(SimData!$B$9:$B$108,54)</f>
        <v>3.3142117061429124</v>
      </c>
      <c r="H62">
        <f>1/(COUNT(SimData!$B$9:$B$108)-1)+$H$61</f>
        <v>0.53535353535353547</v>
      </c>
      <c r="I62">
        <f>SMALL(SimData!$C$9:$C$108,54)</f>
        <v>3.3264694645183659</v>
      </c>
      <c r="J62">
        <f>1/(COUNT(SimData!$C$9:$C$108)-1)+$J$61</f>
        <v>0.53535353535353547</v>
      </c>
    </row>
    <row r="63" spans="1:10">
      <c r="A63">
        <v>55</v>
      </c>
      <c r="B63">
        <v>3.4602079903299394</v>
      </c>
      <c r="C63">
        <v>3.1805825014942486</v>
      </c>
      <c r="G63">
        <f>SMALL(SimData!$B$9:$B$108,55)</f>
        <v>3.3438845128829535</v>
      </c>
      <c r="H63">
        <f>1/(COUNT(SimData!$B$9:$B$108)-1)+$H$62</f>
        <v>0.54545454545454553</v>
      </c>
      <c r="I63">
        <f>SMALL(SimData!$C$9:$C$108,55)</f>
        <v>3.3365080688790103</v>
      </c>
      <c r="J63">
        <f>1/(COUNT(SimData!$C$9:$C$108)-1)+$J$62</f>
        <v>0.54545454545454553</v>
      </c>
    </row>
    <row r="64" spans="1:10">
      <c r="A64">
        <v>56</v>
      </c>
      <c r="B64">
        <v>2.7556470784525482</v>
      </c>
      <c r="C64">
        <v>2.8648407824770832</v>
      </c>
      <c r="G64">
        <f>SMALL(SimData!$B$9:$B$108,56)</f>
        <v>3.3560662272894066</v>
      </c>
      <c r="H64">
        <f>1/(COUNT(SimData!$B$9:$B$108)-1)+$H$63</f>
        <v>0.55555555555555558</v>
      </c>
      <c r="I64">
        <f>SMALL(SimData!$C$9:$C$108,56)</f>
        <v>3.3588383140736058</v>
      </c>
      <c r="J64">
        <f>1/(COUNT(SimData!$C$9:$C$108)-1)+$J$63</f>
        <v>0.55555555555555558</v>
      </c>
    </row>
    <row r="65" spans="1:10">
      <c r="A65">
        <v>57</v>
      </c>
      <c r="B65">
        <v>4.2734572542620484</v>
      </c>
      <c r="C65">
        <v>3.7611540907605252</v>
      </c>
      <c r="G65">
        <f>SMALL(SimData!$B$9:$B$108,57)</f>
        <v>3.366364050045684</v>
      </c>
      <c r="H65">
        <f>1/(COUNT(SimData!$B$9:$B$108)-1)+$H$64</f>
        <v>0.56565656565656564</v>
      </c>
      <c r="I65">
        <f>SMALL(SimData!$C$9:$C$108,57)</f>
        <v>3.3735878962061374</v>
      </c>
      <c r="J65">
        <f>1/(COUNT(SimData!$C$9:$C$108)-1)+$J$64</f>
        <v>0.56565656565656564</v>
      </c>
    </row>
    <row r="66" spans="1:10">
      <c r="A66">
        <v>58</v>
      </c>
      <c r="B66">
        <v>2.8216822007938056</v>
      </c>
      <c r="C66">
        <v>2.4703790124314007</v>
      </c>
      <c r="G66">
        <f>SMALL(SimData!$B$9:$B$108,58)</f>
        <v>3.3861135590618017</v>
      </c>
      <c r="H66">
        <f>1/(COUNT(SimData!$B$9:$B$108)-1)+$H$65</f>
        <v>0.57575757575757569</v>
      </c>
      <c r="I66">
        <f>SMALL(SimData!$C$9:$C$108,58)</f>
        <v>3.3935748602368503</v>
      </c>
      <c r="J66">
        <f>1/(COUNT(SimData!$C$9:$C$108)-1)+$J$65</f>
        <v>0.57575757575757569</v>
      </c>
    </row>
    <row r="67" spans="1:10">
      <c r="A67">
        <v>59</v>
      </c>
      <c r="B67">
        <v>3.1143461970411699</v>
      </c>
      <c r="C67">
        <v>2.9690897102909837</v>
      </c>
      <c r="G67">
        <f>SMALL(SimData!$B$9:$B$108,59)</f>
        <v>3.405010920824147</v>
      </c>
      <c r="H67">
        <f>1/(COUNT(SimData!$B$9:$B$108)-1)+$H$66</f>
        <v>0.58585858585858575</v>
      </c>
      <c r="I67">
        <f>SMALL(SimData!$C$9:$C$108,59)</f>
        <v>3.3996346396480526</v>
      </c>
      <c r="J67">
        <f>1/(COUNT(SimData!$C$9:$C$108)-1)+$J$66</f>
        <v>0.58585858585858575</v>
      </c>
    </row>
    <row r="68" spans="1:10">
      <c r="A68">
        <v>60</v>
      </c>
      <c r="B68">
        <v>3.6485710175255757</v>
      </c>
      <c r="C68">
        <v>4.324812575419422</v>
      </c>
      <c r="G68">
        <f>SMALL(SimData!$B$9:$B$108,60)</f>
        <v>3.4164983090749068</v>
      </c>
      <c r="H68">
        <f>1/(COUNT(SimData!$B$9:$B$108)-1)+$H$67</f>
        <v>0.5959595959595958</v>
      </c>
      <c r="I68">
        <f>SMALL(SimData!$C$9:$C$108,60)</f>
        <v>3.4271001032869246</v>
      </c>
      <c r="J68">
        <f>1/(COUNT(SimData!$C$9:$C$108)-1)+$J$67</f>
        <v>0.5959595959595958</v>
      </c>
    </row>
    <row r="69" spans="1:10">
      <c r="A69">
        <v>61</v>
      </c>
      <c r="B69">
        <v>3.87275206305508</v>
      </c>
      <c r="C69">
        <v>2.8363927473832238</v>
      </c>
      <c r="G69">
        <f>SMALL(SimData!$B$9:$B$108,61)</f>
        <v>3.4376246470409559</v>
      </c>
      <c r="H69">
        <f>1/(COUNT(SimData!$B$9:$B$108)-1)+$H$68</f>
        <v>0.60606060606060586</v>
      </c>
      <c r="I69">
        <f>SMALL(SimData!$C$9:$C$108,61)</f>
        <v>3.4422905363480449</v>
      </c>
      <c r="J69">
        <f>1/(COUNT(SimData!$C$9:$C$108)-1)+$J$68</f>
        <v>0.60606060606060586</v>
      </c>
    </row>
    <row r="70" spans="1:10">
      <c r="A70">
        <v>62</v>
      </c>
      <c r="B70">
        <v>2.9145918059824685</v>
      </c>
      <c r="C70">
        <v>3.3588383140736058</v>
      </c>
      <c r="G70">
        <f>SMALL(SimData!$B$9:$B$108,62)</f>
        <v>3.4602079903299394</v>
      </c>
      <c r="H70">
        <f>1/(COUNT(SimData!$B$9:$B$108)-1)+$H$69</f>
        <v>0.61616161616161591</v>
      </c>
      <c r="I70">
        <f>SMALL(SimData!$C$9:$C$108,62)</f>
        <v>3.4572675106171444</v>
      </c>
      <c r="J70">
        <f>1/(COUNT(SimData!$C$9:$C$108)-1)+$J$69</f>
        <v>0.61616161616161591</v>
      </c>
    </row>
    <row r="71" spans="1:10">
      <c r="A71">
        <v>63</v>
      </c>
      <c r="B71">
        <v>3.6846535224115811</v>
      </c>
      <c r="C71">
        <v>4.5332371626214663</v>
      </c>
      <c r="G71">
        <f>SMALL(SimData!$B$9:$B$108,63)</f>
        <v>3.4653021485031665</v>
      </c>
      <c r="H71">
        <f>1/(COUNT(SimData!$B$9:$B$108)-1)+$H$70</f>
        <v>0.62626262626262597</v>
      </c>
      <c r="I71">
        <f>SMALL(SimData!$C$9:$C$108,63)</f>
        <v>3.4752827028076219</v>
      </c>
      <c r="J71">
        <f>1/(COUNT(SimData!$C$9:$C$108)-1)+$J$70</f>
        <v>0.62626262626262597</v>
      </c>
    </row>
    <row r="72" spans="1:10">
      <c r="A72">
        <v>64</v>
      </c>
      <c r="B72">
        <v>3.0818256660549785</v>
      </c>
      <c r="C72">
        <v>3.4422905363480449</v>
      </c>
      <c r="G72">
        <f>SMALL(SimData!$B$9:$B$108,64)</f>
        <v>3.4915483507100737</v>
      </c>
      <c r="H72">
        <f>1/(COUNT(SimData!$B$9:$B$108)-1)+$H$71</f>
        <v>0.63636363636363602</v>
      </c>
      <c r="I72">
        <f>SMALL(SimData!$C$9:$C$108,64)</f>
        <v>3.4831070435564517</v>
      </c>
      <c r="J72">
        <f>1/(COUNT(SimData!$C$9:$C$108)-1)+$J$71</f>
        <v>0.63636363636363602</v>
      </c>
    </row>
    <row r="73" spans="1:10">
      <c r="A73">
        <v>65</v>
      </c>
      <c r="B73">
        <v>2.9699194959345983</v>
      </c>
      <c r="C73">
        <v>3.5589459413962801</v>
      </c>
      <c r="G73">
        <f>SMALL(SimData!$B$9:$B$108,65)</f>
        <v>3.503686078652013</v>
      </c>
      <c r="H73">
        <f>1/(COUNT(SimData!$B$9:$B$108)-1)+$H$72</f>
        <v>0.64646464646464608</v>
      </c>
      <c r="I73">
        <f>SMALL(SimData!$C$9:$C$108,65)</f>
        <v>3.4997685998256762</v>
      </c>
      <c r="J73">
        <f>1/(COUNT(SimData!$C$9:$C$108)-1)+$J$72</f>
        <v>0.64646464646464608</v>
      </c>
    </row>
    <row r="74" spans="1:10">
      <c r="A74">
        <v>66</v>
      </c>
      <c r="B74">
        <v>3.1286312068274693</v>
      </c>
      <c r="C74">
        <v>2.9059015481293891</v>
      </c>
      <c r="G74">
        <f>SMALL(SimData!$B$9:$B$108,66)</f>
        <v>3.5234181360196364</v>
      </c>
      <c r="H74">
        <f>1/(COUNT(SimData!$B$9:$B$108)-1)+$H$73</f>
        <v>0.65656565656565613</v>
      </c>
      <c r="I74">
        <f>SMALL(SimData!$C$9:$C$108,66)</f>
        <v>3.5241443265229835</v>
      </c>
      <c r="J74">
        <f>1/(COUNT(SimData!$C$9:$C$108)-1)+$J$73</f>
        <v>0.65656565656565613</v>
      </c>
    </row>
    <row r="75" spans="1:10">
      <c r="A75">
        <v>67</v>
      </c>
      <c r="B75">
        <v>2.4412651088575035</v>
      </c>
      <c r="C75">
        <v>4.8269950088156728</v>
      </c>
      <c r="G75">
        <f>SMALL(SimData!$B$9:$B$108,67)</f>
        <v>3.5322833786898538</v>
      </c>
      <c r="H75">
        <f>1/(COUNT(SimData!$B$9:$B$108)-1)+$H$74</f>
        <v>0.66666666666666619</v>
      </c>
      <c r="I75">
        <f>SMALL(SimData!$C$9:$C$108,67)</f>
        <v>3.5307082485629055</v>
      </c>
      <c r="J75">
        <f>1/(COUNT(SimData!$C$9:$C$108)-1)+$J$74</f>
        <v>0.66666666666666619</v>
      </c>
    </row>
    <row r="76" spans="1:10">
      <c r="A76">
        <v>68</v>
      </c>
      <c r="B76">
        <v>2.7406906253473191</v>
      </c>
      <c r="C76">
        <v>2.3839539182466019</v>
      </c>
      <c r="G76">
        <f>SMALL(SimData!$B$9:$B$108,68)</f>
        <v>3.5605916067379417</v>
      </c>
      <c r="H76">
        <f>1/(COUNT(SimData!$B$9:$B$108)-1)+$H$75</f>
        <v>0.67676767676767624</v>
      </c>
      <c r="I76">
        <f>SMALL(SimData!$C$9:$C$108,68)</f>
        <v>3.5589459413962801</v>
      </c>
      <c r="J76">
        <f>1/(COUNT(SimData!$C$9:$C$108)-1)+$J$75</f>
        <v>0.67676767676767624</v>
      </c>
    </row>
    <row r="77" spans="1:10">
      <c r="A77">
        <v>69</v>
      </c>
      <c r="B77">
        <v>2.6744378847589347</v>
      </c>
      <c r="C77">
        <v>4.2436065437718558</v>
      </c>
      <c r="G77">
        <f>SMALL(SimData!$B$9:$B$108,69)</f>
        <v>3.5686396278841106</v>
      </c>
      <c r="H77">
        <f>1/(COUNT(SimData!$B$9:$B$108)-1)+$H$76</f>
        <v>0.6868686868686863</v>
      </c>
      <c r="I77">
        <f>SMALL(SimData!$C$9:$C$108,69)</f>
        <v>3.574972082092791</v>
      </c>
      <c r="J77">
        <f>1/(COUNT(SimData!$C$9:$C$108)-1)+$J$76</f>
        <v>0.6868686868686863</v>
      </c>
    </row>
    <row r="78" spans="1:10">
      <c r="A78">
        <v>70</v>
      </c>
      <c r="B78">
        <v>3.0713941384345</v>
      </c>
      <c r="C78">
        <v>3.9731933813287759</v>
      </c>
      <c r="G78">
        <f>SMALL(SimData!$B$9:$B$108,70)</f>
        <v>3.5931725016190503</v>
      </c>
      <c r="H78">
        <f>1/(COUNT(SimData!$B$9:$B$108)-1)+$H$77</f>
        <v>0.69696969696969635</v>
      </c>
      <c r="I78">
        <f>SMALL(SimData!$C$9:$C$108,70)</f>
        <v>3.5812299322944638</v>
      </c>
      <c r="J78">
        <f>1/(COUNT(SimData!$C$9:$C$108)-1)+$J$77</f>
        <v>0.69696969696969635</v>
      </c>
    </row>
    <row r="79" spans="1:10">
      <c r="A79">
        <v>71</v>
      </c>
      <c r="B79">
        <v>3.7311176252039528</v>
      </c>
      <c r="C79">
        <v>4.0239052672431841</v>
      </c>
      <c r="G79">
        <f>SMALL(SimData!$B$9:$B$108,71)</f>
        <v>3.612257062074498</v>
      </c>
      <c r="H79">
        <f>1/(COUNT(SimData!$B$9:$B$108)-1)+$H$78</f>
        <v>0.70707070707070641</v>
      </c>
      <c r="I79">
        <f>SMALL(SimData!$C$9:$C$108,71)</f>
        <v>3.6061269326073155</v>
      </c>
      <c r="J79">
        <f>1/(COUNT(SimData!$C$9:$C$108)-1)+$J$78</f>
        <v>0.70707070707070641</v>
      </c>
    </row>
    <row r="80" spans="1:10">
      <c r="A80">
        <v>72</v>
      </c>
      <c r="B80">
        <v>2.8426494796571795</v>
      </c>
      <c r="C80">
        <v>3.2212220688154893</v>
      </c>
      <c r="G80">
        <f>SMALL(SimData!$B$9:$B$108,72)</f>
        <v>3.6419608196879278</v>
      </c>
      <c r="H80">
        <f>1/(COUNT(SimData!$B$9:$B$108)-1)+$H$79</f>
        <v>0.71717171717171646</v>
      </c>
      <c r="I80">
        <f>SMALL(SimData!$C$9:$C$108,72)</f>
        <v>3.6375534049972624</v>
      </c>
      <c r="J80">
        <f>1/(COUNT(SimData!$C$9:$C$108)-1)+$J$79</f>
        <v>0.71717171717171646</v>
      </c>
    </row>
    <row r="81" spans="1:10">
      <c r="A81">
        <v>73</v>
      </c>
      <c r="B81">
        <v>3.0900330204502837</v>
      </c>
      <c r="C81">
        <v>3.8051442889374774</v>
      </c>
      <c r="G81">
        <f>SMALL(SimData!$B$9:$B$108,73)</f>
        <v>3.6485710175255757</v>
      </c>
      <c r="H81">
        <f>1/(COUNT(SimData!$B$9:$B$108)-1)+$H$80</f>
        <v>0.72727272727272652</v>
      </c>
      <c r="I81">
        <f>SMALL(SimData!$C$9:$C$108,73)</f>
        <v>3.6578226723817253</v>
      </c>
      <c r="J81">
        <f>1/(COUNT(SimData!$C$9:$C$108)-1)+$J$80</f>
        <v>0.72727272727272652</v>
      </c>
    </row>
    <row r="82" spans="1:10">
      <c r="A82">
        <v>74</v>
      </c>
      <c r="B82">
        <v>2.1973776670028262</v>
      </c>
      <c r="C82">
        <v>3.932748102474362</v>
      </c>
      <c r="G82">
        <f>SMALL(SimData!$B$9:$B$108,74)</f>
        <v>3.6846535224115811</v>
      </c>
      <c r="H82">
        <f>1/(COUNT(SimData!$B$9:$B$108)-1)+$H$81</f>
        <v>0.73737373737373657</v>
      </c>
      <c r="I82">
        <f>SMALL(SimData!$C$9:$C$108,74)</f>
        <v>3.6817867030392986</v>
      </c>
      <c r="J82">
        <f>1/(COUNT(SimData!$C$9:$C$108)-1)+$J$81</f>
        <v>0.73737373737373657</v>
      </c>
    </row>
    <row r="83" spans="1:10">
      <c r="A83">
        <v>75</v>
      </c>
      <c r="B83">
        <v>3.1415892071750253</v>
      </c>
      <c r="C83">
        <v>2.7096771839876368</v>
      </c>
      <c r="G83">
        <f>SMALL(SimData!$B$9:$B$108,75)</f>
        <v>3.6989694836551701</v>
      </c>
      <c r="H83">
        <f>1/(COUNT(SimData!$B$9:$B$108)-1)+$H$82</f>
        <v>0.74747474747474663</v>
      </c>
      <c r="I83">
        <f>SMALL(SimData!$C$9:$C$108,75)</f>
        <v>3.6943364547061046</v>
      </c>
      <c r="J83">
        <f>1/(COUNT(SimData!$C$9:$C$108)-1)+$J$82</f>
        <v>0.74747474747474663</v>
      </c>
    </row>
    <row r="84" spans="1:10">
      <c r="A84">
        <v>76</v>
      </c>
      <c r="B84">
        <v>2.5174675078153261</v>
      </c>
      <c r="C84">
        <v>3.0134708630899194</v>
      </c>
      <c r="G84">
        <f>SMALL(SimData!$B$9:$B$108,76)</f>
        <v>3.7085528223220074</v>
      </c>
      <c r="H84">
        <f>1/(COUNT(SimData!$B$9:$B$108)-1)+$H$83</f>
        <v>0.75757575757575668</v>
      </c>
      <c r="I84">
        <f>SMALL(SimData!$C$9:$C$108,76)</f>
        <v>3.7119516225494693</v>
      </c>
      <c r="J84">
        <f>1/(COUNT(SimData!$C$9:$C$108)-1)+$J$83</f>
        <v>0.75757575757575668</v>
      </c>
    </row>
    <row r="85" spans="1:10">
      <c r="A85">
        <v>77</v>
      </c>
      <c r="B85">
        <v>3.7738596168943612</v>
      </c>
      <c r="C85">
        <v>4.1460095614024759</v>
      </c>
      <c r="G85">
        <f>SMALL(SimData!$B$9:$B$108,77)</f>
        <v>3.7311176252039528</v>
      </c>
      <c r="H85">
        <f>1/(COUNT(SimData!$B$9:$B$108)-1)+$H$84</f>
        <v>0.76767676767676674</v>
      </c>
      <c r="I85">
        <f>SMALL(SimData!$C$9:$C$108,77)</f>
        <v>3.7359796696920973</v>
      </c>
      <c r="J85">
        <f>1/(COUNT(SimData!$C$9:$C$108)-1)+$J$84</f>
        <v>0.76767676767676674</v>
      </c>
    </row>
    <row r="86" spans="1:10">
      <c r="A86">
        <v>78</v>
      </c>
      <c r="B86">
        <v>2.6519353548882312</v>
      </c>
      <c r="C86">
        <v>2.8851569959446293</v>
      </c>
      <c r="G86">
        <f>SMALL(SimData!$B$9:$B$108,78)</f>
        <v>3.7649677458112443</v>
      </c>
      <c r="H86">
        <f>1/(COUNT(SimData!$B$9:$B$108)-1)+$H$85</f>
        <v>0.77777777777777679</v>
      </c>
      <c r="I86">
        <f>SMALL(SimData!$C$9:$C$108,78)</f>
        <v>3.7611540907605252</v>
      </c>
      <c r="J86">
        <f>1/(COUNT(SimData!$C$9:$C$108)-1)+$J$85</f>
        <v>0.77777777777777679</v>
      </c>
    </row>
    <row r="87" spans="1:10">
      <c r="A87">
        <v>79</v>
      </c>
      <c r="B87">
        <v>3.3103538603787426</v>
      </c>
      <c r="C87">
        <v>3.25687599507875</v>
      </c>
      <c r="G87">
        <f>SMALL(SimData!$B$9:$B$108,79)</f>
        <v>3.7738596168943612</v>
      </c>
      <c r="H87">
        <f>1/(COUNT(SimData!$B$9:$B$108)-1)+$H$86</f>
        <v>0.78787878787878685</v>
      </c>
      <c r="I87">
        <f>SMALL(SimData!$C$9:$C$108,79)</f>
        <v>3.7831184472925568</v>
      </c>
      <c r="J87">
        <f>1/(COUNT(SimData!$C$9:$C$108)-1)+$J$86</f>
        <v>0.78787878787878685</v>
      </c>
    </row>
    <row r="88" spans="1:10">
      <c r="A88">
        <v>80</v>
      </c>
      <c r="B88">
        <v>2.9421787540132742</v>
      </c>
      <c r="C88">
        <v>2.9661350535771072</v>
      </c>
      <c r="G88">
        <f>SMALL(SimData!$B$9:$B$108,80)</f>
        <v>3.8065096310011994</v>
      </c>
      <c r="H88">
        <f>1/(COUNT(SimData!$B$9:$B$108)-1)+$H$87</f>
        <v>0.7979797979797969</v>
      </c>
      <c r="I88">
        <f>SMALL(SimData!$C$9:$C$108,80)</f>
        <v>3.8051442889374774</v>
      </c>
      <c r="J88">
        <f>1/(COUNT(SimData!$C$9:$C$108)-1)+$J$87</f>
        <v>0.7979797979797969</v>
      </c>
    </row>
    <row r="89" spans="1:10">
      <c r="A89">
        <v>81</v>
      </c>
      <c r="B89">
        <v>3.1960755895929647</v>
      </c>
      <c r="C89">
        <v>3.0389536840919296</v>
      </c>
      <c r="G89">
        <f>SMALL(SimData!$B$9:$B$108,81)</f>
        <v>3.8272734389803049</v>
      </c>
      <c r="H89">
        <f>1/(COUNT(SimData!$B$9:$B$108)-1)+$H$88</f>
        <v>0.80808080808080696</v>
      </c>
      <c r="I89">
        <f>SMALL(SimData!$C$9:$C$108,81)</f>
        <v>3.8165635553453594</v>
      </c>
      <c r="J89">
        <f>1/(COUNT(SimData!$C$9:$C$108)-1)+$J$88</f>
        <v>0.80808080808080696</v>
      </c>
    </row>
    <row r="90" spans="1:10">
      <c r="A90">
        <v>82</v>
      </c>
      <c r="B90">
        <v>3.2505613683003545</v>
      </c>
      <c r="C90">
        <v>2.7524653299247719</v>
      </c>
      <c r="G90">
        <f>SMALL(SimData!$B$9:$B$108,82)</f>
        <v>3.8561561639425141</v>
      </c>
      <c r="H90">
        <f>1/(COUNT(SimData!$B$9:$B$108)-1)+$H$89</f>
        <v>0.81818181818181701</v>
      </c>
      <c r="I90">
        <f>SMALL(SimData!$C$9:$C$108,82)</f>
        <v>3.8409122625221048</v>
      </c>
      <c r="J90">
        <f>1/(COUNT(SimData!$C$9:$C$108)-1)+$J$89</f>
        <v>0.81818181818181701</v>
      </c>
    </row>
    <row r="91" spans="1:10">
      <c r="A91">
        <v>83</v>
      </c>
      <c r="B91">
        <v>3.3438845128829535</v>
      </c>
      <c r="C91">
        <v>3.8921721533940445</v>
      </c>
      <c r="G91">
        <f>SMALL(SimData!$B$9:$B$108,83)</f>
        <v>3.87275206305508</v>
      </c>
      <c r="H91">
        <f>1/(COUNT(SimData!$B$9:$B$108)-1)+$H$90</f>
        <v>0.82828282828282707</v>
      </c>
      <c r="I91">
        <f>SMALL(SimData!$C$9:$C$108,83)</f>
        <v>3.8624728177135372</v>
      </c>
      <c r="J91">
        <f>1/(COUNT(SimData!$C$9:$C$108)-1)+$J$90</f>
        <v>0.82828282828282707</v>
      </c>
    </row>
    <row r="92" spans="1:10">
      <c r="A92">
        <v>84</v>
      </c>
      <c r="B92">
        <v>3.0007172814879217</v>
      </c>
      <c r="C92">
        <v>3.0532257039146837</v>
      </c>
      <c r="G92">
        <f>SMALL(SimData!$B$9:$B$108,84)</f>
        <v>3.8983990321173945</v>
      </c>
      <c r="H92">
        <f>1/(COUNT(SimData!$B$9:$B$108)-1)+$H$91</f>
        <v>0.83838383838383712</v>
      </c>
      <c r="I92">
        <f>SMALL(SimData!$C$9:$C$108,84)</f>
        <v>3.8921721533940445</v>
      </c>
      <c r="J92">
        <f>1/(COUNT(SimData!$C$9:$C$108)-1)+$J$91</f>
        <v>0.83838383838383712</v>
      </c>
    </row>
    <row r="93" spans="1:10">
      <c r="A93">
        <v>85</v>
      </c>
      <c r="B93">
        <v>3.1817922427425338</v>
      </c>
      <c r="C93">
        <v>3.2402209597580938</v>
      </c>
      <c r="G93">
        <f>SMALL(SimData!$B$9:$B$108,85)</f>
        <v>3.912564478117257</v>
      </c>
      <c r="H93">
        <f>1/(COUNT(SimData!$B$9:$B$108)-1)+$H$92</f>
        <v>0.84848484848484718</v>
      </c>
      <c r="I93">
        <f>SMALL(SimData!$C$9:$C$108,85)</f>
        <v>3.932748102474362</v>
      </c>
      <c r="J93">
        <f>1/(COUNT(SimData!$C$9:$C$108)-1)+$J$92</f>
        <v>0.84848484848484718</v>
      </c>
    </row>
    <row r="94" spans="1:10">
      <c r="A94">
        <v>86</v>
      </c>
      <c r="B94">
        <v>3.5234181360196364</v>
      </c>
      <c r="C94">
        <v>3.6943364547061046</v>
      </c>
      <c r="G94">
        <f>SMALL(SimData!$B$9:$B$108,86)</f>
        <v>3.9518700263866937</v>
      </c>
      <c r="H94">
        <f>1/(COUNT(SimData!$B$9:$B$108)-1)+$H$93</f>
        <v>0.85858585858585723</v>
      </c>
      <c r="I94">
        <f>SMALL(SimData!$C$9:$C$108,86)</f>
        <v>3.9440968894310302</v>
      </c>
      <c r="J94">
        <f>1/(COUNT(SimData!$C$9:$C$108)-1)+$J$93</f>
        <v>0.85858585858585723</v>
      </c>
    </row>
    <row r="95" spans="1:10">
      <c r="A95">
        <v>87</v>
      </c>
      <c r="B95">
        <v>3.3142117061429124</v>
      </c>
      <c r="C95">
        <v>3.2033175601130055</v>
      </c>
      <c r="G95">
        <f>SMALL(SimData!$B$9:$B$108,87)</f>
        <v>3.9869203801061364</v>
      </c>
      <c r="H95">
        <f>1/(COUNT(SimData!$B$9:$B$108)-1)+$H$94</f>
        <v>0.86868686868686729</v>
      </c>
      <c r="I95">
        <f>SMALL(SimData!$C$9:$C$108,87)</f>
        <v>3.9731933813287759</v>
      </c>
      <c r="J95">
        <f>1/(COUNT(SimData!$C$9:$C$108)-1)+$J$94</f>
        <v>0.86868686868686729</v>
      </c>
    </row>
    <row r="96" spans="1:10">
      <c r="A96">
        <v>88</v>
      </c>
      <c r="B96">
        <v>3.9869203801061364</v>
      </c>
      <c r="C96">
        <v>3.4997685998256762</v>
      </c>
      <c r="G96">
        <f>SMALL(SimData!$B$9:$B$108,88)</f>
        <v>4.012922851310166</v>
      </c>
      <c r="H96">
        <f>1/(COUNT(SimData!$B$9:$B$108)-1)+$H$95</f>
        <v>0.87878787878787734</v>
      </c>
      <c r="I96">
        <f>SMALL(SimData!$C$9:$C$108,88)</f>
        <v>4.0239052672431841</v>
      </c>
      <c r="J96">
        <f>1/(COUNT(SimData!$C$9:$C$108)-1)+$J$95</f>
        <v>0.87878787878787734</v>
      </c>
    </row>
    <row r="97" spans="1:10">
      <c r="A97">
        <v>89</v>
      </c>
      <c r="B97">
        <v>3.4164983090749068</v>
      </c>
      <c r="C97">
        <v>3.7831184472925568</v>
      </c>
      <c r="G97">
        <f>SMALL(SimData!$B$9:$B$108,89)</f>
        <v>4.0519218476301315</v>
      </c>
      <c r="H97">
        <f>1/(COUNT(SimData!$B$9:$B$108)-1)+$H$96</f>
        <v>0.8888888888888874</v>
      </c>
      <c r="I97">
        <f>SMALL(SimData!$C$9:$C$108,89)</f>
        <v>4.0630861181229543</v>
      </c>
      <c r="J97">
        <f>1/(COUNT(SimData!$C$9:$C$108)-1)+$J$96</f>
        <v>0.8888888888888874</v>
      </c>
    </row>
    <row r="98" spans="1:10">
      <c r="A98">
        <v>90</v>
      </c>
      <c r="B98">
        <v>3.503686078652013</v>
      </c>
      <c r="C98">
        <v>4.0630861181229543</v>
      </c>
      <c r="G98">
        <f>SMALL(SimData!$B$9:$B$108,90)</f>
        <v>4.0967989912248486</v>
      </c>
      <c r="H98">
        <f>1/(COUNT(SimData!$B$9:$B$108)-1)+$H$97</f>
        <v>0.89898989898989745</v>
      </c>
      <c r="I98">
        <f>SMALL(SimData!$C$9:$C$108,90)</f>
        <v>4.1031731746098217</v>
      </c>
      <c r="J98">
        <f>1/(COUNT(SimData!$C$9:$C$108)-1)+$J$97</f>
        <v>0.89898989898989745</v>
      </c>
    </row>
    <row r="99" spans="1:10">
      <c r="A99">
        <v>91</v>
      </c>
      <c r="B99">
        <v>4.662472362385496</v>
      </c>
      <c r="C99">
        <v>2.6710181928778325</v>
      </c>
      <c r="G99">
        <f>SMALL(SimData!$B$9:$B$108,91)</f>
        <v>4.1360822861652453</v>
      </c>
      <c r="H99">
        <f>1/(COUNT(SimData!$B$9:$B$108)-1)+$H$98</f>
        <v>0.90909090909090751</v>
      </c>
      <c r="I99">
        <f>SMALL(SimData!$C$9:$C$108,91)</f>
        <v>4.1460095614024759</v>
      </c>
      <c r="J99">
        <f>1/(COUNT(SimData!$C$9:$C$108)-1)+$J$98</f>
        <v>0.90909090909090751</v>
      </c>
    </row>
    <row r="100" spans="1:10">
      <c r="A100">
        <v>92</v>
      </c>
      <c r="B100">
        <v>2.6015861395414377</v>
      </c>
      <c r="C100">
        <v>3.1075771631959572</v>
      </c>
      <c r="G100">
        <f>SMALL(SimData!$B$9:$B$108,92)</f>
        <v>4.1551233495297932</v>
      </c>
      <c r="H100">
        <f>1/(COUNT(SimData!$B$9:$B$108)-1)+$H$99</f>
        <v>0.91919191919191756</v>
      </c>
      <c r="I100">
        <f>SMALL(SimData!$C$9:$C$108,92)</f>
        <v>4.1569045809949774</v>
      </c>
      <c r="J100">
        <f>1/(COUNT(SimData!$C$9:$C$108)-1)+$J$99</f>
        <v>0.91919191919191756</v>
      </c>
    </row>
    <row r="101" spans="1:10">
      <c r="A101">
        <v>93</v>
      </c>
      <c r="B101">
        <v>3.124182782559719</v>
      </c>
      <c r="C101">
        <v>3.4752827028076219</v>
      </c>
      <c r="G101">
        <f>SMALL(SimData!$B$9:$B$108,93)</f>
        <v>4.2083790066815272</v>
      </c>
      <c r="H101">
        <f>1/(COUNT(SimData!$B$9:$B$108)-1)+$H$100</f>
        <v>0.92929292929292762</v>
      </c>
      <c r="I101">
        <f>SMALL(SimData!$C$9:$C$108,93)</f>
        <v>4.1911538235611339</v>
      </c>
      <c r="J101">
        <f>1/(COUNT(SimData!$C$9:$C$108)-1)+$J$100</f>
        <v>0.92929292929292762</v>
      </c>
    </row>
    <row r="102" spans="1:10">
      <c r="A102">
        <v>94</v>
      </c>
      <c r="B102">
        <v>2.5907499158287033</v>
      </c>
      <c r="C102">
        <v>3.0067296304476998</v>
      </c>
      <c r="G102">
        <f>SMALL(SimData!$B$9:$B$108,94)</f>
        <v>4.2734572542620484</v>
      </c>
      <c r="H102">
        <f>1/(COUNT(SimData!$B$9:$B$108)-1)+$H$101</f>
        <v>0.93939393939393767</v>
      </c>
      <c r="I102">
        <f>SMALL(SimData!$C$9:$C$108,94)</f>
        <v>4.2436065437718558</v>
      </c>
      <c r="J102">
        <f>1/(COUNT(SimData!$C$9:$C$108)-1)+$J$101</f>
        <v>0.93939393939393767</v>
      </c>
    </row>
    <row r="103" spans="1:10">
      <c r="A103">
        <v>95</v>
      </c>
      <c r="B103">
        <v>4.5997131035938681</v>
      </c>
      <c r="C103">
        <v>3.6817867030392986</v>
      </c>
      <c r="G103">
        <f>SMALL(SimData!$B$9:$B$108,95)</f>
        <v>4.2815497732418635</v>
      </c>
      <c r="H103">
        <f>1/(COUNT(SimData!$B$9:$B$108)-1)+$H$102</f>
        <v>0.94949494949494773</v>
      </c>
      <c r="I103">
        <f>SMALL(SimData!$C$9:$C$108,95)</f>
        <v>4.324812575419422</v>
      </c>
      <c r="J103">
        <f>1/(COUNT(SimData!$C$9:$C$108)-1)+$J$102</f>
        <v>0.94949494949494773</v>
      </c>
    </row>
    <row r="104" spans="1:10">
      <c r="A104">
        <v>96</v>
      </c>
      <c r="B104">
        <v>3.1689540873446282</v>
      </c>
      <c r="C104">
        <v>3.6578226723817253</v>
      </c>
      <c r="G104">
        <f>SMALL(SimData!$B$9:$B$108,96)</f>
        <v>4.3822746172643487</v>
      </c>
      <c r="H104">
        <f>1/(COUNT(SimData!$B$9:$B$108)-1)+$H$103</f>
        <v>0.95959595959595778</v>
      </c>
      <c r="I104">
        <f>SMALL(SimData!$C$9:$C$108,96)</f>
        <v>4.3985245033875602</v>
      </c>
      <c r="J104">
        <f>1/(COUNT(SimData!$C$9:$C$108)-1)+$J$103</f>
        <v>0.95959595959595778</v>
      </c>
    </row>
    <row r="105" spans="1:10">
      <c r="A105">
        <v>97</v>
      </c>
      <c r="B105">
        <v>4.0967989912248486</v>
      </c>
      <c r="C105">
        <v>2.1417911420944535</v>
      </c>
      <c r="G105">
        <f>SMALL(SimData!$B$9:$B$108,97)</f>
        <v>4.4532788539981434</v>
      </c>
      <c r="H105">
        <f>1/(COUNT(SimData!$B$9:$B$108)-1)+$H$104</f>
        <v>0.96969696969696784</v>
      </c>
      <c r="I105">
        <f>SMALL(SimData!$C$9:$C$108,97)</f>
        <v>4.455179962147537</v>
      </c>
      <c r="J105">
        <f>1/(COUNT(SimData!$C$9:$C$108)-1)+$J$104</f>
        <v>0.96969696969696784</v>
      </c>
    </row>
    <row r="106" spans="1:10">
      <c r="A106">
        <v>98</v>
      </c>
      <c r="B106">
        <v>3.7085528223220074</v>
      </c>
      <c r="C106">
        <v>2.5381877680684708</v>
      </c>
      <c r="G106">
        <f>SMALL(SimData!$B$9:$B$108,98)</f>
        <v>4.5997131035938681</v>
      </c>
      <c r="H106">
        <f>1/(COUNT(SimData!$B$9:$B$108)-1)+$H$105</f>
        <v>0.97979797979797789</v>
      </c>
      <c r="I106">
        <f>SMALL(SimData!$C$9:$C$108,98)</f>
        <v>4.5332371626214663</v>
      </c>
      <c r="J106">
        <f>1/(COUNT(SimData!$C$9:$C$108)-1)+$J$105</f>
        <v>0.97979797979797789</v>
      </c>
    </row>
    <row r="107" spans="1:10">
      <c r="A107">
        <v>99</v>
      </c>
      <c r="B107">
        <v>2.487330202882835</v>
      </c>
      <c r="C107">
        <v>4.455179962147537</v>
      </c>
      <c r="G107">
        <f>SMALL(SimData!$B$9:$B$108,99)</f>
        <v>4.662472362385496</v>
      </c>
      <c r="H107">
        <f>1/(COUNT(SimData!$B$9:$B$108)-1)+$H$106</f>
        <v>0.98989898989898795</v>
      </c>
      <c r="I107">
        <f>SMALL(SimData!$C$9:$C$108,99)</f>
        <v>4.746266659823994</v>
      </c>
      <c r="J107">
        <f>1/(COUNT(SimData!$C$9:$C$108)-1)+$J$106</f>
        <v>0.98989898989898795</v>
      </c>
    </row>
    <row r="108" spans="1:10">
      <c r="A108">
        <v>100</v>
      </c>
      <c r="B108">
        <v>3.1015939149060152</v>
      </c>
      <c r="C108">
        <v>4.3985245033875602</v>
      </c>
      <c r="G108">
        <f>SMALL(SimData!$B$9:$B$108,100)</f>
        <v>5.093031771787361</v>
      </c>
      <c r="H108">
        <f>1/(COUNT(SimData!$B$9:$B$108)-1)+$H$107</f>
        <v>0.999999999999998</v>
      </c>
      <c r="I108">
        <f>SMALL(SimData!$C$9:$C$108,100)</f>
        <v>4.8269950088156728</v>
      </c>
      <c r="J108">
        <f>1/(COUNT(SimData!$C$9:$C$108)-1)+$J$107</f>
        <v>0.999999999999998</v>
      </c>
    </row>
    <row r="110" spans="1:10">
      <c r="A110" t="s">
        <v>25</v>
      </c>
    </row>
    <row r="111" spans="1:10">
      <c r="A111" t="s">
        <v>26</v>
      </c>
      <c r="B111" t="str">
        <f>IF(ISBLANK($B110)=TRUE,"",_xll.EDF(B9:B108,$B110))</f>
        <v/>
      </c>
      <c r="C111" t="str">
        <f>IF(ISBLANK($C110)=TRUE,"",_xll.EDF(C9:C108,$C110))</f>
        <v/>
      </c>
    </row>
    <row r="112" spans="1:10">
      <c r="A112" t="s">
        <v>27</v>
      </c>
    </row>
    <row r="113" spans="1:3">
      <c r="A113" t="s">
        <v>28</v>
      </c>
      <c r="B113" t="str">
        <f>IF(ISBLANK($B112)=TRUE,"",_xll.EDF(B9:B108,$B112))</f>
        <v/>
      </c>
      <c r="C113" t="str">
        <f>IF(ISBLANK($C112)=TRUE,"",_xll.EDF(C9:C108,$C112))</f>
        <v/>
      </c>
    </row>
    <row r="114" spans="1:3">
      <c r="A114" t="s">
        <v>29</v>
      </c>
    </row>
    <row r="115" spans="1:3">
      <c r="A115" t="s">
        <v>30</v>
      </c>
      <c r="B115" t="str">
        <f>IF(ISBLANK($B114)=TRUE,"",_xll.EDF(B9:B108,$B114))</f>
        <v/>
      </c>
      <c r="C115" t="str">
        <f>IF(ISBLANK($C114)=TRUE,"",_xll.EDF(C9:C108,$C114))</f>
        <v/>
      </c>
    </row>
    <row r="116" spans="1:3">
      <c r="A116" t="s">
        <v>31</v>
      </c>
    </row>
    <row r="117" spans="1:3">
      <c r="A117" t="s">
        <v>32</v>
      </c>
      <c r="B117" t="str">
        <f>IF(ISBLANK($B116)=TRUE,"",_xll.EDF(B9:B108,$B116))</f>
        <v/>
      </c>
      <c r="C117" t="str">
        <f>IF(ISBLANK($C116)=TRUE,"",_xll.EDF(C9:C108,$C116))</f>
        <v/>
      </c>
    </row>
    <row r="118" spans="1:3">
      <c r="A118" t="s">
        <v>33</v>
      </c>
    </row>
    <row r="119" spans="1:3">
      <c r="A119" t="s">
        <v>34</v>
      </c>
      <c r="B119" t="str">
        <f>IF(ISBLANK($B118)=TRUE,"",_xll.EDF(B9:B108,$B118))</f>
        <v/>
      </c>
      <c r="C119" t="str">
        <f>IF(ISBLANK($C118)=TRUE,"",_xll.EDF(C9:C108,$C118))</f>
        <v/>
      </c>
    </row>
  </sheetData>
  <sheetCalcPr fullCalcOnLoad="1"/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A3" sqref="A3"/>
    </sheetView>
  </sheetViews>
  <sheetFormatPr defaultRowHeight="12"/>
  <cols>
    <col min="4" max="4" width="10.140625" customWidth="1"/>
  </cols>
  <sheetData>
    <row r="1" spans="1:7">
      <c r="A1" s="2" t="str">
        <f ca="1">_xll.WBNAME()</f>
        <v>GRKS Distribution Demo.xlsx</v>
      </c>
    </row>
    <row r="2" spans="1:7">
      <c r="A2" t="s">
        <v>0</v>
      </c>
    </row>
    <row r="3" spans="1:7">
      <c r="A3" t="s">
        <v>40</v>
      </c>
    </row>
    <row r="5" spans="1:7">
      <c r="B5" t="s">
        <v>1</v>
      </c>
      <c r="D5" s="2"/>
      <c r="E5" s="3"/>
      <c r="F5" s="3"/>
      <c r="G5" s="3"/>
    </row>
    <row r="6" spans="1:7">
      <c r="B6" s="1">
        <v>2.42</v>
      </c>
      <c r="D6" s="3"/>
      <c r="E6" s="4" t="s">
        <v>10</v>
      </c>
      <c r="F6" s="4" t="s">
        <v>38</v>
      </c>
      <c r="G6" s="4" t="s">
        <v>12</v>
      </c>
    </row>
    <row r="7" spans="1:7">
      <c r="B7" s="1">
        <v>2.57</v>
      </c>
      <c r="D7" s="3"/>
      <c r="E7" s="5">
        <f>B24</f>
        <v>2.42</v>
      </c>
      <c r="F7" s="5">
        <f>B25</f>
        <v>3.26</v>
      </c>
      <c r="G7" s="5">
        <f>B26</f>
        <v>4.55</v>
      </c>
    </row>
    <row r="8" spans="1:7">
      <c r="B8" s="1">
        <v>3.72</v>
      </c>
      <c r="D8" s="3"/>
      <c r="E8" s="4"/>
      <c r="F8" s="4"/>
      <c r="G8" s="4"/>
    </row>
    <row r="9" spans="1:7">
      <c r="B9" s="1">
        <v>3.72</v>
      </c>
      <c r="D9" s="3"/>
      <c r="E9" s="3"/>
      <c r="F9" s="5"/>
      <c r="G9" s="6"/>
    </row>
    <row r="10" spans="1:7">
      <c r="B10" s="1">
        <v>2.61</v>
      </c>
      <c r="D10" s="2" t="s">
        <v>9</v>
      </c>
      <c r="E10" s="3"/>
      <c r="F10" s="3"/>
      <c r="G10" s="3"/>
    </row>
    <row r="11" spans="1:7">
      <c r="B11" s="1">
        <v>3</v>
      </c>
      <c r="D11" s="3"/>
      <c r="E11" s="4" t="s">
        <v>10</v>
      </c>
      <c r="F11" s="4" t="s">
        <v>11</v>
      </c>
      <c r="G11" s="4" t="s">
        <v>12</v>
      </c>
    </row>
    <row r="12" spans="1:7">
      <c r="B12" s="1">
        <v>3.24</v>
      </c>
      <c r="D12" s="3"/>
      <c r="E12" s="5">
        <f>Sheet1!$E$7</f>
        <v>2.42</v>
      </c>
      <c r="F12" s="5">
        <f>Sheet1!$F$7</f>
        <v>3.26</v>
      </c>
      <c r="G12" s="5">
        <f>Sheet1!$G$7</f>
        <v>4.55</v>
      </c>
    </row>
    <row r="13" spans="1:7">
      <c r="B13" s="1">
        <v>3.26</v>
      </c>
      <c r="D13" s="3"/>
      <c r="E13" s="4" t="s">
        <v>13</v>
      </c>
      <c r="F13" s="4" t="s">
        <v>14</v>
      </c>
      <c r="G13" s="4" t="s">
        <v>15</v>
      </c>
    </row>
    <row r="14" spans="1:7">
      <c r="B14" s="1">
        <v>3.45</v>
      </c>
      <c r="D14" s="3" t="s">
        <v>16</v>
      </c>
      <c r="E14" s="3">
        <v>1</v>
      </c>
      <c r="F14" s="5">
        <v>0</v>
      </c>
      <c r="G14" s="6">
        <f ca="1">_xll.GRK(Sheet1!$E$12,Sheet1!$F$12,Sheet1!$G$12,Sheet1!$F$14)</f>
        <v>2</v>
      </c>
    </row>
    <row r="15" spans="1:7">
      <c r="B15" s="1">
        <v>4.55</v>
      </c>
      <c r="D15" s="3"/>
      <c r="E15" s="3">
        <v>2</v>
      </c>
      <c r="F15" s="5">
        <v>6.2096653257759371E-3</v>
      </c>
      <c r="G15" s="6">
        <f ca="1">_xll.GRK(Sheet1!$E$12,Sheet1!$F$12,Sheet1!$G$12,Sheet1!$F$15)</f>
        <v>2.2099995086991528</v>
      </c>
    </row>
    <row r="16" spans="1:7">
      <c r="B16" s="1">
        <v>4.3</v>
      </c>
      <c r="D16" s="3" t="s">
        <v>10</v>
      </c>
      <c r="E16" s="3">
        <v>3</v>
      </c>
      <c r="F16" s="5">
        <v>2.275013194817932E-2</v>
      </c>
      <c r="G16" s="6">
        <f ca="1">_xll.GRK(Sheet1!$E$12,Sheet1!$F$12,Sheet1!$G$12,Sheet1!$F$16)</f>
        <v>2.4200003333424696</v>
      </c>
    </row>
    <row r="17" spans="1:8">
      <c r="B17" s="1">
        <v>3.38</v>
      </c>
      <c r="D17" s="3"/>
      <c r="E17" s="3">
        <v>4</v>
      </c>
      <c r="F17" s="5">
        <v>6.6807201268858085E-2</v>
      </c>
      <c r="G17" s="6">
        <f ca="1">_xll.GRK(Sheet1!$E$12,Sheet1!$F$12,Sheet1!$G$12,Sheet1!$F$17)</f>
        <v>2.6299998691518973</v>
      </c>
    </row>
    <row r="18" spans="1:8">
      <c r="B18" s="1">
        <v>2.6</v>
      </c>
      <c r="D18" s="3"/>
      <c r="E18" s="3">
        <v>5</v>
      </c>
      <c r="F18" s="5">
        <v>0.15865525393145707</v>
      </c>
      <c r="G18" s="6">
        <f ca="1">_xll.GRK(Sheet1!$E$12,Sheet1!$F$12,Sheet1!$G$12,Sheet1!$F$18)</f>
        <v>2.8399999871238211</v>
      </c>
    </row>
    <row r="19" spans="1:8">
      <c r="A19" s="2"/>
      <c r="B19" t="str">
        <f>B5</f>
        <v>Wheat P</v>
      </c>
      <c r="D19" s="3"/>
      <c r="E19" s="3">
        <v>6</v>
      </c>
      <c r="F19" s="5">
        <v>0.30853753872598688</v>
      </c>
      <c r="G19" s="6">
        <f ca="1">_xll.GRK(Sheet1!$E$12,Sheet1!$F$12,Sheet1!$G$12,Sheet1!$F$19)</f>
        <v>3.050000007143935</v>
      </c>
    </row>
    <row r="20" spans="1:8">
      <c r="A20" s="2" t="s">
        <v>2</v>
      </c>
      <c r="B20" s="1">
        <f>AVERAGE(Sheet1!B6:B18)</f>
        <v>3.2938461538461539</v>
      </c>
      <c r="D20" s="3" t="s">
        <v>11</v>
      </c>
      <c r="E20" s="3">
        <v>7</v>
      </c>
      <c r="F20" s="5">
        <v>0.5</v>
      </c>
      <c r="G20" s="6">
        <f ca="1">_xll.GRK(Sheet1!$E$12,Sheet1!$F$12,Sheet1!$G$12,Sheet1!$F$20)</f>
        <v>3.26</v>
      </c>
    </row>
    <row r="21" spans="1:8">
      <c r="A21" s="2" t="s">
        <v>3</v>
      </c>
      <c r="B21">
        <f>STDEV(Sheet1!B6:B18)</f>
        <v>0.66535126639415587</v>
      </c>
      <c r="D21" s="3"/>
      <c r="E21" s="3">
        <v>8</v>
      </c>
      <c r="F21" s="5">
        <v>0.69146246127401312</v>
      </c>
      <c r="G21" s="6">
        <f ca="1">_xll.GRK(Sheet1!$E$12,Sheet1!$F$12,Sheet1!$G$12,Sheet1!$F$21)</f>
        <v>3.5824999890289564</v>
      </c>
    </row>
    <row r="22" spans="1:8">
      <c r="A22" s="2" t="s">
        <v>4</v>
      </c>
      <c r="B22">
        <f>Sheet1!B20-Sheet1!B21*TINV((1-0.95)/2,COUNT(Sheet1!B6:B18))/COUNT(Sheet1!B6:B18)^0.5</f>
        <v>2.8264852301251113</v>
      </c>
      <c r="D22" s="3"/>
      <c r="E22" s="3">
        <v>9</v>
      </c>
      <c r="F22" s="5">
        <v>0.84134474606854293</v>
      </c>
      <c r="G22" s="6">
        <f ca="1">_xll.GRK(Sheet1!$E$12,Sheet1!$F$12,Sheet1!$G$12,Sheet1!$F$22)</f>
        <v>3.905000019774131</v>
      </c>
    </row>
    <row r="23" spans="1:8">
      <c r="A23" s="2" t="s">
        <v>5</v>
      </c>
      <c r="B23">
        <f>Sheet1!B20+Sheet1!B21*TINV((1-0.95)/2,COUNT(Sheet1!B6:B18))/COUNT(Sheet1!B6:B18)^0.5</f>
        <v>3.7612070775671964</v>
      </c>
      <c r="D23" s="3"/>
      <c r="E23" s="3">
        <v>10</v>
      </c>
      <c r="F23" s="5">
        <v>0.93319279873114191</v>
      </c>
      <c r="G23" s="6">
        <f ca="1">_xll.GRK(Sheet1!$E$12,Sheet1!$F$12,Sheet1!$G$12,Sheet1!$F$23)</f>
        <v>4.2275002009452995</v>
      </c>
    </row>
    <row r="24" spans="1:8">
      <c r="A24" s="2" t="s">
        <v>6</v>
      </c>
      <c r="B24" s="1">
        <f>MIN(Sheet1!B6:B18)</f>
        <v>2.42</v>
      </c>
      <c r="D24" s="3" t="s">
        <v>12</v>
      </c>
      <c r="E24" s="3">
        <v>11</v>
      </c>
      <c r="F24" s="5">
        <v>0.97724986805182068</v>
      </c>
      <c r="G24" s="6">
        <f ca="1">_xll.GRK(Sheet1!$E$12,Sheet1!$F$12,Sheet1!$G$12,Sheet1!$F$24)</f>
        <v>4.5499994880812062</v>
      </c>
    </row>
    <row r="25" spans="1:8">
      <c r="A25" s="2" t="s">
        <v>7</v>
      </c>
      <c r="B25" s="1">
        <f>MEDIAN(Sheet1!B6:B18)</f>
        <v>3.26</v>
      </c>
      <c r="D25" s="3"/>
      <c r="E25" s="3">
        <v>12</v>
      </c>
      <c r="F25" s="5">
        <v>0.99379033467422406</v>
      </c>
      <c r="G25" s="6">
        <f ca="1">_xll.GRK(Sheet1!$E$12,Sheet1!$F$12,Sheet1!$G$12,Sheet1!$F$25)</f>
        <v>4.8725007544977279</v>
      </c>
    </row>
    <row r="26" spans="1:8">
      <c r="A26" s="2" t="s">
        <v>8</v>
      </c>
      <c r="B26" s="1">
        <f>MAX(Sheet1!B6:B18)</f>
        <v>4.55</v>
      </c>
      <c r="D26" s="3" t="s">
        <v>17</v>
      </c>
      <c r="E26" s="3">
        <v>13</v>
      </c>
      <c r="F26" s="5">
        <v>1</v>
      </c>
      <c r="G26" s="6">
        <f ca="1">_xll.GRK(Sheet1!$E$12,Sheet1!$F$12,Sheet1!$G$12,Sheet1!$F$26)</f>
        <v>5.1949999999999985</v>
      </c>
    </row>
    <row r="27" spans="1:8">
      <c r="A27" s="2" t="s">
        <v>36</v>
      </c>
      <c r="B27">
        <f>SKEW(Sheet1!B6:B18)</f>
        <v>0.47947005725674596</v>
      </c>
    </row>
    <row r="28" spans="1:8">
      <c r="A28" s="2" t="s">
        <v>37</v>
      </c>
      <c r="B28">
        <f>KURT(Sheet1!B6:B18)</f>
        <v>-0.48211048002200929</v>
      </c>
    </row>
    <row r="30" spans="1:8">
      <c r="D30" t="s">
        <v>18</v>
      </c>
      <c r="G30" t="s">
        <v>20</v>
      </c>
      <c r="H30">
        <f ca="1">_xll.GRK(E7,F7,G7)</f>
        <v>2.0423139926462341</v>
      </c>
    </row>
    <row r="31" spans="1:8">
      <c r="D31" t="s">
        <v>19</v>
      </c>
      <c r="G31" t="s">
        <v>21</v>
      </c>
      <c r="H31">
        <f ca="1">_xll.EMP(G14:G26,F14:F26)</f>
        <v>3.3670743389031106</v>
      </c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SimData</vt:lpstr>
      <vt:lpstr>Sheet1</vt:lpstr>
      <vt:lpstr>Sheet2</vt:lpstr>
      <vt:lpstr>Sheet3</vt:lpstr>
    </vt:vector>
  </TitlesOfParts>
  <Company>AFPC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Richardson</dc:creator>
  <cp:lastModifiedBy>James W. Richardson</cp:lastModifiedBy>
  <dcterms:created xsi:type="dcterms:W3CDTF">2004-12-18T23:25:21Z</dcterms:created>
  <dcterms:modified xsi:type="dcterms:W3CDTF">2011-02-07T04:25:53Z</dcterms:modified>
</cp:coreProperties>
</file>